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31" windowWidth="12120" windowHeight="7110" tabRatio="712" activeTab="0"/>
  </bookViews>
  <sheets>
    <sheet name="1.DatosIdentificaciónUR" sheetId="1" r:id="rId1"/>
    <sheet name="2. DefiniciónProcesoInstUR" sheetId="2" r:id="rId2"/>
    <sheet name="3. DefEstrategia CECYTES obsv." sheetId="3" state="hidden" r:id="rId3"/>
    <sheet name="3. DefEstrategia CECYTES" sheetId="4" r:id="rId4"/>
    <sheet name="4. PRESUPUESTO  CECYTES  " sheetId="5" r:id="rId5"/>
    <sheet name="4. PRESUPUESTO  CECYTES  modif." sheetId="6" state="hidden" r:id="rId6"/>
    <sheet name="3. DefEstrategia POR DIR. ÁREA" sheetId="7" state="hidden" r:id="rId7"/>
    <sheet name="4. PRESUPUESTO POR DIR. ÁREA" sheetId="8" state="hidden" r:id="rId8"/>
    <sheet name="presupuesto 1000" sheetId="9" r:id="rId9"/>
    <sheet name="subsidio" sheetId="10" state="hidden" r:id="rId10"/>
    <sheet name="presentacion 1 jd" sheetId="11" r:id="rId11"/>
    <sheet name="presentacion 2 jd NO " sheetId="12" r:id="rId12"/>
    <sheet name="presentacion 2 jd  (2)" sheetId="13" r:id="rId13"/>
    <sheet name="present jd" sheetId="14" r:id="rId14"/>
    <sheet name="analisis reduccion areas" sheetId="15" r:id="rId15"/>
    <sheet name="Poa por unidad admva" sheetId="16" r:id="rId16"/>
    <sheet name="% del gasto por area sust." sheetId="17" r:id="rId17"/>
  </sheets>
  <externalReferences>
    <externalReference r:id="rId20"/>
    <externalReference r:id="rId21"/>
    <externalReference r:id="rId22"/>
    <externalReference r:id="rId23"/>
    <externalReference r:id="rId24"/>
  </externalReferences>
  <definedNames>
    <definedName name="_xlnm.Print_Area" localSheetId="16">'% del gasto por area sust.'!$A$1:$D$38</definedName>
    <definedName name="_xlnm.Print_Area" localSheetId="0">'1.DatosIdentificaciónUR'!$A$1:$H$34</definedName>
    <definedName name="_xlnm.Print_Area" localSheetId="1">'2. DefiniciónProcesoInstUR'!$A$1:$K$63</definedName>
    <definedName name="_xlnm.Print_Area" localSheetId="3">'3. DefEstrategia CECYTES'!$A$1:$AD$119</definedName>
    <definedName name="_xlnm.Print_Area" localSheetId="2">'3. DefEstrategia CECYTES obsv.'!$A$1:$AD$163</definedName>
    <definedName name="_xlnm.Print_Area" localSheetId="4">'4. PRESUPUESTO  CECYTES  '!$B$1:$H$886</definedName>
    <definedName name="_xlnm.Print_Area" localSheetId="5">'4. PRESUPUESTO  CECYTES  modif.'!$B$1:$H$1083</definedName>
    <definedName name="_xlnm.Print_Area" localSheetId="7">'4. PRESUPUESTO POR DIR. ÁREA'!$A$1:$G$694</definedName>
    <definedName name="_xlnm.Print_Area" localSheetId="14">'analisis reduccion areas'!$B$1:$H$31</definedName>
    <definedName name="_xlnm.Print_Area" localSheetId="15">'Poa por unidad admva'!$B$1:$E$15</definedName>
    <definedName name="_xlnm.Print_Area" localSheetId="13">'present jd'!$B$1:$H$30</definedName>
    <definedName name="_xlnm.Print_Area" localSheetId="10">'presentacion 1 jd'!$A$1:$B$31</definedName>
    <definedName name="_xlnm.Print_Area" localSheetId="12">'presentacion 2 jd  (2)'!$A$1:$E$30</definedName>
    <definedName name="_xlnm.Print_Area" localSheetId="11">'presentacion 2 jd NO '!$A$1:$E$30</definedName>
    <definedName name="_xlnm.Print_Titles" localSheetId="3">'3. DefEstrategia CECYTES'!$1:$5</definedName>
    <definedName name="_xlnm.Print_Titles" localSheetId="2">'3. DefEstrategia CECYTES obsv.'!$1:$5</definedName>
    <definedName name="_xlnm.Print_Titles" localSheetId="4">'4. PRESUPUESTO  CECYTES  '!$1:$5</definedName>
    <definedName name="_xlnm.Print_Titles" localSheetId="5">'4. PRESUPUESTO  CECYTES  modif.'!$1:$5</definedName>
  </definedNames>
  <calcPr fullCalcOnLoad="1"/>
</workbook>
</file>

<file path=xl/sharedStrings.xml><?xml version="1.0" encoding="utf-8"?>
<sst xmlns="http://schemas.openxmlformats.org/spreadsheetml/2006/main" count="2029" uniqueCount="817">
  <si>
    <t>Análisis y redacción del material para su publicación en los medios de comunicación así como cobertura gráfica de eventos internos para memoria institucional.</t>
  </si>
  <si>
    <t>Porporcionar material para publicación a los medios de información.</t>
  </si>
  <si>
    <t>Elaborar y distribuir el órgano de difusión y vinculación.</t>
  </si>
  <si>
    <t>Elaboración e implementación del Plan Integral de Comunicación Social  del Colegio.</t>
  </si>
  <si>
    <t>Elaborar e implementar el Plan Integral de Comunicación Social.</t>
  </si>
  <si>
    <t>Contar con un instrumento normativo para la operación de los planteles (calendario escolar).</t>
  </si>
  <si>
    <t>Implementar un programa de supervisión a los programas Cívico-deportivo de los Planteles y Centros EMSaD.</t>
  </si>
  <si>
    <t xml:space="preserve">Secretaria Técnica </t>
  </si>
  <si>
    <t>Certificación</t>
  </si>
  <si>
    <t>Elaboración e implementación del Programa Anual de Adquisiciones para la atención a los requerimientos (planteles, centros EMSaD y oficinas generales).</t>
  </si>
  <si>
    <t>Implementar acciones de mejoramiento del departamento de Recursos Humanos y atención de de situaciones laborales en los planteles (incluye asesoría jurídica).</t>
  </si>
  <si>
    <t>Eventos culturales del Colegio (Día del maestro, graduaciones)</t>
  </si>
  <si>
    <t xml:space="preserve">Eventos culturales del Colegio (Día del maestro, graduaciones) </t>
  </si>
  <si>
    <t>req. equipo</t>
  </si>
  <si>
    <t>rep inmuebles</t>
  </si>
  <si>
    <t>poliz seg.</t>
  </si>
  <si>
    <t>eventos espc.</t>
  </si>
  <si>
    <t>anual adq. Y serv. Bas</t>
  </si>
  <si>
    <t>Supervisar el cumplimiento de las actividades de la Dirección Administrativa.</t>
  </si>
  <si>
    <t>Superivisión y control de las actividades de la Dirección Administrativa.</t>
  </si>
  <si>
    <t>Implementación del programa de seguimiento y asesoría académica a los planteles.</t>
  </si>
  <si>
    <t>Evaluar y dar seguimiento a las actividades implementadas por la Dirección Académica en planteles.</t>
  </si>
  <si>
    <t>8-35</t>
  </si>
  <si>
    <t>ant.</t>
  </si>
  <si>
    <t>modif.</t>
  </si>
  <si>
    <t>9-10-13-31</t>
  </si>
  <si>
    <t xml:space="preserve">Implementar el programa de formación y actualización del personal docente, administrativo y directivo </t>
  </si>
  <si>
    <t>Operar el programa de capacitación, formación y actualización académica para docentes, admvos. y directivos.</t>
  </si>
  <si>
    <t>Supervizar la implementación del sistema orienta web (reuniones, visitas a planteles y centros EMSaD, elaboración de documentos y rediseño del sistema orienta web).</t>
  </si>
  <si>
    <t>12-29</t>
  </si>
  <si>
    <t>Implementación del proyecto de laboratorio para incentivar la química y física elemental.</t>
  </si>
  <si>
    <t>Realizar el seguimiento del programa de fortalecimiento de laboratorios (diagnóstico de necesidades, adquisición de materiales y realización de practicas).</t>
  </si>
  <si>
    <t xml:space="preserve">Realizar actividades de formación para inentivar la química y física en las prácticas de laboratorio </t>
  </si>
  <si>
    <t>Implementación del programa de fortalecimiento de bibliotecas de 43 planteles.</t>
  </si>
  <si>
    <t>Implementación del Programa de edición de libros de texto.</t>
  </si>
  <si>
    <t>Implementación del programa de asesorías estudiantiles en centros comunitarios.</t>
  </si>
  <si>
    <t>Aplicar y supervisar la aplicación del programa de asesorías académicas.</t>
  </si>
  <si>
    <t>Implementación del Programa de atención al bajo rendimiento escolar (prog. de tutorías y programa de asesorías académicas).</t>
  </si>
  <si>
    <t>Contribuir en la formación integral de los alumnos del Colegio</t>
  </si>
  <si>
    <t>Evaluación del Sistema de Gestión de Calidad de acuerdo a la Norma ISO9001:2000.</t>
  </si>
  <si>
    <t>Regularización de terrenos de los planteles y centros EMSaD (actualización del expediente legal del terreno de cada centro EMSaD y plantel y promoción de 5 juicios de prescipción voluntaria, adquisitiva y notariales de los terrenos).</t>
  </si>
  <si>
    <t>Actualizar el expediente legal del terreno de cada centro EMSaD y plantel.</t>
  </si>
  <si>
    <t xml:space="preserve">Proceso </t>
  </si>
  <si>
    <t>Promover el juicio de prescripción voluntaria, adquisitiva y notariales de los terrenos:Bácum, Francisco Javier Mina, Júpare, Bacerac y San Pedro de la Cueva.</t>
  </si>
  <si>
    <t>Integración del Anteproyecto de Inversión y Obra 2009  y supervisión de la aplicación del Programa General de Obra.</t>
  </si>
  <si>
    <t>Integrar el Anteproyecto de Inversión y Obra 2009 (mar.) y realizar la supervisión de la ejecución de las obras autorizadas (ago. y dic.)..</t>
  </si>
  <si>
    <t>Administrar la actualización de datos del Sistema E-Kampus y capacitar al personal de servicios escolares de los planteles y centros EMSaD en la operación del sistema.</t>
  </si>
  <si>
    <t>Administración del Sistema de Control Escolar E-Kampus.</t>
  </si>
  <si>
    <t>Desarrollar e implementar el sistema administrativo para el manejo de información (software (sept.) y hardware (mar.)</t>
  </si>
  <si>
    <t>Etapa</t>
  </si>
  <si>
    <t xml:space="preserve">Sistematización de procesos de la Dirección de Planeación. </t>
  </si>
  <si>
    <t>Coordinación y supervisión de la certificación de la generación 2005-2008</t>
  </si>
  <si>
    <t>Implementar el proceso de certificación de la generación 2005-2008.</t>
  </si>
  <si>
    <t>Coordinación y supervición del proceso de registro y control escolar.</t>
  </si>
  <si>
    <t>Supervisar el departamento de servicios escolares en los planteles y centros EMSaD.</t>
  </si>
  <si>
    <t>Coordinar las actividades relacionadas con el proceso de levantamiento de inventarios.</t>
  </si>
  <si>
    <t>Supervisión y control de la custodia y estado físico de los activos fijos de la institución (levantamiento de inventarios).</t>
  </si>
  <si>
    <t>Elaboración e implementación del Programa Anual de Adquisiciones para la atención a los requerimientos de los planteles, centros EMSaD y oficinas generales.</t>
  </si>
  <si>
    <t>Elaborar y supervisar la aplicación del Programa Anual de Adqusiciones.</t>
  </si>
  <si>
    <t>Coordinación y supervisión de las actividades del comité de adquisiciones.</t>
  </si>
  <si>
    <t>Realizar reuniones del comité de adquisiciones.</t>
  </si>
  <si>
    <t>Implementación del proceso de licitaciones para  la adquisición de materiales y equipo y servicios.</t>
  </si>
  <si>
    <t>Realizar el proceco de licitaciones.</t>
  </si>
  <si>
    <t>Implementación del programa de capacitación y mejoramiento continuo de recurso humano.</t>
  </si>
  <si>
    <t>Ofrecer cursos de capacitación al personal administrativo.</t>
  </si>
  <si>
    <t>Participación en el concurso de arte y cultura en sus etapas plantel, estatal y nacional.</t>
  </si>
  <si>
    <t>Dirección de Planeación</t>
  </si>
  <si>
    <t>Implementar el Programa de Seguimiento de Egresados (analizar y elaborar el informe del seguimiento de egresados de la generación 2004-2007 (feb) y aplicar la encuesta a los egresados de la generación 2005-2008 (jun)</t>
  </si>
  <si>
    <t>Implementación del Programa de Seguimiento de Egresados (elaborción del informe de la generación 2004-2007 y aplicación de la encueta a la generación 2005-2008).</t>
  </si>
  <si>
    <t xml:space="preserve">Curso </t>
  </si>
  <si>
    <t>Implementación del Programa de Prevención de Embarazo en los planteles de la zona centro.</t>
  </si>
  <si>
    <t>Promoción de nuestros valores y rescate de nuestras tradiciones.</t>
  </si>
  <si>
    <t>Implementar y supervisar el Programa de Valores (platicas) y rescate de nuestras tradiciones  (eventos)</t>
  </si>
  <si>
    <t>Realizar y participar en los eventos derivados del Concurso de Arte y Cultura y eventos culturales (Concurso, 2 caravanas culturales, eventos culturales y conferencia magistral).</t>
  </si>
  <si>
    <t>Promoción y realización de eventos cívicos y culturales Inter-CECyTES en sus etapas estatal, regional y nacional.</t>
  </si>
  <si>
    <t>Análisis y redacción del material para su publicaicón en los medios de comunicación así como covertura gráfica de eventos internos para memoria institucional.</t>
  </si>
  <si>
    <t>Realizar el monitoreo y análisis de la información pública.</t>
  </si>
  <si>
    <t xml:space="preserve">Coordinación, administración, desarrollo y reingeniería  de sistemas de información. </t>
  </si>
  <si>
    <t>Secretaria Técnica</t>
  </si>
  <si>
    <t>Elaborar el  marco  normativo de la Unidad de Sistemas para el desarrollo de software y uso de aplicaciones.</t>
  </si>
  <si>
    <t>Unidad de Sistemas</t>
  </si>
  <si>
    <t>Coordinación de las actividades relacionadas con la campaña de imagen institucional.</t>
  </si>
  <si>
    <t>Realizar campaña institucional.</t>
  </si>
  <si>
    <t>Campaña</t>
  </si>
  <si>
    <t>Realización de videos promocionales del Colegio.</t>
  </si>
  <si>
    <t>Realizar videos promocionales.</t>
  </si>
  <si>
    <t>Video</t>
  </si>
  <si>
    <t>Implementación y seguimiento del programa de capacitación y actualización para los responsables  de las actividades cívicas y deportivas en los planteles y centros EMSaD.</t>
  </si>
  <si>
    <t>Implementación y seguimiento del Programa de capacitación y actualización para los responsables  de las actividades cívicas y deportivas en los planteles y centros EMSaD.</t>
  </si>
  <si>
    <t>total</t>
  </si>
  <si>
    <t>Elaboración y distribución del órgano de Difusión y Vinculación del Colegio.</t>
  </si>
  <si>
    <t>Elaboración del Plan Integral de Comunicación Social  del Colegio.</t>
  </si>
  <si>
    <t>Supervición de la aplicación del Programa de Atención a Requerimientos de Equipo.</t>
  </si>
  <si>
    <t>Supervizar y atender los requerimientos de equipo.</t>
  </si>
  <si>
    <t>Aplicación del Programa de Mantenimiento de los bienes inmuebles del Colegio.</t>
  </si>
  <si>
    <t>Supervisar y atender el mantenimiento de los bienes inmuebles del Coelgio.</t>
  </si>
  <si>
    <t>Contar  con el programa de seguros y fianzas (protección de los activos de la institución).</t>
  </si>
  <si>
    <t>Asegurar puntualmente los activos de la institución (contratar la póliza de seguro).</t>
  </si>
  <si>
    <t>Presupuesto de Ingresos y Egresos 2008</t>
  </si>
  <si>
    <t>Ingresos:</t>
  </si>
  <si>
    <t>Subsidio Federal</t>
  </si>
  <si>
    <t>Subsidio Estatal</t>
  </si>
  <si>
    <t>Ingresos Propios</t>
  </si>
  <si>
    <t>Fondo de Contingencia</t>
  </si>
  <si>
    <t>POA 2008</t>
  </si>
  <si>
    <t>Programa Operativo Anual</t>
  </si>
  <si>
    <t>%</t>
  </si>
  <si>
    <t>Dirección de Área</t>
  </si>
  <si>
    <t>Análisis del Gasto Operativo por Dirección de  Área</t>
  </si>
  <si>
    <t>2007-2008</t>
  </si>
  <si>
    <t>Dirección General</t>
  </si>
  <si>
    <t>Supervizar la realización de los servicios básicos (Dir. Gral.).</t>
  </si>
  <si>
    <t>Verificación de los servicios básicos de la institución a fin de que esten cubiertos (Dir. Gral.).</t>
  </si>
  <si>
    <t>Supervición de la aplicación del Programa de Atención a Requerimientos de Equipo (Dir. Gral).</t>
  </si>
  <si>
    <t>Aplicación del Programa de Mantenimiento de los bienes inmuebles del Colegio (Dir. Gral).</t>
  </si>
  <si>
    <t>Verificación de los servicios básicos de la institución a fin de que esten cubiertos (Dir. Gral).</t>
  </si>
  <si>
    <t>Atención a la Demanda</t>
  </si>
  <si>
    <t>Impartir servicios educativos en los 20 planteles y 23 centros EMSaD.</t>
  </si>
  <si>
    <t>Atención a la demanda del servicio de educación media superior en 20 planteles y 23 centros EMSaD.</t>
  </si>
  <si>
    <t xml:space="preserve"> Implementación y supervisión del programa de trabajo en planteles y centros EMSaD</t>
  </si>
  <si>
    <t>Integración y aplicación del programación de trabajo con directores de plantel y responsables de centros EMSaD</t>
  </si>
  <si>
    <t>Diagnóstico de las necesidades de servicios educativos del nivel medio superior, en las localidades de Guaymas y Hermosillo (estudios de factibilidad)</t>
  </si>
  <si>
    <t>Integración al patrimonio del Colegio de los terrenos en los cuales se ubican los planteles (regularización de terrenos)</t>
  </si>
  <si>
    <t>Aplicar el programa de tutorías (fortalecimiento académico)</t>
  </si>
  <si>
    <t>Formar los grupos mentores (fortalecimiento académico)</t>
  </si>
  <si>
    <t>Integrar los clubes de participación en el concurso de ciencia y tecnología (fortalecimiento académicos)</t>
  </si>
  <si>
    <t>Aplicar el programa de atención al bajo rendimiento académico (fortalecimiento académico)</t>
  </si>
  <si>
    <t>Participación en el concurso de IMPULSA (fortalecimiento académico)</t>
  </si>
  <si>
    <t>Realizar el examen nacional de conocimientos generales</t>
  </si>
  <si>
    <t>Realizar la evaluación para el  concurso nacional académico</t>
  </si>
  <si>
    <t>Capacitación de docentes a participar como centros multiplicadores en el sistema de evaluación y seguimiento a la reforma curricular</t>
  </si>
  <si>
    <t>Participar en el foro estatal de emprendedores</t>
  </si>
  <si>
    <t>Gestionar la adquisición e instalación de software educativo (24 software)</t>
  </si>
  <si>
    <t>Realizar de eventos cívicos y culturales (Competencia Inter.-CECyTES etapas zona, estatal y nacional, ceremonia de lunes cívicos, periódico mural y desfiles del 16 de septiembre y 20 de noviembre)</t>
  </si>
  <si>
    <t>Coordinación y supervisión del quehacer de los planteles a su cargo.</t>
  </si>
  <si>
    <t>Realizar la capacitación del personal encargado de las actividades cívicas y deportivas</t>
  </si>
  <si>
    <t>Realizar la II Paseo ciclista de la primavera CECyTES 2007</t>
  </si>
  <si>
    <t>Realizar las evaluaciones de control a los alumnos del Colegio</t>
  </si>
  <si>
    <t>Gestionar el equipamiento de bibliotecas ( 21 software, 59 hardware y 2 paquetes bibliográficos)</t>
  </si>
  <si>
    <t>Aplicar el programa de mérito y oposición (publicación de convocatoria y envío de resultados)</t>
  </si>
  <si>
    <t>Aplicar los  exámenes de CENEVAL y COSNET</t>
  </si>
  <si>
    <t>Realizar el seguimiento de los alumnos inscritos al programa del servicios social así como avance y acreditación del mismo</t>
  </si>
  <si>
    <t>Aplicar el programa de difusión de las actividades tecnológicas</t>
  </si>
  <si>
    <t>Integrar el paquete de expedientes para el envío ante profesiones</t>
  </si>
  <si>
    <t>Realizar la aplicación de exámenes a través del SAEVA</t>
  </si>
  <si>
    <t>Capacitar al personal docente y directivo  así como docentes en postgrado</t>
  </si>
  <si>
    <t>Director General</t>
  </si>
  <si>
    <t>Mtro. Víctor Mario Gamiño Casillas</t>
  </si>
  <si>
    <t>Tercera Parte. PLANTEAMIENTO DE LA ESTRATEGIA PARA LOGRAR EL OBJETIVO</t>
  </si>
  <si>
    <t>Fortalecimiento de bibliotecas en 20 planteles y 20 EMSaD</t>
  </si>
  <si>
    <t>Coordinación y supervisión de la certificación de la generación 2004-2007</t>
  </si>
  <si>
    <t>Coordinación y supervisión de la correcta aplicación de normas y procedimientos de control escolar</t>
  </si>
  <si>
    <t>Conocer y dar seguimiento a  las necesidades de infraestructura (Anteproyecto de inversión y obra)</t>
  </si>
  <si>
    <t>Importe por capítulo y partida</t>
  </si>
  <si>
    <t>No. de km /rendimiento* precio*litro</t>
  </si>
  <si>
    <t>1.- Descripción Genérica del proceso o proyecto</t>
  </si>
  <si>
    <t>Contar con el programa de seguros y fianzas (protección del vehículos y edificios y gastos médicos)</t>
  </si>
  <si>
    <t>Elaboración y actualización de los planes y programas de corto y mediano plazo</t>
  </si>
  <si>
    <t>Construcción del sistema institucional de indicadores</t>
  </si>
  <si>
    <t>Actualización de fichas técnicas de los planteles</t>
  </si>
  <si>
    <t>Contar con el marco normativo del Colegio actualizado</t>
  </si>
  <si>
    <t>Elaboración e integración de informes y actas de la Junta Directiva</t>
  </si>
  <si>
    <t>Vinculación con el sector productivo y social</t>
  </si>
  <si>
    <t>Difusión de los servicios educativos del Colegio  en el evento Exporienta 2007</t>
  </si>
  <si>
    <t>Implementación del Programa de Prevención de Embarazo en los principales planteles</t>
  </si>
  <si>
    <t>Creación, distribución y venta de artículos promocionales</t>
  </si>
  <si>
    <t>SECRETARIA DE EDUCACIÓN Y CULTURA</t>
  </si>
  <si>
    <t>PROGRAMA OPERATIVO ANUAL 2007</t>
  </si>
  <si>
    <t>Dependencia</t>
  </si>
  <si>
    <t>Unidad Administrativa</t>
  </si>
  <si>
    <t>Eje Rector del PEE 2004-2009</t>
  </si>
  <si>
    <t>Programa PED 2004-2009</t>
  </si>
  <si>
    <t>Misión de la Unidad Administrativa</t>
  </si>
  <si>
    <t>Visión de la Unidad Administrativa</t>
  </si>
  <si>
    <t>2.-Problemática o situación atender</t>
  </si>
  <si>
    <t>4.- Beneficiarios</t>
  </si>
  <si>
    <t>Unidad de. Medida</t>
  </si>
  <si>
    <t>Ene</t>
  </si>
  <si>
    <t>Feb</t>
  </si>
  <si>
    <t>Mzo</t>
  </si>
  <si>
    <t>Abr</t>
  </si>
  <si>
    <t>May</t>
  </si>
  <si>
    <t>Jun</t>
  </si>
  <si>
    <t>Jul</t>
  </si>
  <si>
    <t>Ago</t>
  </si>
  <si>
    <t>Sep</t>
  </si>
  <si>
    <t>Oct</t>
  </si>
  <si>
    <t>Nov</t>
  </si>
  <si>
    <t>Dic</t>
  </si>
  <si>
    <t>Entidad</t>
  </si>
  <si>
    <t>5.- Impacto</t>
  </si>
  <si>
    <t>3.- Objetivo general</t>
  </si>
  <si>
    <t>Primera parte. DATOS DE IDENTIFICACIÓN DE LA UNIDAD RESPONSABLE</t>
  </si>
  <si>
    <t>Segunda Parte. DEFINICIÓN DEL PROCESO O ACTIVIDAD INSTITUCIONAL DE LA UNIDAD RESPONSABLE</t>
  </si>
  <si>
    <t>Nombre del Proceso Institucional de la Unidad</t>
  </si>
  <si>
    <t>Nombre del Proyecto de la Unidad</t>
  </si>
  <si>
    <t>Clave de RED</t>
  </si>
  <si>
    <t>Total anual</t>
  </si>
  <si>
    <t>CALENDARIZACIÓN DE METAS</t>
  </si>
  <si>
    <t>Cuarta parte. Presupuesto</t>
  </si>
  <si>
    <t>Descripción de la línea de acción</t>
  </si>
  <si>
    <t>Importe</t>
  </si>
  <si>
    <t>Base de cálculo</t>
  </si>
  <si>
    <t>Formar técnicos con sólidas bases académicas, actitud crítica y propositiva. Con espíritu emprendedor y capacidad de auto aprendizaje, capaces de generar conocimientos útiles para vivir mejor; conocedores y respetuosos de sus tradiciones y valores; comprometidos con la preservación de la ecología y con el desarrollo económico; promotores de la justicia y favorecedores de la igualdad de oportunidades.</t>
  </si>
  <si>
    <t>Secretaría de Educación y Cultura</t>
  </si>
  <si>
    <t>Sonora</t>
  </si>
  <si>
    <t>IGUALDAD DE OPORTUNIDADES, CORRESPONSABILIDAD Y COHESIÓN SOCIAL</t>
  </si>
  <si>
    <t>EDUCACIÓN DE CALIDAD PARA COMPETIR Y PROGRESAR</t>
  </si>
  <si>
    <t>Colegio de Estudios Científicos y Tecnológicos del Estado de Sonora</t>
  </si>
  <si>
    <t>A03 Proporcionar servicios de educación media superior y superior</t>
  </si>
  <si>
    <t>Atención a la demanda de educación media superior</t>
  </si>
  <si>
    <t>Atender las necesidades de educación en el nivel medio superior.</t>
  </si>
  <si>
    <t>Coordinar, planear e implementar el quehacer del Colegio, que contribuyan en la formación integral de los alumnos.</t>
  </si>
  <si>
    <t>Coordinar las actividades académicas, administrativas y de vinculación, encaminadas a ofrecer servicios educativos de calidad.</t>
  </si>
  <si>
    <t>Formación integral de los alumnos</t>
  </si>
  <si>
    <t>Alumnos</t>
  </si>
  <si>
    <t>Reunión</t>
  </si>
  <si>
    <t>Programa</t>
  </si>
  <si>
    <t>Proceso</t>
  </si>
  <si>
    <t>Documento</t>
  </si>
  <si>
    <t>Concurso</t>
  </si>
  <si>
    <t>Curso</t>
  </si>
  <si>
    <t xml:space="preserve">Evaluación </t>
  </si>
  <si>
    <t xml:space="preserve">Programa </t>
  </si>
  <si>
    <t>Eventos</t>
  </si>
  <si>
    <t>Informe</t>
  </si>
  <si>
    <t xml:space="preserve">Cursos </t>
  </si>
  <si>
    <t>Gestión</t>
  </si>
  <si>
    <t>Evento</t>
  </si>
  <si>
    <t>Evaluación</t>
  </si>
  <si>
    <t>Aplicación</t>
  </si>
  <si>
    <t>Reporte</t>
  </si>
  <si>
    <t>Tarifa*No. de días *No. de viajes</t>
  </si>
  <si>
    <t>costo de boleto de avión *no. De días * tarifa de viáticos</t>
  </si>
  <si>
    <t>No. de km /rendimiento* precio*itro</t>
  </si>
  <si>
    <t>No. De viajes *No. Personas * días *tarifa</t>
  </si>
  <si>
    <t>35,000*no. Reuniones</t>
  </si>
  <si>
    <t>Supervisar el cumplimiento de los programas de Vinculación.</t>
  </si>
  <si>
    <t>Realización de Congresos, Intercambios y Foros Estudiantiles</t>
  </si>
  <si>
    <t>Proporcionar material para su publicación a los medios de comunicación, vía conferencias de prensa, entrevistas, invitaciones a eventos y/o envío de boletines, así como cobertura gráfica de eventos internos para memoria institucional.</t>
  </si>
  <si>
    <t>Realización del monitoreo y análisis de la información pública.</t>
  </si>
  <si>
    <t>Implementación del Programa contra las adicciones y fomento de la salud en los planteles.</t>
  </si>
  <si>
    <t>Implementación del Programa de Prevención de Embarazo en los planteles.</t>
  </si>
  <si>
    <t xml:space="preserve">Promoción de nuestros valores y rescate de nuestras tradiciones. Programa MOJA. </t>
  </si>
  <si>
    <t>Promoción y realización de eventos cívicos Inter-CECyTES en sus etapas estatal, regional y nacional.</t>
  </si>
  <si>
    <t>Participación del personal directivo y docente en las reuniones de trabajo y capacitación convocadas por la Coordinación Nacional.</t>
  </si>
  <si>
    <t>Actualización y certificación de   profesores de informática y responsables de las salas de cómputo.</t>
  </si>
  <si>
    <t>Fortalecimiento de las actividades de mejora en  los laboratorios de los planteles.</t>
  </si>
  <si>
    <t>Fortalecimiento de las actividades de mejora en  los laboratorios de los planteles de bachillerato tecnológico.</t>
  </si>
  <si>
    <t>Implementación del programa de fortalecimiento de bibliotecas.</t>
  </si>
  <si>
    <t>Aplicación del Programa de Estímulos al Desempeño Docente del Bachillerato tecnológico</t>
  </si>
  <si>
    <t>Promoción de los concursos académicos e implementación de un programa de  asesoría a los alumnos destacados.</t>
  </si>
  <si>
    <t>Integración y aplicación del programa de trabajo con directores de planteles.</t>
  </si>
  <si>
    <t>Actualización y certificación de   profesores de informática y responsables de las salas de cómputo .</t>
  </si>
  <si>
    <t>Implementación del sistema Orienta Web</t>
  </si>
  <si>
    <t>Implementación del programa de fortalecimiento de bibliotecas .</t>
  </si>
  <si>
    <t>Aplicación del Programa de Estímulos al Desempeño Docente del bachillerato tecnológico.</t>
  </si>
  <si>
    <t>Implementación del programa de orientación educativa</t>
  </si>
  <si>
    <t>Supervisar la implementación educativa en el aula (realizar reuniones de capacitación de orientadores y reuniones de seguimiento de actividades)</t>
  </si>
  <si>
    <t>Modif. 15 de febrero</t>
  </si>
  <si>
    <t>Modif. 28 de febrero</t>
  </si>
  <si>
    <t>Presupuesto</t>
  </si>
  <si>
    <t>Modif.  15 de febrero</t>
  </si>
  <si>
    <t>Modificado 28 de febrero</t>
  </si>
  <si>
    <t>Unidad Admva</t>
  </si>
  <si>
    <t>Atención a la demanda</t>
  </si>
  <si>
    <t>Crecimiento Natural</t>
  </si>
  <si>
    <t>Administración Central</t>
  </si>
  <si>
    <t>Servicios Personales</t>
  </si>
  <si>
    <t>Gasto Operativo</t>
  </si>
  <si>
    <t>Total Programa Anual</t>
  </si>
  <si>
    <t>Fondo de Previsión</t>
  </si>
  <si>
    <t>Presupuesto de Egresos 2008</t>
  </si>
  <si>
    <t>FONDO DE PREVISIÓN</t>
  </si>
  <si>
    <t>IRREDUCTIBLE</t>
  </si>
  <si>
    <t>ESTÍMULOS  AL DESEMPEÑO</t>
  </si>
  <si>
    <t>CRECIMIENTO NATURAL SEP-DIC 2008</t>
  </si>
  <si>
    <t>Promoción de los servicios educativos que ofrece el Colegio (Exporienta y puntos estratégicos).</t>
  </si>
  <si>
    <t>Impartir cursos de capacitación del Programa prevención de embarazo en adolescentes  en los planteles.</t>
  </si>
  <si>
    <t>Realizar y participar en los eventos derivados del Concurso de Arte y Cultura y eventos culturales (Concurso, 2 caravanas culturales, eventos culturales y conferencia magistral). Supervisión de Arte y Cultura.</t>
  </si>
  <si>
    <t>Participar en las competencias Inter-CECyTES intramuros, Regional, Estatal y Nacional, así como eventos interinstitucionales en las disciplinas de Atletismo, Ajedrez, Básquetbol, Fútbol Soccer, Voleibol, Beisbol y Softbol.</t>
  </si>
  <si>
    <t>Proporcionar material para publicación a los medios de información.</t>
  </si>
  <si>
    <t>Coordinación y control del presupuesto de egresos (Distribución y avance del presupuesto 2008, Informe trimestral de la aplicación de los recursos 2008, elaboración de cuenta pública 2007, solicitud de ampliaciones al presupuesto de egresos 2008 y elaboración del anteproyecto de presupuesto de egresos 2009).</t>
  </si>
  <si>
    <t>Elaborar los informes del control de presupuesto de egresos (Distribución y avance del presupuesto 2008 (marzo), Informe trimestral de la aplicación de los recursos 2008 (abr., ago., nov., dic.), elaboración de cuenta pública 2007 (mzo.), solicitud de ampliaciones al presupuesto de egresos 2008 (abr. y ago.) y elaboración del anteproyecto de presupuesto de egresos 2009 (sept.)</t>
  </si>
  <si>
    <t>Supervisar y analizar la cartera vencida del Colegio (supervisión personal de Dirección Financiera (4 reuniones) y análisis por auxiliares administrativos(4 reuniones).</t>
  </si>
  <si>
    <t>Implementar la sistema para simplificar el proceso de nóminas (Impresión de recibos 1/4 carta (abr.), Impresión de recibos en cada plantel (ago.) e impresión de constancias de percepciones (nov.).</t>
  </si>
  <si>
    <t>Gestión de recursos, Gestión de Obra, Gestión Curricular, Participar en reuniones, celebrar convenios y representación institucional.</t>
  </si>
  <si>
    <t>Supervisión de la sistematización de los procesos que requieran las direcciones de área.</t>
  </si>
  <si>
    <t>Realizar el seguimiento de la implementación de los procesos en la unidad administrativa correspondiente.</t>
  </si>
  <si>
    <t>Realizar el servicio preventivo y correctivo a equipos de cómputo, mantenimiento de la red local, soporte técnico de software y hardware y servicio de Internet.</t>
  </si>
  <si>
    <t>Actualizar periódicamente el portal de transparencia del Colegio.</t>
  </si>
  <si>
    <t>Realizar revisiones internas y  auditorias externas de vigilancia al Sistema de Gestión de Calidad de los procesos administrativos.</t>
  </si>
  <si>
    <t>Elaborar y supervisar la aplicación del Programa Anual de Adquisiciones.</t>
  </si>
  <si>
    <t>Realizar el proceso de licitaciones.</t>
  </si>
  <si>
    <t>Supervisar la realización de los servicios básicos (Dir. Gral.).</t>
  </si>
  <si>
    <t>Supervisión de la aplicación del Programa de Atención a Requerimientos de Equipo (Dir. Gral.).</t>
  </si>
  <si>
    <t>Supervisar y atender los requerimientos de equipo.</t>
  </si>
  <si>
    <t>Supervisar y atender el mantenimiento de los bienes inmuebles del Colegio.</t>
  </si>
  <si>
    <t>Supervisión y control de las actividades de la Dirección Administrativa.</t>
  </si>
  <si>
    <t>Promover la escrituración y el registro ante el Ran de los terrenos del Francisco Javier Mina, Júpare, Bacerac y San Pedro de la Cueva.</t>
  </si>
  <si>
    <t>Coordinación del programa de infraestructura</t>
  </si>
  <si>
    <t>Coordinación y supervisión del proceso de registro y control escolar.</t>
  </si>
  <si>
    <t>Mejora a la operación de servicios escolares</t>
  </si>
  <si>
    <t>Procesar los reportes estadísticos (911.7, 911.8, 911.2, estadística básica de inicio de cursos y estadística básica de fin de cursos) y agenda estadística.</t>
  </si>
  <si>
    <t>Realizar el proceso de homologación docente (analizar documentación y emitir el dictamen de los profesores participantes).</t>
  </si>
  <si>
    <t>Realizar reuniones para la revisión y reestructuración de libros de texto.</t>
  </si>
  <si>
    <t>Aplicar el Programa de Estímulos al Desempeño Docente (publicación de la convocatoria y emisión de resultados).</t>
  </si>
  <si>
    <t>Verificación de los servicios básicos de la institución a fin de que estén cubiertos (Dir. Gral.).</t>
  </si>
  <si>
    <t>Implementación del programa de capacitación de auxiliares de planteles y centros EMSaD.</t>
  </si>
  <si>
    <t>Control y seguimiento financiero al Programa Operativo Anual 2008 e implementar el sistema vía Web.</t>
  </si>
  <si>
    <t>Supervisión de la aplicación del Programa de Atención a Requerimientos de Equipo.</t>
  </si>
  <si>
    <t>Coordinación del Programa de Infraestructura</t>
  </si>
  <si>
    <t>Implementación  del  Programa de Atención al bajo rendimiento escolar (programa de tutorías y programa de asesoria académica)</t>
  </si>
  <si>
    <t>Promoción de los servicios educativos que ofrece el Colegio (Exporienta y puntos estratégicos)</t>
  </si>
  <si>
    <t>Programa Operativo Anual 2008</t>
  </si>
  <si>
    <t>60,000*no. Reuniones</t>
  </si>
  <si>
    <t>Tarifa*No. de auxiliares</t>
  </si>
  <si>
    <t>Sin costo</t>
  </si>
  <si>
    <t>CONCEPTO</t>
  </si>
  <si>
    <t>IMPORTE TOTAL</t>
  </si>
  <si>
    <t>CAPÍTULO</t>
  </si>
  <si>
    <t>IMPORTE</t>
  </si>
  <si>
    <t>OBSERVACIONES</t>
  </si>
  <si>
    <t>SERVICIOS PERSONALES</t>
  </si>
  <si>
    <t>TOTAL</t>
  </si>
  <si>
    <t>Implementación del Programa de Seguridad CECyTES  en los principales planteles</t>
  </si>
  <si>
    <t>5.1.1</t>
  </si>
  <si>
    <t>Realizar reuniones para supervisión y evaluación académica</t>
  </si>
  <si>
    <t>Total</t>
  </si>
  <si>
    <t>suma áreas sustantivas</t>
  </si>
  <si>
    <t>Suma Áreas Adjetivas</t>
  </si>
  <si>
    <t>Áreas Sustantivas</t>
  </si>
  <si>
    <t>Áreas Adjetivas</t>
  </si>
  <si>
    <t>Elaboración del diagnóstico de necesidades de software de acuerdo a lo que marca el plan de estudios del área de capacitación para el trabajo</t>
  </si>
  <si>
    <t>6.2.2</t>
  </si>
  <si>
    <t>Contar con el diagnóstico de necesidades de software y gestionar la adquisición del software para 22 centros EMSaD</t>
  </si>
  <si>
    <t>Participación en reuniones de trabajo y capacitación de la Coordinación Nacional de EMSaD</t>
  </si>
  <si>
    <t>Participar en reuniones y/o capacitaciones nacionales</t>
  </si>
  <si>
    <t>Realizar cursos  de capacitación técnicos pedagógicos</t>
  </si>
  <si>
    <t>Implementación del programa de capacitación y actualización del personal docente con enfoque de calidad para incrementar su grado académico</t>
  </si>
  <si>
    <t>Realizar el seguimiento de academia a nivel plantel (40 reuniones en cada seguimiento)</t>
  </si>
  <si>
    <t>Realización del seguimiento de las actividades de las academias en plantel (reuniones y evaluación)</t>
  </si>
  <si>
    <t>Realización del seguimiento de las actividades académicas a nivel zona (regional) (reuniones y evaluación)</t>
  </si>
  <si>
    <t xml:space="preserve">Realizar las reuniones de academia del colectivo interdisciplinario </t>
  </si>
  <si>
    <t>Integración y aplicación del programa de estímulo al talento estudiantil ( desarrollo estudiantil)</t>
  </si>
  <si>
    <t>Realizar los concursos de química, física, matemáticas, informática, académicos, creatividad tecnológica, mejor promedio, verano de la ciencia y el estudiante distinguido, en su diferentes etapas</t>
  </si>
  <si>
    <t>Implementación del programa de estímulos al desempeño docente</t>
  </si>
  <si>
    <t>Aplicar el programa de estímulos al desempeño docente (publicación de convocatoria y emisión de resultados)</t>
  </si>
  <si>
    <t>Realización del seguimiento del sistema de evaluación y reforma curricular en los 20 planteles</t>
  </si>
  <si>
    <t>Formación de emprendedores e impulso a las empresas estudiantiles</t>
  </si>
  <si>
    <t>Gestión para la adquisición e instalación de requerimientos de software educativos, para los planteles</t>
  </si>
  <si>
    <t>Promoción y realización de los concursos cívicos inter-CECyTES en sus etapas: zona, estatal y nacional, lunes cívicos y desfiles del 16 de septiembre y 20 de noviembre.</t>
  </si>
  <si>
    <t>Promoción y realización de encuentros deportivos inter-CECyTES intramuros, zona, estatal y nacional</t>
  </si>
  <si>
    <t>Capacitación y actualización de los responsables de las actividades cívicas y deportivas</t>
  </si>
  <si>
    <t>Promoción y realización del  II paseo ciclista de la primavera CECyTES 2007</t>
  </si>
  <si>
    <t>Implementación del sistema de  evaluaciones físicas iniciales y finales de la población estudiantil de CECyTES</t>
  </si>
  <si>
    <t>Fortalecimiento de bibliotecas en 20 planteles y 20 emsad</t>
  </si>
  <si>
    <t>Implementación del programa de méritos y oposición (selección de personal docente)</t>
  </si>
  <si>
    <t>Organización y coordinación de la aplicación de las evaluaciones de COSNET y CENEVAL para alumnos de nuevo ingreso y egreso</t>
  </si>
  <si>
    <t>Coordinación de las actividades enfocadas a atender la oferta y demanda educativa del Colegio ( atender solicitudes del servicios y determinar la cantidad de grupos por atender)</t>
  </si>
  <si>
    <t>Operación de un instrumento que permita realizar un adecuado control y seguimiento del servicio social</t>
  </si>
  <si>
    <t>Contar con un programa de difusión de las actividades tecnológicas del  Colegio</t>
  </si>
  <si>
    <t>Implementación del programa de titulación</t>
  </si>
  <si>
    <t xml:space="preserve">Implementación y seguimiento del Sistema Automatizado de Evaluación (SAEVA) </t>
  </si>
  <si>
    <t>Realizar reuniones para la revisión y reestructuración de libros de terxto.</t>
  </si>
  <si>
    <t>Realizar cursos para el programa de tutorías y asesoría académica.</t>
  </si>
  <si>
    <t>Aplicación del Programa de Estímulos al Desempeño Docente.</t>
  </si>
  <si>
    <t>Aplicar el Programa de Estímulos al Desempeño Docente (publicación de la convocatoria y emisión de esultados).</t>
  </si>
  <si>
    <t>Coordinación del seguimiento de las actividades de las academias (nivel plantel, regional y estatal).</t>
  </si>
  <si>
    <t>Realizar reuniones de trabajo de las academias (plantel (6 reuniones), regional (6 reuniones) y estatal (2 reuniones)).</t>
  </si>
  <si>
    <t>Promoción y aplicación del Programa de Desarrollo Estudiantil.</t>
  </si>
  <si>
    <t>Aplicar el Programa de Desarrollo Estudiantil (seleccionar a los estudiantes destacados en cada disciplina, mejor promedio general, el verano de la ciencia  y el alumno distinguido en plantel).</t>
  </si>
  <si>
    <t>Implementación y seguimiento del Programa de Servicio Social.</t>
  </si>
  <si>
    <t>Realizar el seguimiento de los alumnos inscritos al servicio social, así como el avance y acreditación del mismo.</t>
  </si>
  <si>
    <t>Aplicación del Programa de Titulación.</t>
  </si>
  <si>
    <t>Implementar y supervisar el proceso de titulación de los alumnos.</t>
  </si>
  <si>
    <t>Promoción de los concursos académicos e implementación de un programa de  asesoría a los alumnos destacados en concursos académicos internos y externos.</t>
  </si>
  <si>
    <t>Realizar y participar en los concursos académicos etapa plantel, estatal y nacional.</t>
  </si>
  <si>
    <t>Elaboración del diagnóstico de necesidades  de software de acuerdo a lo que marca el plan de estudios.</t>
  </si>
  <si>
    <t>Gestionar la adquisición del software  académico.</t>
  </si>
  <si>
    <t>Formación de emprendedores e impulso a las empresas estudiantiles.</t>
  </si>
  <si>
    <t>Participar en el foro estatal de emprendedores.</t>
  </si>
  <si>
    <t>Implementación del Programa de Desarrollo, Formación y Actualización del personal docente y directivo.</t>
  </si>
  <si>
    <t>Capacitar la personal docente y directivo.</t>
  </si>
  <si>
    <t>Evaluación y seguimiento de la reforma curricular.</t>
  </si>
  <si>
    <t>Realizar el seguimiento y evaluación de la reforma curricular del bachillerato tecnológico.</t>
  </si>
  <si>
    <t>Fortalecimiento y certificación de profesores de inglés en programas internacionales.</t>
  </si>
  <si>
    <t xml:space="preserve">Actualizar a los profesores de inglés </t>
  </si>
  <si>
    <t>Supervizar las actividades académicas.</t>
  </si>
  <si>
    <t>Supervisión y seguimiento de las actividades académcas.</t>
  </si>
  <si>
    <t>Coordinación de la difusión de las actividades tecnológicas del Colegio.</t>
  </si>
  <si>
    <t>Aplicar y supervisar el programa de difusión de las actividades tecnológicas.</t>
  </si>
  <si>
    <t>Contar con un isntrumento normativo para la operación de los planteles (calendario escolar).</t>
  </si>
  <si>
    <t xml:space="preserve">Elaborar  y distribución del calendario escolar. </t>
  </si>
  <si>
    <t>Integración y aplicación del programa de trabajo con directores de planteles y responsables de los centros EMSaD.</t>
  </si>
  <si>
    <t>Realizar reuniones de trabajo con los directores de plantel y responsables de los centros EMSaD.</t>
  </si>
  <si>
    <t>fondo de contingencia</t>
  </si>
  <si>
    <t>TRANSFERENCIAS (8000)</t>
  </si>
  <si>
    <t>PRESUPUESTO POA 2008</t>
  </si>
  <si>
    <t>Implementación del programa de seguimiento y evaluación académica de los Centros EMSaD</t>
  </si>
  <si>
    <t>Supervisión a los diferentes planteles y unidades administrativas adscritas al Colegio</t>
  </si>
  <si>
    <t>Recolección y atención de peticiones ciudadanas interpuestas en los buzones ubicados en los planteles</t>
  </si>
  <si>
    <t>Rendición de cuentas y elaboración de los estados financieros del Colegio para el año 2007</t>
  </si>
  <si>
    <t>Contabilización y recuperación de ingresos propios</t>
  </si>
  <si>
    <t>Implementación del control interno administrativo</t>
  </si>
  <si>
    <t>Desarrollo de habilidades y conocimientos de los  auxiliares administrativos de planteles y EMSaD</t>
  </si>
  <si>
    <t>Eventos culturales del Colegio (Día del maestro y graduaciones)</t>
  </si>
  <si>
    <t>Distribución y avance del presupuesto autorizado para el ejercicio 2007</t>
  </si>
  <si>
    <t>Elaboración de informes trimestrales 2007 de la aplicación de recursos</t>
  </si>
  <si>
    <t>Control y seguimiento financiero al Programa Operativo Anual 2007</t>
  </si>
  <si>
    <t>Elaboración de la cuenta pública 2007</t>
  </si>
  <si>
    <t>Solicitud de ampliaciones al presupuesto de egresos 2007</t>
  </si>
  <si>
    <t>Elaboración del anteproyecto de presupuesto 2008</t>
  </si>
  <si>
    <t>Supervisión y control de  los  incremento el Fondo de Contingencia</t>
  </si>
  <si>
    <t>Integración y aplicación del Manual de adquisiciones de materiales, suministros y equipo del Colegio</t>
  </si>
  <si>
    <t>Implementación del proceso de licitaciones para la adquisición de materiales y equipo</t>
  </si>
  <si>
    <t>Coordinación y seguimiento de las actividades del comité de adquisiciones</t>
  </si>
  <si>
    <t>Implementación del programa anual de adquisiciones</t>
  </si>
  <si>
    <t>Contar con los centros de cómputo en optimas condiciones que permitan al alumno desarrollas sus actividades educativas con calidad</t>
  </si>
  <si>
    <t>2DO. TRIM.</t>
  </si>
  <si>
    <t>1ER. TRIM.</t>
  </si>
  <si>
    <t>3ER. TRIM.</t>
  </si>
  <si>
    <t>Verificación de los servicios básicos de la institución a fin de que estén cubiertos</t>
  </si>
  <si>
    <t>Coordinación y supervisión de la realización de las reuniones de Junta Directiva</t>
  </si>
  <si>
    <t>Participación en reuniones nacionales e internacionales de directores generales</t>
  </si>
  <si>
    <t>Supervisión y control del activo fijo del Colegio (Inventarios)</t>
  </si>
  <si>
    <t>Aplicación del programa de mantenimiento de bienes inmuebles del Colegio</t>
  </si>
  <si>
    <t>Aplicación del programa de mantenimiento a equipos muebles se realicen oportunamente</t>
  </si>
  <si>
    <t>Promoción  de los servicios educativos que ofrece el Colegio en los planteles</t>
  </si>
  <si>
    <t>Coordinación de las actividades enfocadas a la realización de visitas y viajes de estudio a instituciones y empresas</t>
  </si>
  <si>
    <t>Participación en el concurso de arte y cultura en sus etapas plantel, estatal, regional y nacional</t>
  </si>
  <si>
    <t>Promoción de nuestros valores y rescate de nuestras tradiciones</t>
  </si>
  <si>
    <t>Análisis y redacción del material para su publicación a los medios de comunicación, vía conferencias de prensa, entrevistas, invitaciones a eventos y/o envío de boletines</t>
  </si>
  <si>
    <t>Elaboración del órgano de difusión y vinculación del Colegio (Gaceta)</t>
  </si>
  <si>
    <t>Actualización del manual de imagen institucional</t>
  </si>
  <si>
    <t>Integración de círculo de innovación y calidad</t>
  </si>
  <si>
    <t>Evaluación del Sistema de Gestión de Calidad en los procesos de administrativos de dirección general bajo la norma ISO 9001:2000</t>
  </si>
  <si>
    <t>Implementación del Programa de Tutorías</t>
  </si>
  <si>
    <t>Implementación de un programa de asesoría académica</t>
  </si>
  <si>
    <t>Implementación de un programa de apoyo a las ciencias básicas</t>
  </si>
  <si>
    <t>Implementación del programa de atención al bajo rendimiento escolar</t>
  </si>
  <si>
    <t>Fortalecimiento de la formación de habilidades emprendedoras a través de un programa</t>
  </si>
  <si>
    <t>Implementación del programa de desarrollo del personal docente, administrativo y directivo</t>
  </si>
  <si>
    <t>Aplicación del examen nacional de conocimientos generales</t>
  </si>
  <si>
    <t>Promoción y participación en el Concurso Nacional Académico</t>
  </si>
  <si>
    <t>Promoción y realización de los concursos cívicos inter-CECyTES en sus etapas: zona, estatal y nacional, lunes cívicos y desfiles del 16 de septiembre y 20 de noviembre</t>
  </si>
  <si>
    <t>Implementación y seguimiento del Sistema Automatizado de Evaluación (SAEVA)</t>
  </si>
  <si>
    <t>Generación de reportes y compendio estadístico</t>
  </si>
  <si>
    <t>Actualización periódica del portal de transparencia del Colegio</t>
  </si>
  <si>
    <t>Coordinación del monitoreo y análisis de la información pública</t>
  </si>
  <si>
    <t>Fortalecimiento e internacionalización a través de establecer convenios con diferentes instituciones a fin de capacitar a los docentes e intercambiar información académica y materiales didácticos actualizados (Prof. de inglés)</t>
  </si>
  <si>
    <t xml:space="preserve">Atención a la demanda del servicio de educación media superior </t>
  </si>
  <si>
    <t>Impartir servicios educativos en los 20 planteles y 23 centros EMSaD</t>
  </si>
  <si>
    <t>Atención a la demanda del servicio de educación media superior</t>
  </si>
  <si>
    <t>Implementación de Programa de Homologación Docente.</t>
  </si>
  <si>
    <t>Realizar el proceso de homologación docente (analizar documentación y emitir el dictámen de los profesores participantes).</t>
  </si>
  <si>
    <t>Enero</t>
  </si>
  <si>
    <t>Implementación del Programa de Méritos yExamen de Oposición (selección del personal docente).</t>
  </si>
  <si>
    <t>Aplicar el programa de promoción mérito (Abr. y nov.)  y examen de oposición docente ( jun y dic.) ( publicación de convocatoria y envío de resultados).</t>
  </si>
  <si>
    <t>Implementación del Programa de Promoción Docente.</t>
  </si>
  <si>
    <t>Integrar los expedientes de los profesores participantes para su evaluación y elaborar el informe de resultados.</t>
  </si>
  <si>
    <t>Implementación del Programa de Méritos y Examen de Oposición (selección del personal docente).</t>
  </si>
  <si>
    <t>Implementación del Sistema Automatizado de Evaluación del Aprendizaje (SAEVA)  en las asignaturas del componente básico y propedéutico.</t>
  </si>
  <si>
    <t>Aplicar las evaluaciones a través del SAEVA.</t>
  </si>
  <si>
    <t xml:space="preserve">Realizar reestructuraciones a las dosificaciones de los programas de estudio, elaborar de reactivos y capacitar el personal a cargo de los centros de acopio. </t>
  </si>
  <si>
    <t xml:space="preserve">Promoción y participación en el examen nacional de conocimientos generales y el examen del concurso nacional académico de grupos 2008. </t>
  </si>
  <si>
    <t>Realizar la evaluación para el examen nacional de conocimientos generales y el concurso nacional académico.</t>
  </si>
  <si>
    <t>Coordinación de la aplicación de las evaluaciones académicas a los estudiantes (Ingreso, egreso, ENLACE e IEEES).</t>
  </si>
  <si>
    <t xml:space="preserve">Aplicar los exámenes a los alumnos (ingreso, egreso, ENLACE e IEEES). </t>
  </si>
  <si>
    <t>marzo</t>
  </si>
  <si>
    <t>Participación del personal directivo y docente en las reuniones de trabajo y capacitación que la Coordinación Nacional de EMSaD.</t>
  </si>
  <si>
    <t>Participar en reuniones y/o capacitaciones nacionales.</t>
  </si>
  <si>
    <t>Capacitación</t>
  </si>
  <si>
    <t> 2101</t>
  </si>
  <si>
    <t> 2201</t>
  </si>
  <si>
    <t>Capacitación técnico pedagógicas de asesores y manejo de control escolar a los auxiliares administrativos de los centros EMSaD.</t>
  </si>
  <si>
    <t>Realizar cursos de capacitación técnicos pedagógicos y manejo de control escolar.</t>
  </si>
  <si>
    <t>5.1.1.</t>
  </si>
  <si>
    <t> 2601</t>
  </si>
  <si>
    <t>Implementación del programa de inducción al personal docente y administrativo de nuevo ingreso de los centros EMSaD.</t>
  </si>
  <si>
    <t>Impartir curso de inducción al personal administrativo y docente de nuevo ingreso en los centros EMSaD.</t>
  </si>
  <si>
    <t xml:space="preserve">Actualización y certificación de   profesores de informática y responsables de las salas de cómputo de los Centros EMSaD. </t>
  </si>
  <si>
    <t>Certificar a los profesores de informática y  responsables de las salas de cómputo en competencia laboral.</t>
  </si>
  <si>
    <t>Gestión para la adquisición del software que marcan los programas de estudio en el área de capacitación para el trabajo para los Centros EMSaD.</t>
  </si>
  <si>
    <t>Gestionar la adquisición del software.</t>
  </si>
  <si>
    <t>Desarrollo de habilidades para el personal de la coordinación estatal EMSaD.</t>
  </si>
  <si>
    <t>Capacitar al personal de la coordinación estatal de EMSaD.</t>
  </si>
  <si>
    <t>Implementación y seguimiento del sistema orienta web.</t>
  </si>
  <si>
    <t>Implementación del programa de orientación educativa en el aula.</t>
  </si>
  <si>
    <t>Supervizar la implementación del programa de orientación eduactiva en el aula (realizar reuniones de capacitación de orientadores y reuniones de reguimiento de actividades).</t>
  </si>
  <si>
    <t>mplementación del programa de orientación educativa en el aula.</t>
  </si>
  <si>
    <t>Fortalecimiento de las actividades de mejora en  los laboratorios de los planteles de CECyTES.</t>
  </si>
  <si>
    <t>Implementación del programa de capacitación a responsables de laboratorios.</t>
  </si>
  <si>
    <t>Realizar cursos de capacitación y reuniones de trabajo con los responsables de los laboratorios.</t>
  </si>
  <si>
    <t>Fortalecimiento de los laboratorios de Inglés e informática.</t>
  </si>
  <si>
    <t>Gestionar la adquisición equipamiento para los laboratorios y capacitación de los responsables.</t>
  </si>
  <si>
    <t>Supervisar el adecuado funcionamiento de las bibliotecas y gestionar la adquisición de equipo y bibliografía.</t>
  </si>
  <si>
    <t>Actualizar a los profesores de inglés (Cursos, Diplomado y certificación) (programa de internacionalización)</t>
  </si>
  <si>
    <t>DIRECCIÓN ACADÉMICA</t>
  </si>
  <si>
    <t>Implementar el proceso de certificación de la generación 2004-2007</t>
  </si>
  <si>
    <t>Implementar el proceso de inscripción y reinscripción</t>
  </si>
  <si>
    <t>Supervisar la operación del proceso y registro de control escolar en planteles y centros EMSaD</t>
  </si>
  <si>
    <t>Realizar los eventos culturales del  Colegio</t>
  </si>
  <si>
    <t>Realizar auditorias directas y específicas a las unidades administrativas</t>
  </si>
  <si>
    <t>Analizar y atender las peticiones ciudadanas</t>
  </si>
  <si>
    <t>Elaborar los estados financieros del ejercicio fiscal 2007</t>
  </si>
  <si>
    <t>Realizar el registro y contabilización de los ingresos propios</t>
  </si>
  <si>
    <t xml:space="preserve">Realizar reuniones de actualización administrativa  </t>
  </si>
  <si>
    <t>Sistema</t>
  </si>
  <si>
    <t xml:space="preserve">Capacitar a los auxiliares administrativos de planteles y centros EMSaD </t>
  </si>
  <si>
    <t>Registrar y controlar las solicitudes de pago, orden de compra y de servicios para el control del poa 2007</t>
  </si>
  <si>
    <t>Distribuir y controlar el avance del presupuesto autorizado</t>
  </si>
  <si>
    <t>Elaborar de los informes trimestrales 2007</t>
  </si>
  <si>
    <t>Elaborar  la cuenta pública</t>
  </si>
  <si>
    <t>Realizar los informes para solicitud de ampliaciones al presupuesto</t>
  </si>
  <si>
    <t>Integrar el anteproyecto de presupuesto de egresos 2008</t>
  </si>
  <si>
    <t>Realizar transferencias para el incremento del fondo de contingencia</t>
  </si>
  <si>
    <t>Elaborar del Manual  de adquisición</t>
  </si>
  <si>
    <t>Realizar el proceso de licitaciones</t>
  </si>
  <si>
    <t>Realizar reuniones del comité de adquisiciones</t>
  </si>
  <si>
    <t>Administración y control del programa anual de adquisiciones (atención a requerimientos de materiales esta asignado a la meta 102 planteles)</t>
  </si>
  <si>
    <t>Realizar el levantamiento de inventarios</t>
  </si>
  <si>
    <t xml:space="preserve">Realizar servicios preventivos, correctivo, mantenimiento de la red local, soporte técnico de software y hardware de los equipos de cómputo y servicio de Internet del Colegio </t>
  </si>
  <si>
    <t>Servicio</t>
  </si>
  <si>
    <t>capacitación y actualización al personal administrativos de los planteles y centros EMSaD</t>
  </si>
  <si>
    <t>Ofrecer cursos de capacitación al personal administrativo de planteles, centros EMSaD y dirección general, así como al personal de nuevo ingreso</t>
  </si>
  <si>
    <t>Supervisar la realización de los servicios básicos</t>
  </si>
  <si>
    <t>Supervisión</t>
  </si>
  <si>
    <t>Supervisar y atender los requerimientos de los equipos de 20 planteles y20 EMSaD</t>
  </si>
  <si>
    <t xml:space="preserve">Realizar y supervisar el mantenimiento de los bienes inmuebles del Colegio </t>
  </si>
  <si>
    <t>Adquirir la póliza de seguro de los edificio y vehículos</t>
  </si>
  <si>
    <t>Póliza</t>
  </si>
  <si>
    <t>Realizar reuniones de la Junta Directiva</t>
  </si>
  <si>
    <t>Realizar reuniones de trabajo en planteles y centros EMSaD por zona</t>
  </si>
  <si>
    <t>Realizar reuniones con directores de plantel y responsables de centros EMSaD</t>
  </si>
  <si>
    <t>Participar en reuniones nacionales e internacionales de directores generales</t>
  </si>
  <si>
    <t>Elaborar de los estudios de factibilidad de: Hermosillo V y Guaymas</t>
  </si>
  <si>
    <t>Realizar el seguimiento a la regularización de terrenos</t>
  </si>
  <si>
    <t xml:space="preserve">Elaborar el Programa de Inversión y Obra 2008 </t>
  </si>
  <si>
    <t>Integrar el Programa Operativo Anual 2008 estatal y federal (sept.), evaluación trimestral del POA 2007 y programación detallada  para el ciclo escolar 2007-2008 (May)</t>
  </si>
  <si>
    <t xml:space="preserve">Generación de reportes y compendio estadístico </t>
  </si>
  <si>
    <t>Procesar los reportes estadísticos (911.7,911.8 911.12, estadística de inicio de cursos y estadística de fin de curso) y prontuario estadístico de EMS</t>
  </si>
  <si>
    <t>Actualizar el compendio estadístico para el año 2007</t>
  </si>
  <si>
    <t>Realizar la actualización de fichas técnicas para el año 2007</t>
  </si>
  <si>
    <t>Integrar los informes y actas de la junta directiva</t>
  </si>
  <si>
    <t>Actualizar los manuales y reglamentos (Manual de trámites y servicios(Abr.), Cartas compromiso (agos), Directorio de funcionarios (Mar), Manual de puestos (May))</t>
  </si>
  <si>
    <t>Capacitación de alumnos en planteles</t>
  </si>
  <si>
    <t>Firmar de convenios de colaboración</t>
  </si>
  <si>
    <t>Convenios</t>
  </si>
  <si>
    <t>Implementar el programa de promoción educativa en planteles</t>
  </si>
  <si>
    <t>Participar en el evento Exporienta</t>
  </si>
  <si>
    <t>Stand</t>
  </si>
  <si>
    <t>Capacitar a los alumnos en planteles</t>
  </si>
  <si>
    <t>capacitación</t>
  </si>
  <si>
    <t>Creación, distribución y venta de artículos promociónales</t>
  </si>
  <si>
    <t>Trámite y gestión de viajes de estudio en forma trimestral</t>
  </si>
  <si>
    <t>Participar en el concurso de arte y cultura</t>
  </si>
  <si>
    <t>Actualización periódica del portal de transparencia del Colegio.</t>
  </si>
  <si>
    <t>Actualizar el portal de transparencia</t>
  </si>
  <si>
    <t>Proporcionar material para publicaciones</t>
  </si>
  <si>
    <t>Coordinación del monitoreo y análisis de la información pública.</t>
  </si>
  <si>
    <t>Realizar el monitoreo y análisis de la información pública</t>
  </si>
  <si>
    <t>Elaborar la Gaceta del Colegio</t>
  </si>
  <si>
    <t>Realizar la actualización del manual de imagen institucional</t>
  </si>
  <si>
    <t>Dirección Académica</t>
  </si>
  <si>
    <t>Realizar reuniones de trabajos del circulo de innovación y calidad</t>
  </si>
  <si>
    <t>Realizar revisiones internas al sistema de gestión de calidad ISO 9001:2000</t>
  </si>
  <si>
    <t>Revisión</t>
  </si>
  <si>
    <t>DIRECCIÓN FINANCIERA</t>
  </si>
  <si>
    <t>Implementación del sistema contable vía web</t>
  </si>
  <si>
    <t>Implementación del Programa de Seguimiento de Egresados</t>
  </si>
  <si>
    <t>Implementar el Programa de Seguimiento de Egresados</t>
  </si>
  <si>
    <t xml:space="preserve">Regularización de terrenos de los planteles y centros EMSaD </t>
  </si>
  <si>
    <t>Regularización de terrenos de los planteles y centros EMSaD</t>
  </si>
  <si>
    <t>Implementar y supervisar la correcta aplicación del sistema contable</t>
  </si>
  <si>
    <t>Académico</t>
  </si>
  <si>
    <t>Implementación del sistema contable</t>
  </si>
  <si>
    <t>ÓRGANO DE CONTROL</t>
  </si>
  <si>
    <t>Financiera</t>
  </si>
  <si>
    <t>Implementación del Programa contra las adicciones y fomento de la salud en los planteles de la zona centro.</t>
  </si>
  <si>
    <t>PLANEACIÓN</t>
  </si>
  <si>
    <t>VINCULACIÓN</t>
  </si>
  <si>
    <t>,</t>
  </si>
  <si>
    <t>Realizar 1 caravanas culturales, 10 cursos de valores, 2 eventos culturales y 1 conferencias</t>
  </si>
  <si>
    <t xml:space="preserve">Vinculación  </t>
  </si>
  <si>
    <t>suministro de articulos  promociónales en planteles</t>
  </si>
  <si>
    <t>proceso</t>
  </si>
  <si>
    <t>Actualización de imagen de Portal de Internet</t>
  </si>
  <si>
    <t>Realizar cambios a la imagen del Portal de Internet del Colegio, acordes al Manual de Imagen Institucional</t>
  </si>
  <si>
    <t>Realización de videos promocionales</t>
  </si>
  <si>
    <t>Realizar videos promocionales de  la institución</t>
  </si>
  <si>
    <t>Videos</t>
  </si>
  <si>
    <t>Entrenamiento y Formación de Voceros</t>
  </si>
  <si>
    <t>Curso de Capacitación para Entrenamiento y Formación de voceros</t>
  </si>
  <si>
    <t>Realización de Plan Integral de Comunicación 2007</t>
  </si>
  <si>
    <t>Asesoría, Coordinación y Operación</t>
  </si>
  <si>
    <t>Entrenamiento y Formación de voceros</t>
  </si>
  <si>
    <t>Dirección Administrativa</t>
  </si>
  <si>
    <t>DIRECCIÓN ADMINISTRATIVA</t>
  </si>
  <si>
    <t>Dirección general</t>
  </si>
  <si>
    <t>Planteles</t>
  </si>
  <si>
    <t>Capacitación y actualización al personal administrativo de los planteles y centros EMSaD</t>
  </si>
  <si>
    <t>planteles</t>
  </si>
  <si>
    <t>Coordinación de Zona</t>
  </si>
  <si>
    <t>Coordinación y supervisión del quehacer de los planteles a su cargo</t>
  </si>
  <si>
    <t>Supervisar la ejecución de las actividades programadas en el POA de planteles en los tiempos programados</t>
  </si>
  <si>
    <t>Supervisión y control de la adecuada aplicación de recursos de acuerdo a las metas programadas en el POA 2007</t>
  </si>
  <si>
    <t>Gestión Institucional</t>
  </si>
  <si>
    <t xml:space="preserve">Realizar el seguimiento de la aplicación de recursos </t>
  </si>
  <si>
    <t>Registro</t>
  </si>
  <si>
    <t>Implementación del proceso de homologación docente</t>
  </si>
  <si>
    <t>Implementar y supervisar el proceso de homologación (integración de expedientes)</t>
  </si>
  <si>
    <t>Implementación del programa de promoción docente</t>
  </si>
  <si>
    <t xml:space="preserve">Integrar los expedientes de los participantes para  la evaluación y elaborar el informe  </t>
  </si>
  <si>
    <t>Fortalecimiento de laboratorios de 20 planteles de CECyTES</t>
  </si>
  <si>
    <t>Realizar el seguimiento de la implementación del programa de fortalecimiento de laboratorios (diagnóstico, distribución de manuales, practicas, etc)</t>
  </si>
  <si>
    <t>Implementación del programa académico para el diseño de libros de texto</t>
  </si>
  <si>
    <t>Realizar reuniones de docentes para el diseño de libros de texto</t>
  </si>
  <si>
    <t>Implementación y seguimiento del sistema Orienta Web</t>
  </si>
  <si>
    <t>Realizar el seguimiento de la implementación del programa (promoción, desarrollo)</t>
  </si>
  <si>
    <t>Participación en eventos deportivos  en su diferentes etapas (Ajedrez, Básquetbol, Futbol Soccer y Voleibol, Torneo Octagonal Navideño de beisbol inter-preparatorias de hermosillo, copa telmex y copa pepsi, torneo navideño de basquetbol y porristas "El Im</t>
  </si>
  <si>
    <t>GASTO OPERATIVO</t>
  </si>
  <si>
    <t xml:space="preserve">SUBTOTAL </t>
  </si>
  <si>
    <t>1ER. TRIM</t>
  </si>
  <si>
    <t>2DO. TRIM</t>
  </si>
  <si>
    <t>3ER. TRIM</t>
  </si>
  <si>
    <t>4TO. TRIM.</t>
  </si>
  <si>
    <t>PROGRAMA OPERATIVO ANUAL 2008</t>
  </si>
  <si>
    <t>TOTAL POA 2008</t>
  </si>
  <si>
    <t>Órgano de Control</t>
  </si>
  <si>
    <t>Supervisión a los diferentes planteles, centros EMSaD y unidades administrativas adscritas a la entidad.</t>
  </si>
  <si>
    <t>Realizar auditorias directas y específicas a las unidades administrativas, planteles, centros EMSaD.</t>
  </si>
  <si>
    <t>3.1.1.3.2.1.</t>
  </si>
  <si>
    <t>Recolección y atención de peticiones ciudadanas interpuestas en los buzones ubicados en los planteles, centros EMSaD y unidades administrativas.</t>
  </si>
  <si>
    <t>Recolectar las peticiones ciudadanos de los buzones.</t>
  </si>
  <si>
    <t>Tarifa*No. de personas * No. de días</t>
  </si>
  <si>
    <t>No. de metas</t>
  </si>
  <si>
    <t>Vinculación con el sector productivo y social (firma de convenios)</t>
  </si>
  <si>
    <t xml:space="preserve">Convenio </t>
  </si>
  <si>
    <t>Dirección de Vinculación</t>
  </si>
  <si>
    <t>Supervisión del desarrollo y seguimiento de las acciones de Vinculación</t>
  </si>
  <si>
    <t>Promoción de los servicios educativos que ofrece el Colegio (Exporienta y puntos estatégicos)</t>
  </si>
  <si>
    <t>Promoción de los servicios educativos que ofrece el Colegio (Exporienta y puntos estatégicos).</t>
  </si>
  <si>
    <t>Vinculación con el sector productivo y social (firma de convenios).</t>
  </si>
  <si>
    <t>Supervisión del desarrollo y seguimiento de las acciones de Vinculación.</t>
  </si>
  <si>
    <t>Supervisar el cumplimiento de los programas de vinculación.</t>
  </si>
  <si>
    <t>Firmar convenios de colaboración.</t>
  </si>
  <si>
    <t>Supervisar la realización de visitas y viajes de estudio.</t>
  </si>
  <si>
    <t>2.1 y 4.5</t>
  </si>
  <si>
    <t>Coordinación de las actividades enfocadas a la realización de visitas y viajes de estudio a instituciones y empresas.</t>
  </si>
  <si>
    <t>Servicios Personales 1000</t>
  </si>
  <si>
    <t>Estímulos al Desempeño</t>
  </si>
  <si>
    <t>Becas para el Transporte</t>
  </si>
  <si>
    <t>Total Servicios Personales</t>
  </si>
  <si>
    <t>Total Gasto Operativo</t>
  </si>
  <si>
    <t>Total Programa Operativo Anual</t>
  </si>
  <si>
    <t>Promoción y realización del III Paseo Ciclista de la Primavera y CECyTES 2008.</t>
  </si>
  <si>
    <t>Promoción y realización de encuentros deportivos Inter-CECyTES intramuros, regional, estatal y nacional.</t>
  </si>
  <si>
    <t>Participar en las competencias Inter-CECyTES intramuros, Regional, Estatal y Nacional en las diciplinas de Ateletismo, Ajedrez, Básquetbol, Fútbol Soccer y Voleibol.</t>
  </si>
  <si>
    <t>Realizar el III paseo ciclista 2008.</t>
  </si>
  <si>
    <t>Promoción y realización del torneo de beisbol y softbol CECyTES 2008.</t>
  </si>
  <si>
    <t>Realizar el torneo navideño de beisbol y softbol CECyTES 2008.</t>
  </si>
  <si>
    <t>Secretaría Técnica</t>
  </si>
  <si>
    <t>Coordinación de la logística del programa de eventos culturales y deportivos del Colegio.</t>
  </si>
  <si>
    <t>Actualizar periodicamente el portal de transparencia del Colegio.</t>
  </si>
  <si>
    <t>Realizar la logística de los eventos del Colegio.</t>
  </si>
  <si>
    <t>Coordinación y supervisión de la actualización del portal de transparencia del CECyTES.</t>
  </si>
  <si>
    <t>Implementación del programa de actualización a los Comités de Cívica y Ética.</t>
  </si>
  <si>
    <t>Impartir cursos de actualización y platicas en 20 planteles y 23 centros EMSaD.</t>
  </si>
  <si>
    <t>Dirección Financiera</t>
  </si>
  <si>
    <t>Elaborar los estados financieros para el año 2008.</t>
  </si>
  <si>
    <t>Supervisión y Control del Fondo de Contingencias para el año 2008.</t>
  </si>
  <si>
    <t>Realizar las transferencias para el incremento del fondo de contingencias.</t>
  </si>
  <si>
    <t>Elaborar los informes del control de presupuesto de egresos (Distibución y avance del presupuesto 2008 (marzo), Informe trimestral de la aplicación de los recursos 2008 (abr., ago., nov., dic.), elaboración de cuenta pública 2007 (mzo.), solicitud de ampliaciones al presupuesto de egresos 2008 (abr. y ago.) y elaboración del anteproyecto de presupuesto de egresos 2009 (sept.)</t>
  </si>
  <si>
    <t>Coordinación y control del presupuesto de egresos (Distibución y avance del presupuesto 2008, Informe trimestral de la aplicación de los recursos 2008, elaboración de cuenta pública 2007, solicitud de ampliaciones al presupuesto de egresos 2008 y elaboración del anteproyecto de presupuesto de egresos 2009).</t>
  </si>
  <si>
    <t>Implementación del programa de capacitación de auxiliares de plantele y centros EMSaD.</t>
  </si>
  <si>
    <t>Supervisión y control de la cartera vencida.</t>
  </si>
  <si>
    <t>Supervizar y analizar la cartera vencida del Colegio (supervisión personal de Dirección Financiera (4 reuniones) y análisis por auxiliares administrativos(4 reuniones).</t>
  </si>
  <si>
    <t>Módulo</t>
  </si>
  <si>
    <t>Sistematización en línea para la captación de ingresos propios en el proceso de inscripción y reinscripción.</t>
  </si>
  <si>
    <t xml:space="preserve">Elaborar de los estudios de factibilidad  </t>
  </si>
  <si>
    <t>Diagnóstico de las necesidades de servicios educativos del nivel medio superior (estudios de factibilidad).</t>
  </si>
  <si>
    <t>Coordinación y supervisión de las reuniones de la H. Junta Directiva.</t>
  </si>
  <si>
    <t>Generación reportes e informes estadísticos.</t>
  </si>
  <si>
    <t>Diagnóstico de las necesidades de servicios educativos del nivel medio superior, en las localidades de                           (estudios de factibilidad).</t>
  </si>
  <si>
    <t>Integrar el Programa Operativo Anual 2009 estatal (jul) y federal (ago), evaluación trimestral del POA 2008 y programación detallada  para el ciclo escolar 2008-2009 (may.)</t>
  </si>
  <si>
    <t xml:space="preserve">Actualizar los manuales y reglamentos (Manual de trámites y servicios(Abr.), Cartas compromiso (agos)). </t>
  </si>
  <si>
    <t>Supervisión de las actividades de la Dirección de Planeación.</t>
  </si>
  <si>
    <t>Supervisar el cumplimiento de las actividades de la Dirección de Planeación.</t>
  </si>
  <si>
    <t>Contar con el marco normativo del Colegio actualizado.</t>
  </si>
  <si>
    <t>Elaboración e integración de informes y actas de la Junta Directiva.</t>
  </si>
  <si>
    <t>Elaboración y actualización de los planes y programas de corto y mediano plazo.</t>
  </si>
  <si>
    <t>Implementación y supervisión del programa de trabajo en planteles y centros EMSaD.</t>
  </si>
  <si>
    <t>Realizar las reuniones de la H. Junta Directiva.</t>
  </si>
  <si>
    <t>Realizar reuniones de trabajo en los planteles y centros EMSaD.</t>
  </si>
  <si>
    <t>Participación en reuniones nacionales e internacionales de directores generales.</t>
  </si>
  <si>
    <t>Participar en reuniones nacionales e internacionales de directores generales.</t>
  </si>
  <si>
    <t>Realización del mantenimiento del estado de los sistemas y aplicación de las mejoras en los mismos (Reingeniería de software, desarrollo de sistemas de información)</t>
  </si>
  <si>
    <t>3.1.2</t>
  </si>
  <si>
    <t>Definición y aplicación de la normatividad para el desarrollo de software y uso de aplicaciones.</t>
  </si>
  <si>
    <t>Elaborar el manual de normatividad para el desarrollo y uso de aplicaciones de software.</t>
  </si>
  <si>
    <t>Mantener en óptimas condiciones los equipos de cómputo de los planteles, centros EMSaD y oficinas generales.</t>
  </si>
  <si>
    <t>Realizar el servicio preventivo y correctivo a equipos de cómputo, mantenimiento de la red local, soporte técnico de software y hardware y servicio de internet.</t>
  </si>
  <si>
    <t>Realizar revisiones internas y  auditorías externas de vigilancia al Sistema de Gestión de Calidad de los procesos administrativos.</t>
  </si>
  <si>
    <t>Implementación del programa de capacitación de auxiliares de planteles.</t>
  </si>
  <si>
    <t>Capacitar a los auxiliares administrativos de los planteles.</t>
  </si>
  <si>
    <t>Control y seguimiento financiero al Programa Operativo Anual 2008 e implementar el sistema vía web.</t>
  </si>
  <si>
    <t>Sistematización en línea del fondo para el retiro (Foret).</t>
  </si>
  <si>
    <t>Implementar en línea del sistema para el control del Fondo para el retiro (foret).</t>
  </si>
  <si>
    <t>Actualización del sistema de control bancario.</t>
  </si>
  <si>
    <t>Implementar la actualización del sistema bancario.</t>
  </si>
  <si>
    <t>Sistematización del proceso contable (2da. Fase).</t>
  </si>
  <si>
    <t>Implementar de la segunda fase del sistema de contabilidad.</t>
  </si>
  <si>
    <t xml:space="preserve">Simplificación del sistema de nóminas. </t>
  </si>
  <si>
    <t>Sistematización en línea del proceso de inscripción y reinscripción.</t>
  </si>
  <si>
    <t>Implementar el sistema en línea del proceso de inscripción y reinscripción.</t>
  </si>
  <si>
    <t xml:space="preserve">Dirección Financiera </t>
  </si>
  <si>
    <t>Realizar el mantenimiento de los sistemas de información (CENET,  Orienta Web, SAEVA, Portal Educativo, Servicios al Cliente, Sistema de Recursos Humanos -SIGERH- y Nómina, consultoria y outsourcing de sistemas de información).</t>
  </si>
  <si>
    <t xml:space="preserve"> </t>
  </si>
  <si>
    <t>Asesoría técnica y consultoría para la Elaboración del diagnóstico de necesidades  de software de acuerdo a lo que marca el plan de estudios.</t>
  </si>
  <si>
    <t xml:space="preserve">Consultoría y asistencia para la Sistematización de procesos de la Dirección de Planeación. </t>
  </si>
  <si>
    <t xml:space="preserve">Consultoría y asistencia para la Actualización y certificación de   profesores de informática y responsables de las salas de cómputo de los Centros EMSaD. </t>
  </si>
  <si>
    <t>Consultoría y asistencia para la Gestión en la adquisición del software que marcan los programas de estudio en el área de capacitación para el trabajo para los Centros EMSaD.</t>
  </si>
  <si>
    <t>Consultoría y asistencia para la Implementación y seguimiento del sistema orienta web.</t>
  </si>
  <si>
    <t>Consultoría y asistencia para la Elaboración del diagnóstico de necesidades  de software de acuerdo a lo que marca el plan de estudios.</t>
  </si>
  <si>
    <t>Consultoría y asistencia para el Programa de Estímulos al Desempeño Docente (PROGES)</t>
  </si>
  <si>
    <t>Consultoría y asistencia para la Coordinación y supervisión de la actualización del portal de transparencia del CECyTES.</t>
  </si>
  <si>
    <t>Proporcionar asesoría técnica y consultoría para la sistematización en línea del control financiero-administrativo (control presupuestal, contabilidad, nómina y foret).</t>
  </si>
  <si>
    <t>Proporcionar asesoría técnica y consultoría para la sistematización en línea para la captación de ingresos propios en el proceso de inscripción y reinscripción.</t>
  </si>
  <si>
    <t xml:space="preserve">Proporcionar asesoría técnica y consultoría para la actualización y certificación de   profesores de informática y responsables de las salas de cómputo de los Centros EMSaD. </t>
  </si>
  <si>
    <t>Registrar solicitudes de pago, ordenes de compra y de servicio e implementación del sistema vía Web (sept.).</t>
  </si>
  <si>
    <t>Implementar acciones de mejoramiento del departamento de Recursos Humanos y atención de  situaciones laborales en los planteles (incluye asesoría jurídica).</t>
  </si>
  <si>
    <t xml:space="preserve">Actualizar los manuales y reglamentos (Manual de trámites y servicios ( abr.), Cartas compromiso (agos)). </t>
  </si>
  <si>
    <t>Supervisión a los diferentes planteles y unidades administrativas adscritas a la entidad.</t>
  </si>
  <si>
    <t>Recolección y atención de peticiones ciudadanas interpuestas en los buzones ubicados en los planteles y unidades administrativas.</t>
  </si>
  <si>
    <t xml:space="preserve">Implementación del Programa contra las adicciones y fomento de la salud en los planteles. </t>
  </si>
  <si>
    <t>Implementación del Programa Mi Futuro Yo Decido.</t>
  </si>
  <si>
    <t>Promoción de nuestros valores y rescate de nuestras tradiciones, Programa MOJA.</t>
  </si>
  <si>
    <t>Elaboración y distribución del Órgano de Difusión y Vinculación del Colegio.</t>
  </si>
  <si>
    <t xml:space="preserve">Dirección General </t>
  </si>
  <si>
    <t xml:space="preserve">Proporcionar asesoría técnica y consultoría para la sistematización de procesos de la Dirección de Planeación. </t>
  </si>
  <si>
    <t>Brindar asesoría técnica y consultoría para la gestión para la adquisición del software que marcan los programas de estudio en el área de capacitación para el trabajo para los Centros EMSaD.</t>
  </si>
  <si>
    <t>Otorgar asesoría técnica y consultoría para la Implementación y seguimiento del sistema orienta web.</t>
  </si>
  <si>
    <t>Brindar asesoría técnica y consultoría para el Programa de Estímulos al Desempeño Docente (PROGES)</t>
  </si>
  <si>
    <t>Otorgar asesoría técnica y consultoría para la coordinación y supervisión de la actualización del portal de transparencia del CECyTES.</t>
  </si>
  <si>
    <t>Consultoría y asistencia para la implementación y seguimiento de la aplicación del Programa de Estímulos al Desempeño Docente.</t>
  </si>
  <si>
    <t>Consultoría y asistencia para la elaboración del diagnóstico de necesidades  de software de acuerdo a lo que marca el plan de estudios.</t>
  </si>
  <si>
    <t>Consultoría y asistencia para la coordinación y supervisión de la actualización del portal de transparencia del CECyTES.</t>
  </si>
  <si>
    <t>Consultoria y asistencia para la sistematización en línea del control financiero-administrativo (control presupuestal, contabilidad, nómina y foret).</t>
  </si>
  <si>
    <t>Consultoria y asistencia para la sistematización en línea para la captación de ingresos propios en el proceso de inscripción y reinscripción.</t>
  </si>
  <si>
    <t xml:space="preserve">Consultoria y asistencia para la sistematización de procesos de la Dirección de Planeación. </t>
  </si>
  <si>
    <t xml:space="preserve">Consultoría y asistencia para la actualización y certificación de   profesores de informática y responsables de las salas de cómputo de los Centros EMSaD. </t>
  </si>
  <si>
    <t>Consultoría y asistencia para la gestión para la adquisición del software que marcan los programas de estudio en el área de capacitación para el trabajo para los Centros EMSaD.</t>
  </si>
  <si>
    <t>Consultoría y asistencia para la implementación y seguimiento del sistema orienta web.</t>
  </si>
  <si>
    <t>Dirección General (secretaría particular, secretaría técnica y unidad de sistemas)</t>
  </si>
  <si>
    <t>Dirección General (secretaria particular, secretaria técnica y unidad de sistemas)</t>
  </si>
  <si>
    <t>Rendición de cuentas, elaboración de los estados financieros, control de Ingresos Propios para el año 2008 e implementación del control interno.</t>
  </si>
  <si>
    <t>Coordinar el control interno de los procesos financieros</t>
  </si>
  <si>
    <t>Registrar solicitudes de pago, ordenes de compra y de servicio e implementación del sistema vía web (sept.).</t>
  </si>
  <si>
    <t>Actualización del sistema bancario para la realización de transferencias.</t>
  </si>
  <si>
    <t>Actualización del sistema del proceso contable (2da. Fase).</t>
  </si>
  <si>
    <t>Implementar la sistema para simplificar el proceso de nóminas (Impresión de recibos 1/4 carta (abr.), Impresión de recibos en cada plantel (ago.) e impresión de constancis de percepcones (nov.).</t>
  </si>
  <si>
    <t>Coordinación de la realización de eventos especiales de Dirección General</t>
  </si>
  <si>
    <t>Realizar los eventos especiales de Dirección General</t>
  </si>
  <si>
    <t xml:space="preserve">Realizar la promoción de los servicios educativos en puntos estratégicos  y participar en Exporienta </t>
  </si>
  <si>
    <t xml:space="preserve">Implementación del Programa contra las adicciones y fomento de la salud en los planteles </t>
  </si>
  <si>
    <t xml:space="preserve">Impartir cursos de capacitación del Programa contra las adicciones y fomento a la salud para los alumnos en los planteles </t>
  </si>
  <si>
    <t>Implementación del Programa Mi Futuro Yo Decido</t>
  </si>
  <si>
    <t>Impartir cursos de capacitación del Programa prevencion de embarazo en adolecentes  en los planteles.</t>
  </si>
  <si>
    <t>Taller</t>
  </si>
  <si>
    <t>Promoción y realización de eventos cívicos  Inter-CECyTES en sus etapas estatal, regional y nacional.</t>
  </si>
  <si>
    <t>Realizar eventos cívicos  (lunes cívicos, desfile de independencia, desfile del 20 de noviembre, concurso de escolta y banda de guerra).</t>
  </si>
  <si>
    <t>Realizar cursos de capacitación para el personal responsable de las actividades cívicas  de los planteles y centros EMSaD.</t>
  </si>
  <si>
    <t>Implementar un programa de supervisión a los programas cívico-deportivos de los planteles y centros EMSaD.</t>
  </si>
  <si>
    <t>Realizar visitas de supervisión para evaluar y retroalimentar a los responsables de las actividades cívicas y deportivas de los Planteles y Centros EMSaD.</t>
  </si>
  <si>
    <t>Visitas/Reporte</t>
  </si>
  <si>
    <t>Atención a la demanda del servicio de educación media superior en 22 planteles y 23 centros EMSaD.</t>
  </si>
  <si>
    <t>Impartir servicios educativos en los 22 planteles y 23 centros EMSaD.</t>
  </si>
  <si>
    <t>Desarrollo y equipamiento del departamento de servicios escolares</t>
  </si>
  <si>
    <t xml:space="preserve">Elaborar los estudios de factibilidad  </t>
  </si>
  <si>
    <t>Ser la mejor institución del Nivel Medio Superior en el Estado de Sonora, mediante la creación de una cultura tecnológica de calidad, en la que participe una planta docente y administrativa con alto nivel, con planteles y programas acordes al avance de la ciencia y la tecnología, con una infraestructura física digna, moderna y funcional; ofreciendo respuestas oportunas a las necesidades de la comunidad a la que aspira servir con orgullo, cariño y dignidad.</t>
  </si>
  <si>
    <t>Supervisión y Control del Fondo de Previsión para el año 2008.</t>
  </si>
  <si>
    <t>Realizar las transferencias para el incremento del fondo de previsión.</t>
  </si>
  <si>
    <t>COLEGIO DE ESTUDIOS CIENTÍFICOS Y TECNOLÓGICOS</t>
  </si>
  <si>
    <t>DEL ESTADO DE SONORA</t>
  </si>
  <si>
    <t>PRESUPUESTO DE INGRESOS Y EGRESOS 2008</t>
  </si>
  <si>
    <t>INGRESOS:</t>
  </si>
  <si>
    <t>SUBSIDIO FEDERAL</t>
  </si>
  <si>
    <t>SUBSIDIO ESTATAL</t>
  </si>
  <si>
    <t>INGRESOS PROPIOS</t>
  </si>
  <si>
    <t>EGRESOS:</t>
  </si>
  <si>
    <t>CAPÍTULO 1000</t>
  </si>
  <si>
    <t>CAPÍTULO 2000</t>
  </si>
  <si>
    <t>CAPÍTULO 3000</t>
  </si>
  <si>
    <t>CAPÍTULO 5000</t>
  </si>
  <si>
    <t>FONDO DE CONTINGENCIA</t>
  </si>
  <si>
    <t>SUMA</t>
  </si>
  <si>
    <t>Remanente/Déficit</t>
  </si>
  <si>
    <t>PROGRAMA DE INVERSIÓN</t>
  </si>
  <si>
    <t>Proyecto de Presupuesto de Ingresos y Egresos</t>
  </si>
  <si>
    <t>Comparativo POA 2007 y 2008</t>
  </si>
  <si>
    <t>Propuesta POA</t>
  </si>
  <si>
    <t>Diferencia</t>
  </si>
  <si>
    <t>INGRESOS</t>
  </si>
  <si>
    <t>Propuesta POA 2008</t>
  </si>
  <si>
    <t>Atención a la Demanda ( 23 planteles y 22 centros EMSaD)</t>
  </si>
  <si>
    <t xml:space="preserve">Gasto Operativo </t>
  </si>
  <si>
    <t>Suma</t>
  </si>
  <si>
    <t xml:space="preserve">Metas </t>
  </si>
  <si>
    <t>Comparativo de la Propuesta POA 2007 y 2008</t>
  </si>
  <si>
    <t xml:space="preserve">Programa Operativo Anual </t>
  </si>
  <si>
    <t>Programa de Inversión</t>
  </si>
  <si>
    <t xml:space="preserve">     Unidad de Sistemas</t>
  </si>
  <si>
    <t xml:space="preserve">     Secretaría Técnica</t>
  </si>
  <si>
    <t>Análisis del Gasto por Unidad Administrativa</t>
  </si>
  <si>
    <t>POA 2007 Ejercido</t>
  </si>
  <si>
    <t>Comparativo POA 2007 Ejercido y Propuesta POA 2008</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</si>
</sst>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0\ _€_-;\-* #,##0.0\ _€_-;_-* &quot;-&quot;??\ _€_-;_-@_-"/>
    <numFmt numFmtId="185" formatCode="_-* #,##0\ _€_-;\-* #,##0\ _€_-;_-* &quot;-&quot;??\ _€_-;_-@_-"/>
    <numFmt numFmtId="186" formatCode="_-* #,##0.0_-;\-* #,##0.0_-;_-* &quot;-&quot;??_-;_-@_-"/>
    <numFmt numFmtId="187" formatCode="#,##0.0"/>
    <numFmt numFmtId="188" formatCode="0.0"/>
    <numFmt numFmtId="189" formatCode="_-* #,##0.000\ _€_-;\-* #,##0.000\ _€_-;_-* &quot;-&quot;??\ _€_-;_-@_-"/>
    <numFmt numFmtId="190" formatCode="_-* #,##0.0000\ _€_-;\-* #,##0.0000\ _€_-;_-* &quot;-&quot;??\ _€_-;_-@_-"/>
    <numFmt numFmtId="191" formatCode="_-* #,##0.0_-;\-* #,##0.0_-;_-* &quot;-&quot;?_-;_-@_-"/>
    <numFmt numFmtId="192" formatCode="_-[$$-80A]* #,##0.00_-;\-[$$-80A]* #,##0.00_-;_-[$$-80A]* &quot;-&quot;??_-;_-@_-"/>
    <numFmt numFmtId="193" formatCode="_-* #,##0_-;\-* #,##0_-;_-* &quot;-&quot;??_-;_-@_-"/>
    <numFmt numFmtId="194" formatCode="0.0%"/>
    <numFmt numFmtId="195" formatCode="_(* #,##0.0_);_(* \(#,##0.0\);_(* &quot;-&quot;?_);_(@_)"/>
    <numFmt numFmtId="196" formatCode="_-* #,##0.000_-;\-* #,##0.000_-;_-* &quot;-&quot;??_-;_-@_-"/>
    <numFmt numFmtId="197" formatCode="#,##0_ ;\-#,##0\ "/>
    <numFmt numFmtId="198" formatCode="#,##0.000"/>
  </numFmts>
  <fonts count="75">
    <font>
      <sz val="10"/>
      <name val="Arial"/>
      <family val="0"/>
    </font>
    <font>
      <u val="single"/>
      <sz val="10"/>
      <color indexed="12"/>
      <name val="Arial"/>
      <family val="2"/>
    </font>
    <font>
      <u val="single"/>
      <sz val="10"/>
      <color indexed="20"/>
      <name val="Arial"/>
      <family val="2"/>
    </font>
    <font>
      <b/>
      <sz val="10"/>
      <name val="Arial"/>
      <family val="2"/>
    </font>
    <font>
      <sz val="10"/>
      <color indexed="9"/>
      <name val="Arial"/>
      <family val="2"/>
    </font>
    <font>
      <sz val="8"/>
      <color indexed="9"/>
      <name val="Arial"/>
      <family val="2"/>
    </font>
    <font>
      <b/>
      <sz val="10"/>
      <color indexed="9"/>
      <name val="Arial"/>
      <family val="2"/>
    </font>
    <font>
      <b/>
      <sz val="10"/>
      <color indexed="63"/>
      <name val="Arial"/>
      <family val="2"/>
    </font>
    <font>
      <sz val="10"/>
      <color indexed="63"/>
      <name val="Arial"/>
      <family val="2"/>
    </font>
    <font>
      <b/>
      <sz val="14"/>
      <color indexed="9"/>
      <name val="Arial"/>
      <family val="2"/>
    </font>
    <font>
      <b/>
      <sz val="12"/>
      <color indexed="9"/>
      <name val="Arial"/>
      <family val="2"/>
    </font>
    <font>
      <sz val="12"/>
      <name val="Arial"/>
      <family val="2"/>
    </font>
    <font>
      <b/>
      <sz val="9"/>
      <color indexed="9"/>
      <name val="Arial"/>
      <family val="2"/>
    </font>
    <font>
      <sz val="8"/>
      <name val="Arial"/>
      <family val="2"/>
    </font>
    <font>
      <b/>
      <sz val="12"/>
      <name val="Arial"/>
      <family val="2"/>
    </font>
    <font>
      <sz val="6.5"/>
      <name val="Arial"/>
      <family val="2"/>
    </font>
    <font>
      <b/>
      <sz val="14"/>
      <name val="Times New Roman"/>
      <family val="1"/>
    </font>
    <font>
      <sz val="11"/>
      <name val="Times New Roman"/>
      <family val="1"/>
    </font>
    <font>
      <b/>
      <sz val="8"/>
      <color indexed="63"/>
      <name val="Arial"/>
      <family val="2"/>
    </font>
    <font>
      <b/>
      <sz val="8"/>
      <color indexed="9"/>
      <name val="Arial"/>
      <family val="2"/>
    </font>
    <font>
      <b/>
      <sz val="14"/>
      <name val="Arial"/>
      <family val="2"/>
    </font>
    <font>
      <b/>
      <sz val="11"/>
      <name val="Arial"/>
      <family val="2"/>
    </font>
    <font>
      <b/>
      <sz val="8"/>
      <name val="Arial"/>
      <family val="2"/>
    </font>
    <font>
      <b/>
      <u val="single"/>
      <sz val="10"/>
      <color indexed="9"/>
      <name val="Arial"/>
      <family val="2"/>
    </font>
    <font>
      <b/>
      <sz val="10"/>
      <color indexed="10"/>
      <name val="Arial"/>
      <family val="2"/>
    </font>
    <font>
      <b/>
      <sz val="10"/>
      <color indexed="12"/>
      <name val="Arial"/>
      <family val="2"/>
    </font>
    <font>
      <b/>
      <sz val="8"/>
      <color indexed="12"/>
      <name val="Arial"/>
      <family val="2"/>
    </font>
    <font>
      <b/>
      <sz val="12"/>
      <color indexed="12"/>
      <name val="Arial"/>
      <family val="2"/>
    </font>
    <font>
      <b/>
      <sz val="9"/>
      <name val="Arial"/>
      <family val="2"/>
    </font>
    <font>
      <sz val="11"/>
      <name val="Arial"/>
      <family val="2"/>
    </font>
    <font>
      <sz val="10"/>
      <name val="Times New Roman"/>
      <family val="1"/>
    </font>
    <font>
      <sz val="16"/>
      <name val="Arial"/>
      <family val="2"/>
    </font>
    <font>
      <b/>
      <sz val="16"/>
      <name val="Arial"/>
      <family val="2"/>
    </font>
    <font>
      <sz val="14"/>
      <name val="Arial"/>
      <family val="2"/>
    </font>
    <font>
      <b/>
      <sz val="20"/>
      <name val="Arial"/>
      <family val="2"/>
    </font>
    <font>
      <sz val="10"/>
      <color indexed="12"/>
      <name val="Arial"/>
      <family val="2"/>
    </font>
    <font>
      <sz val="28"/>
      <color indexed="8"/>
      <name val="Arial"/>
      <family val="2"/>
    </font>
    <font>
      <sz val="10"/>
      <color indexed="56"/>
      <name val="Arial"/>
      <family val="2"/>
    </font>
    <font>
      <sz val="10"/>
      <color indexed="10"/>
      <name val="Arial"/>
      <family val="2"/>
    </font>
    <font>
      <b/>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tint="-0.24997000396251678"/>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style="medium">
        <color indexed="8"/>
      </top>
      <bottom>
        <color indexed="63"/>
      </bottom>
    </border>
    <border>
      <left>
        <color indexed="63"/>
      </left>
      <right>
        <color indexed="63"/>
      </right>
      <top style="medium">
        <color indexed="8"/>
      </top>
      <bottom>
        <color indexed="63"/>
      </bottom>
    </border>
    <border>
      <left style="medium">
        <color indexed="8"/>
      </left>
      <right style="medium"/>
      <top>
        <color indexed="63"/>
      </top>
      <bottom style="medium"/>
    </border>
    <border>
      <left>
        <color indexed="63"/>
      </left>
      <right style="medium"/>
      <top>
        <color indexed="63"/>
      </top>
      <bottom style="medium"/>
    </border>
    <border>
      <left>
        <color indexed="63"/>
      </left>
      <right style="medium">
        <color indexed="8"/>
      </right>
      <top>
        <color indexed="63"/>
      </top>
      <bottom style="medium"/>
    </border>
    <border>
      <left>
        <color indexed="63"/>
      </left>
      <right style="medium"/>
      <top>
        <color indexed="63"/>
      </top>
      <bottom style="medium">
        <color indexed="8"/>
      </bottom>
    </border>
    <border>
      <left>
        <color indexed="63"/>
      </left>
      <right style="medium">
        <color indexed="8"/>
      </right>
      <top>
        <color indexed="63"/>
      </top>
      <bottom style="medium">
        <color indexed="8"/>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n">
        <color indexed="22"/>
      </left>
      <right style="thin">
        <color indexed="22"/>
      </right>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style="thin">
        <color indexed="22"/>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style="thin"/>
      <top style="thin"/>
      <bottom style="thin"/>
    </border>
    <border>
      <left style="medium">
        <color indexed="8"/>
      </left>
      <right style="medium"/>
      <top style="medium">
        <color indexed="8"/>
      </top>
      <bottom style="medium">
        <color indexed="8"/>
      </bottom>
    </border>
    <border>
      <left style="medium"/>
      <right style="medium"/>
      <top style="medium">
        <color indexed="8"/>
      </top>
      <bottom style="medium">
        <color indexed="8"/>
      </bottom>
    </border>
    <border>
      <left style="medium"/>
      <right style="medium">
        <color indexed="8"/>
      </right>
      <top style="medium">
        <color indexed="8"/>
      </top>
      <bottom style="medium">
        <color indexed="8"/>
      </bottom>
    </border>
    <border>
      <left style="thin"/>
      <right style="thin"/>
      <top style="thin"/>
      <bottom style="thin"/>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style="double"/>
      <top>
        <color indexed="63"/>
      </top>
      <bottom style="thin"/>
    </border>
    <border>
      <left style="thin"/>
      <right style="thin"/>
      <top style="thin"/>
      <bottom style="double"/>
    </border>
    <border>
      <left style="thin"/>
      <right style="double"/>
      <top style="thin"/>
      <bottom style="double"/>
    </border>
    <border>
      <left style="thin"/>
      <right style="thin"/>
      <top style="thin"/>
      <bottom>
        <color indexed="63"/>
      </bottom>
    </border>
    <border>
      <left style="double"/>
      <right style="thin"/>
      <top>
        <color indexed="63"/>
      </top>
      <bottom style="thin"/>
    </border>
    <border>
      <left style="double"/>
      <right style="thin"/>
      <top style="thin"/>
      <bottom style="thin"/>
    </border>
    <border>
      <left style="double"/>
      <right style="thin"/>
      <top style="thin"/>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thin"/>
      <bottom style="double"/>
    </border>
    <border>
      <left style="thin"/>
      <right style="double"/>
      <top>
        <color indexed="63"/>
      </top>
      <bottom style="double"/>
    </border>
    <border>
      <left style="thin"/>
      <right style="thin"/>
      <top style="double"/>
      <bottom>
        <color indexed="63"/>
      </bottom>
    </border>
    <border>
      <left style="thin"/>
      <right style="double"/>
      <top style="thin"/>
      <bottom style="thin"/>
    </border>
    <border>
      <left>
        <color indexed="63"/>
      </left>
      <right style="thin"/>
      <top style="double"/>
      <bottom style="double"/>
    </border>
    <border>
      <left>
        <color indexed="63"/>
      </left>
      <right style="thin"/>
      <top>
        <color indexed="63"/>
      </top>
      <bottom style="thin"/>
    </border>
    <border>
      <left>
        <color indexed="63"/>
      </left>
      <right style="thin"/>
      <top style="thin"/>
      <bottom>
        <color indexed="63"/>
      </bottom>
    </border>
    <border>
      <left>
        <color indexed="63"/>
      </left>
      <right style="thin"/>
      <top style="double"/>
      <bottom style="thin"/>
    </border>
    <border>
      <left>
        <color indexed="63"/>
      </left>
      <right style="thin"/>
      <top style="thin"/>
      <bottom style="double"/>
    </border>
    <border>
      <left style="thin">
        <color indexed="22"/>
      </left>
      <right style="thin">
        <color indexed="22"/>
      </right>
      <top style="thin">
        <color indexed="55"/>
      </top>
      <bottom>
        <color indexed="63"/>
      </bottom>
    </border>
    <border>
      <left>
        <color indexed="63"/>
      </left>
      <right>
        <color indexed="63"/>
      </right>
      <top>
        <color indexed="63"/>
      </top>
      <bottom style="thin">
        <color indexed="55"/>
      </bottom>
    </border>
    <border>
      <left style="thin">
        <color indexed="22"/>
      </left>
      <right style="thin">
        <color indexed="22"/>
      </right>
      <top style="thin">
        <color indexed="55"/>
      </top>
      <bottom style="thin">
        <color indexed="55"/>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double"/>
      <bottom style="double"/>
    </border>
    <border>
      <left style="thin"/>
      <right>
        <color indexed="63"/>
      </right>
      <top style="double"/>
      <bottom style="thin"/>
    </border>
    <border>
      <left>
        <color indexed="63"/>
      </left>
      <right>
        <color indexed="63"/>
      </right>
      <top style="double"/>
      <bottom style="double"/>
    </border>
    <border>
      <left style="thin"/>
      <right>
        <color indexed="63"/>
      </right>
      <top style="thin"/>
      <bottom style="thin"/>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style="thin"/>
      <right style="double"/>
      <top style="thin"/>
      <bottom>
        <color indexed="63"/>
      </bottom>
    </border>
    <border>
      <left style="thin">
        <color indexed="22"/>
      </left>
      <right>
        <color indexed="63"/>
      </right>
      <top style="thin">
        <color indexed="22"/>
      </top>
      <bottom>
        <color indexed="63"/>
      </bottom>
    </border>
    <border>
      <left style="double"/>
      <right>
        <color indexed="63"/>
      </right>
      <top>
        <color indexed="63"/>
      </top>
      <bottom>
        <color indexed="63"/>
      </bottom>
    </border>
    <border>
      <left style="thin"/>
      <right style="double"/>
      <top>
        <color indexed="63"/>
      </top>
      <bottom>
        <color indexed="63"/>
      </bottom>
    </border>
    <border>
      <left>
        <color indexed="63"/>
      </left>
      <right>
        <color indexed="63"/>
      </right>
      <top style="double"/>
      <bottom>
        <color indexed="63"/>
      </bottom>
    </border>
    <border>
      <left style="double"/>
      <right>
        <color indexed="63"/>
      </right>
      <top style="double"/>
      <bottom style="double"/>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double"/>
      <right style="thin"/>
      <top style="double"/>
      <bottom>
        <color indexed="63"/>
      </bottom>
    </border>
    <border>
      <left>
        <color indexed="63"/>
      </left>
      <right>
        <color indexed="63"/>
      </right>
      <top style="double"/>
      <bottom style="thin"/>
    </border>
    <border>
      <left>
        <color indexed="63"/>
      </left>
      <right style="double"/>
      <top style="double"/>
      <bottom style="thin"/>
    </border>
    <border>
      <left>
        <color indexed="63"/>
      </left>
      <right style="double"/>
      <top style="double"/>
      <bottom>
        <color indexed="63"/>
      </bottom>
    </border>
    <border>
      <left>
        <color indexed="63"/>
      </left>
      <right style="double"/>
      <top>
        <color indexed="63"/>
      </top>
      <bottom style="thin"/>
    </border>
    <border>
      <left style="double"/>
      <right style="thin"/>
      <top>
        <color indexed="63"/>
      </top>
      <bottom>
        <color indexed="63"/>
      </bottom>
    </border>
    <border>
      <left>
        <color indexed="63"/>
      </left>
      <right style="double"/>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17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8" fillId="21"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64" fillId="0" borderId="8" applyNumberFormat="0" applyFill="0" applyAlignment="0" applyProtection="0"/>
    <xf numFmtId="0" fontId="74" fillId="0" borderId="9" applyNumberFormat="0" applyFill="0" applyAlignment="0" applyProtection="0"/>
  </cellStyleXfs>
  <cellXfs count="920">
    <xf numFmtId="0" fontId="0" fillId="0" borderId="0" xfId="0" applyAlignment="1">
      <alignment/>
    </xf>
    <xf numFmtId="0" fontId="0" fillId="33" borderId="0" xfId="0" applyFill="1" applyAlignment="1">
      <alignment/>
    </xf>
    <xf numFmtId="0" fontId="6" fillId="33" borderId="0" xfId="0" applyFont="1" applyFill="1" applyAlignment="1">
      <alignment/>
    </xf>
    <xf numFmtId="0" fontId="6" fillId="33" borderId="0" xfId="0" applyFont="1" applyFill="1" applyAlignment="1">
      <alignment horizontal="center"/>
    </xf>
    <xf numFmtId="0" fontId="0" fillId="33" borderId="0" xfId="0" applyFill="1" applyBorder="1" applyAlignment="1">
      <alignment horizontal="center"/>
    </xf>
    <xf numFmtId="0" fontId="0" fillId="33" borderId="0" xfId="0" applyFill="1" applyBorder="1" applyAlignment="1">
      <alignment/>
    </xf>
    <xf numFmtId="0" fontId="4" fillId="33" borderId="0" xfId="0" applyFont="1" applyFill="1" applyAlignment="1">
      <alignment/>
    </xf>
    <xf numFmtId="0" fontId="6" fillId="33" borderId="0" xfId="0" applyFont="1" applyFill="1" applyAlignment="1">
      <alignment/>
    </xf>
    <xf numFmtId="0" fontId="7" fillId="34" borderId="0" xfId="0" applyFont="1" applyFill="1" applyAlignment="1">
      <alignment horizontal="right"/>
    </xf>
    <xf numFmtId="0" fontId="7" fillId="34" borderId="0" xfId="0" applyFont="1" applyFill="1" applyAlignment="1">
      <alignment horizontal="center"/>
    </xf>
    <xf numFmtId="0" fontId="8" fillId="34" borderId="0" xfId="0" applyFont="1" applyFill="1" applyAlignment="1">
      <alignment/>
    </xf>
    <xf numFmtId="0" fontId="6" fillId="35" borderId="0" xfId="0" applyFont="1" applyFill="1" applyAlignment="1">
      <alignment/>
    </xf>
    <xf numFmtId="0" fontId="0" fillId="35" borderId="0" xfId="0" applyFill="1" applyAlignment="1">
      <alignment/>
    </xf>
    <xf numFmtId="0" fontId="4" fillId="33" borderId="0" xfId="0" applyFont="1" applyFill="1" applyAlignment="1">
      <alignment/>
    </xf>
    <xf numFmtId="0" fontId="4" fillId="0" borderId="0" xfId="0" applyFont="1" applyAlignment="1">
      <alignment/>
    </xf>
    <xf numFmtId="0" fontId="6" fillId="36" borderId="0" xfId="0" applyFont="1" applyFill="1" applyAlignment="1">
      <alignment horizontal="center" vertical="center" textRotation="90" wrapText="1"/>
    </xf>
    <xf numFmtId="0" fontId="0" fillId="36" borderId="0" xfId="0" applyFill="1" applyAlignment="1">
      <alignment/>
    </xf>
    <xf numFmtId="0" fontId="6" fillId="36" borderId="0" xfId="0" applyFont="1" applyFill="1" applyAlignment="1">
      <alignment horizontal="center" wrapText="1"/>
    </xf>
    <xf numFmtId="0" fontId="5" fillId="35" borderId="10" xfId="0" applyNumberFormat="1" applyFont="1" applyFill="1" applyBorder="1" applyAlignment="1" applyProtection="1">
      <alignment horizontal="center" vertical="center" wrapText="1"/>
      <protection locked="0"/>
    </xf>
    <xf numFmtId="0" fontId="5" fillId="35" borderId="11" xfId="0" applyNumberFormat="1" applyFont="1" applyFill="1" applyBorder="1" applyAlignment="1" applyProtection="1">
      <alignment horizontal="center" vertical="center" wrapText="1"/>
      <protection locked="0"/>
    </xf>
    <xf numFmtId="0" fontId="5" fillId="35" borderId="12" xfId="0" applyNumberFormat="1" applyFont="1" applyFill="1" applyBorder="1" applyAlignment="1" applyProtection="1">
      <alignment horizontal="center" vertical="center" wrapText="1"/>
      <protection locked="0"/>
    </xf>
    <xf numFmtId="0" fontId="10" fillId="33" borderId="0" xfId="0" applyFont="1" applyFill="1" applyAlignment="1">
      <alignment horizontal="center"/>
    </xf>
    <xf numFmtId="0" fontId="10" fillId="33" borderId="0" xfId="0" applyFont="1" applyFill="1" applyAlignment="1">
      <alignment horizontal="center" vertical="center" wrapText="1"/>
    </xf>
    <xf numFmtId="0" fontId="11" fillId="33" borderId="0" xfId="0" applyFont="1" applyFill="1" applyAlignment="1">
      <alignment/>
    </xf>
    <xf numFmtId="0" fontId="11" fillId="0" borderId="0" xfId="0" applyFont="1" applyAlignment="1">
      <alignment/>
    </xf>
    <xf numFmtId="0" fontId="0" fillId="37" borderId="0" xfId="0" applyFill="1" applyAlignment="1">
      <alignment/>
    </xf>
    <xf numFmtId="0" fontId="0" fillId="33" borderId="0" xfId="0" applyFill="1" applyAlignment="1">
      <alignment horizontal="justify" vertical="center"/>
    </xf>
    <xf numFmtId="0" fontId="9" fillId="33" borderId="0" xfId="0" applyFont="1" applyFill="1" applyAlignment="1">
      <alignment horizontal="justify" vertical="center" wrapText="1"/>
    </xf>
    <xf numFmtId="0" fontId="6" fillId="36" borderId="0" xfId="0" applyFont="1" applyFill="1" applyBorder="1" applyAlignment="1">
      <alignment horizontal="center" vertical="center" textRotation="90" wrapText="1"/>
    </xf>
    <xf numFmtId="0" fontId="0" fillId="37" borderId="13" xfId="0" applyFont="1" applyFill="1" applyBorder="1" applyAlignment="1">
      <alignment horizontal="justify" wrapText="1"/>
    </xf>
    <xf numFmtId="0" fontId="0" fillId="37" borderId="14" xfId="0" applyFont="1" applyFill="1" applyBorder="1" applyAlignment="1">
      <alignment horizontal="center" wrapText="1"/>
    </xf>
    <xf numFmtId="0" fontId="0" fillId="37" borderId="15" xfId="0" applyFont="1" applyFill="1" applyBorder="1" applyAlignment="1">
      <alignment horizontal="center" wrapText="1"/>
    </xf>
    <xf numFmtId="0" fontId="0" fillId="37" borderId="16" xfId="0" applyFont="1" applyFill="1" applyBorder="1" applyAlignment="1">
      <alignment horizontal="center" wrapText="1"/>
    </xf>
    <xf numFmtId="0" fontId="0" fillId="37" borderId="17" xfId="0" applyFont="1" applyFill="1" applyBorder="1" applyAlignment="1">
      <alignment horizontal="center" wrapText="1"/>
    </xf>
    <xf numFmtId="0" fontId="13" fillId="37" borderId="14" xfId="0" applyFont="1" applyFill="1" applyBorder="1" applyAlignment="1">
      <alignment horizontal="center" wrapText="1"/>
    </xf>
    <xf numFmtId="0" fontId="13" fillId="37" borderId="15" xfId="0" applyFont="1" applyFill="1" applyBorder="1" applyAlignment="1">
      <alignment horizontal="center" wrapText="1"/>
    </xf>
    <xf numFmtId="0" fontId="0" fillId="33" borderId="14" xfId="0" applyFont="1" applyFill="1" applyBorder="1" applyAlignment="1">
      <alignment horizontal="center" wrapText="1"/>
    </xf>
    <xf numFmtId="0" fontId="3" fillId="37" borderId="18" xfId="0" applyFont="1" applyFill="1" applyBorder="1" applyAlignment="1">
      <alignment horizontal="center"/>
    </xf>
    <xf numFmtId="0" fontId="0" fillId="37" borderId="19" xfId="0" applyFont="1" applyFill="1" applyBorder="1" applyAlignment="1">
      <alignment horizontal="center"/>
    </xf>
    <xf numFmtId="0" fontId="0" fillId="37" borderId="0" xfId="0" applyFont="1" applyFill="1" applyAlignment="1">
      <alignment/>
    </xf>
    <xf numFmtId="0" fontId="0" fillId="0" borderId="0" xfId="0" applyAlignment="1">
      <alignment horizontal="justify" vertical="top" wrapText="1"/>
    </xf>
    <xf numFmtId="0" fontId="0" fillId="0" borderId="0" xfId="0" applyFont="1" applyAlignment="1">
      <alignment/>
    </xf>
    <xf numFmtId="0" fontId="0" fillId="37" borderId="18" xfId="0" applyFont="1" applyFill="1" applyBorder="1" applyAlignment="1">
      <alignment horizontal="center" vertical="top"/>
    </xf>
    <xf numFmtId="0" fontId="0" fillId="37" borderId="20" xfId="0" applyFont="1" applyFill="1" applyBorder="1" applyAlignment="1">
      <alignment horizontal="center" vertical="top"/>
    </xf>
    <xf numFmtId="0" fontId="0" fillId="37" borderId="21" xfId="0" applyFont="1" applyFill="1" applyBorder="1" applyAlignment="1">
      <alignment horizontal="center" vertical="top"/>
    </xf>
    <xf numFmtId="0" fontId="0" fillId="37" borderId="21" xfId="0" applyFont="1" applyFill="1" applyBorder="1" applyAlignment="1">
      <alignment horizontal="center"/>
    </xf>
    <xf numFmtId="0" fontId="0" fillId="37" borderId="22" xfId="0" applyFont="1" applyFill="1" applyBorder="1" applyAlignment="1">
      <alignment horizontal="center"/>
    </xf>
    <xf numFmtId="0" fontId="3" fillId="0" borderId="0" xfId="0" applyFont="1" applyAlignment="1">
      <alignment horizontal="center"/>
    </xf>
    <xf numFmtId="187" fontId="3" fillId="37" borderId="21" xfId="0" applyNumberFormat="1" applyFont="1" applyFill="1" applyBorder="1" applyAlignment="1">
      <alignment horizontal="center" vertical="top"/>
    </xf>
    <xf numFmtId="0" fontId="3" fillId="37" borderId="21" xfId="0" applyFont="1" applyFill="1" applyBorder="1" applyAlignment="1">
      <alignment horizontal="center" vertical="top"/>
    </xf>
    <xf numFmtId="0" fontId="3" fillId="37" borderId="21" xfId="0" applyFont="1" applyFill="1" applyBorder="1" applyAlignment="1">
      <alignment horizontal="center"/>
    </xf>
    <xf numFmtId="0" fontId="3" fillId="37" borderId="22" xfId="0" applyFont="1" applyFill="1" applyBorder="1" applyAlignment="1">
      <alignment horizontal="center"/>
    </xf>
    <xf numFmtId="0" fontId="3" fillId="37" borderId="19" xfId="0" applyFont="1" applyFill="1" applyBorder="1" applyAlignment="1">
      <alignment horizontal="center"/>
    </xf>
    <xf numFmtId="187" fontId="3" fillId="37" borderId="19" xfId="0" applyNumberFormat="1" applyFont="1" applyFill="1" applyBorder="1" applyAlignment="1">
      <alignment horizontal="center" vertical="top"/>
    </xf>
    <xf numFmtId="0" fontId="3" fillId="37" borderId="20" xfId="0" applyFont="1" applyFill="1" applyBorder="1" applyAlignment="1">
      <alignment horizontal="center" vertical="top"/>
    </xf>
    <xf numFmtId="184" fontId="0" fillId="37" borderId="18" xfId="49" applyNumberFormat="1" applyFont="1" applyFill="1" applyBorder="1" applyAlignment="1">
      <alignment horizontal="right" vertical="top"/>
    </xf>
    <xf numFmtId="184" fontId="0" fillId="0" borderId="0" xfId="49" applyNumberFormat="1" applyFont="1" applyAlignment="1">
      <alignment horizontal="right"/>
    </xf>
    <xf numFmtId="187" fontId="3" fillId="37" borderId="18" xfId="0" applyNumberFormat="1" applyFont="1" applyFill="1" applyBorder="1" applyAlignment="1">
      <alignment horizontal="center" vertical="top"/>
    </xf>
    <xf numFmtId="184" fontId="0" fillId="37" borderId="21" xfId="49" applyNumberFormat="1" applyFont="1" applyFill="1" applyBorder="1" applyAlignment="1">
      <alignment horizontal="right" vertical="top"/>
    </xf>
    <xf numFmtId="184" fontId="3" fillId="37" borderId="21" xfId="49" applyNumberFormat="1" applyFont="1" applyFill="1" applyBorder="1" applyAlignment="1">
      <alignment horizontal="right" vertical="top"/>
    </xf>
    <xf numFmtId="184" fontId="3" fillId="37" borderId="21" xfId="49" applyNumberFormat="1" applyFont="1" applyFill="1" applyBorder="1" applyAlignment="1">
      <alignment horizontal="right"/>
    </xf>
    <xf numFmtId="184" fontId="0" fillId="37" borderId="21" xfId="49" applyNumberFormat="1" applyFont="1" applyFill="1" applyBorder="1" applyAlignment="1">
      <alignment horizontal="right"/>
    </xf>
    <xf numFmtId="191" fontId="3" fillId="37" borderId="21" xfId="0" applyNumberFormat="1" applyFont="1" applyFill="1" applyBorder="1" applyAlignment="1">
      <alignment horizontal="center"/>
    </xf>
    <xf numFmtId="191" fontId="3" fillId="37" borderId="19" xfId="0" applyNumberFormat="1" applyFont="1" applyFill="1" applyBorder="1" applyAlignment="1">
      <alignment horizontal="center"/>
    </xf>
    <xf numFmtId="184" fontId="3" fillId="37" borderId="21" xfId="0" applyNumberFormat="1" applyFont="1" applyFill="1" applyBorder="1" applyAlignment="1">
      <alignment horizontal="center"/>
    </xf>
    <xf numFmtId="191" fontId="3" fillId="37" borderId="22" xfId="0" applyNumberFormat="1" applyFont="1" applyFill="1" applyBorder="1" applyAlignment="1">
      <alignment horizontal="center"/>
    </xf>
    <xf numFmtId="184" fontId="3" fillId="37" borderId="22" xfId="0" applyNumberFormat="1" applyFont="1" applyFill="1" applyBorder="1" applyAlignment="1">
      <alignment horizontal="center"/>
    </xf>
    <xf numFmtId="43" fontId="3" fillId="37" borderId="18" xfId="0" applyNumberFormat="1" applyFont="1" applyFill="1" applyBorder="1" applyAlignment="1">
      <alignment horizontal="center"/>
    </xf>
    <xf numFmtId="184" fontId="0" fillId="37" borderId="22" xfId="49" applyNumberFormat="1" applyFont="1" applyFill="1" applyBorder="1" applyAlignment="1">
      <alignment horizontal="right"/>
    </xf>
    <xf numFmtId="184" fontId="0" fillId="37" borderId="19" xfId="49" applyNumberFormat="1" applyFont="1" applyFill="1" applyBorder="1" applyAlignment="1">
      <alignment horizontal="right"/>
    </xf>
    <xf numFmtId="184" fontId="3" fillId="37" borderId="19" xfId="49" applyNumberFormat="1" applyFont="1" applyFill="1" applyBorder="1" applyAlignment="1">
      <alignment horizontal="right"/>
    </xf>
    <xf numFmtId="184" fontId="3" fillId="37" borderId="18" xfId="0" applyNumberFormat="1" applyFont="1" applyFill="1" applyBorder="1" applyAlignment="1">
      <alignment horizontal="center"/>
    </xf>
    <xf numFmtId="0" fontId="0" fillId="37" borderId="19" xfId="0" applyFont="1" applyFill="1" applyBorder="1" applyAlignment="1">
      <alignment horizontal="left" wrapText="1"/>
    </xf>
    <xf numFmtId="191" fontId="3" fillId="37" borderId="18" xfId="0" applyNumberFormat="1" applyFont="1" applyFill="1" applyBorder="1" applyAlignment="1">
      <alignment horizontal="center"/>
    </xf>
    <xf numFmtId="179" fontId="0" fillId="0" borderId="0" xfId="49" applyFont="1" applyAlignment="1">
      <alignment/>
    </xf>
    <xf numFmtId="0" fontId="0" fillId="33" borderId="18" xfId="0" applyFont="1" applyFill="1" applyBorder="1" applyAlignment="1">
      <alignment horizontal="justify" vertical="top" wrapText="1"/>
    </xf>
    <xf numFmtId="0" fontId="0" fillId="33" borderId="19" xfId="0" applyFont="1" applyFill="1" applyBorder="1" applyAlignment="1">
      <alignment horizontal="justify" vertical="top" wrapText="1"/>
    </xf>
    <xf numFmtId="43" fontId="3" fillId="0" borderId="0" xfId="0" applyNumberFormat="1" applyFont="1" applyAlignment="1">
      <alignment horizontal="center"/>
    </xf>
    <xf numFmtId="0" fontId="3" fillId="37" borderId="19" xfId="0" applyFont="1" applyFill="1" applyBorder="1" applyAlignment="1">
      <alignment horizontal="center" vertical="top"/>
    </xf>
    <xf numFmtId="184" fontId="3" fillId="37" borderId="19" xfId="49" applyNumberFormat="1" applyFont="1" applyFill="1" applyBorder="1" applyAlignment="1">
      <alignment horizontal="right" vertical="top"/>
    </xf>
    <xf numFmtId="0" fontId="4" fillId="33" borderId="21" xfId="0" applyFont="1" applyFill="1" applyBorder="1" applyAlignment="1">
      <alignment horizontal="justify" vertical="top" wrapText="1"/>
    </xf>
    <xf numFmtId="0" fontId="0" fillId="33" borderId="21" xfId="0" applyFont="1" applyFill="1" applyBorder="1" applyAlignment="1">
      <alignment/>
    </xf>
    <xf numFmtId="0" fontId="0" fillId="0" borderId="14" xfId="0" applyFont="1" applyFill="1" applyBorder="1" applyAlignment="1">
      <alignment horizontal="center" wrapText="1"/>
    </xf>
    <xf numFmtId="0" fontId="0" fillId="33" borderId="22" xfId="0" applyFill="1" applyBorder="1" applyAlignment="1">
      <alignment/>
    </xf>
    <xf numFmtId="0" fontId="0" fillId="33" borderId="18" xfId="0" applyFill="1" applyBorder="1" applyAlignment="1">
      <alignment horizontal="left" wrapText="1"/>
    </xf>
    <xf numFmtId="0" fontId="0" fillId="33" borderId="21" xfId="0" applyFont="1" applyFill="1" applyBorder="1" applyAlignment="1">
      <alignment horizontal="justify" vertical="top" wrapText="1"/>
    </xf>
    <xf numFmtId="0" fontId="0" fillId="33" borderId="18" xfId="0" applyFont="1" applyFill="1" applyBorder="1" applyAlignment="1">
      <alignment horizontal="left" vertical="top" wrapText="1"/>
    </xf>
    <xf numFmtId="0" fontId="6" fillId="33" borderId="23" xfId="0" applyFont="1" applyFill="1" applyBorder="1" applyAlignment="1">
      <alignment horizontal="center"/>
    </xf>
    <xf numFmtId="43" fontId="3" fillId="33" borderId="21" xfId="0" applyNumberFormat="1" applyFont="1" applyFill="1" applyBorder="1" applyAlignment="1">
      <alignment horizontal="center"/>
    </xf>
    <xf numFmtId="0" fontId="15" fillId="0" borderId="0" xfId="0" applyFont="1" applyAlignment="1">
      <alignment horizontal="right"/>
    </xf>
    <xf numFmtId="0" fontId="17" fillId="0" borderId="0" xfId="0" applyFont="1" applyAlignment="1">
      <alignment/>
    </xf>
    <xf numFmtId="0" fontId="6" fillId="33" borderId="22" xfId="0" applyFont="1" applyFill="1" applyBorder="1" applyAlignment="1">
      <alignment/>
    </xf>
    <xf numFmtId="0" fontId="7" fillId="34" borderId="22" xfId="0" applyFont="1" applyFill="1" applyBorder="1" applyAlignment="1">
      <alignment horizontal="justify" vertical="top" wrapText="1"/>
    </xf>
    <xf numFmtId="0" fontId="7" fillId="34" borderId="22" xfId="0" applyFont="1" applyFill="1" applyBorder="1" applyAlignment="1">
      <alignment horizontal="center"/>
    </xf>
    <xf numFmtId="184" fontId="7" fillId="34" borderId="22" xfId="49" applyNumberFormat="1" applyFont="1" applyFill="1" applyBorder="1" applyAlignment="1">
      <alignment horizontal="right"/>
    </xf>
    <xf numFmtId="0" fontId="6" fillId="33" borderId="18" xfId="0" applyFont="1" applyFill="1" applyBorder="1" applyAlignment="1">
      <alignment/>
    </xf>
    <xf numFmtId="0" fontId="0" fillId="33" borderId="18" xfId="0" applyFill="1" applyBorder="1" applyAlignment="1">
      <alignment/>
    </xf>
    <xf numFmtId="0" fontId="6" fillId="33" borderId="18" xfId="0" applyFont="1" applyFill="1" applyBorder="1" applyAlignment="1">
      <alignment vertical="top"/>
    </xf>
    <xf numFmtId="0" fontId="0" fillId="33" borderId="18" xfId="0" applyFont="1" applyFill="1" applyBorder="1" applyAlignment="1">
      <alignment/>
    </xf>
    <xf numFmtId="187" fontId="3" fillId="0" borderId="19" xfId="0" applyNumberFormat="1" applyFont="1" applyBorder="1" applyAlignment="1">
      <alignment horizontal="center"/>
    </xf>
    <xf numFmtId="0" fontId="3" fillId="0" borderId="21" xfId="0" applyFont="1" applyBorder="1" applyAlignment="1">
      <alignment horizontal="center"/>
    </xf>
    <xf numFmtId="187" fontId="3" fillId="0" borderId="21" xfId="0" applyNumberFormat="1" applyFont="1" applyBorder="1" applyAlignment="1">
      <alignment horizontal="center"/>
    </xf>
    <xf numFmtId="0" fontId="4" fillId="33" borderId="19" xfId="0" applyFont="1" applyFill="1" applyBorder="1" applyAlignment="1">
      <alignment/>
    </xf>
    <xf numFmtId="0" fontId="12" fillId="33" borderId="21" xfId="0" applyFont="1" applyFill="1" applyBorder="1" applyAlignment="1">
      <alignment horizontal="justify" vertical="top" wrapText="1"/>
    </xf>
    <xf numFmtId="0" fontId="6" fillId="33" borderId="21" xfId="0" applyFont="1" applyFill="1" applyBorder="1" applyAlignment="1">
      <alignment horizontal="center" vertical="top"/>
    </xf>
    <xf numFmtId="0" fontId="18" fillId="34" borderId="22" xfId="0" applyFont="1" applyFill="1" applyBorder="1" applyAlignment="1">
      <alignment horizontal="justify" vertical="top" wrapText="1"/>
    </xf>
    <xf numFmtId="0" fontId="19" fillId="33" borderId="21" xfId="0" applyFont="1" applyFill="1" applyBorder="1" applyAlignment="1">
      <alignment horizontal="justify" vertical="top" wrapText="1"/>
    </xf>
    <xf numFmtId="0" fontId="13" fillId="37" borderId="19" xfId="0" applyFont="1" applyFill="1" applyBorder="1" applyAlignment="1">
      <alignment horizontal="justify" vertical="top" wrapText="1"/>
    </xf>
    <xf numFmtId="0" fontId="13" fillId="37" borderId="21" xfId="0" applyFont="1" applyFill="1" applyBorder="1" applyAlignment="1">
      <alignment horizontal="justify" vertical="top" wrapText="1" shrinkToFit="1"/>
    </xf>
    <xf numFmtId="0" fontId="13" fillId="37" borderId="21" xfId="0" applyFont="1" applyFill="1" applyBorder="1" applyAlignment="1">
      <alignment horizontal="justify" vertical="top" wrapText="1"/>
    </xf>
    <xf numFmtId="0" fontId="5" fillId="37" borderId="21" xfId="0" applyFont="1" applyFill="1" applyBorder="1" applyAlignment="1">
      <alignment horizontal="justify" vertical="top" wrapText="1"/>
    </xf>
    <xf numFmtId="0" fontId="5" fillId="37" borderId="22" xfId="0" applyFont="1" applyFill="1" applyBorder="1" applyAlignment="1">
      <alignment horizontal="justify" vertical="top" wrapText="1"/>
    </xf>
    <xf numFmtId="0" fontId="13" fillId="37" borderId="18" xfId="0" applyFont="1" applyFill="1" applyBorder="1" applyAlignment="1">
      <alignment horizontal="justify" vertical="top" wrapText="1"/>
    </xf>
    <xf numFmtId="0" fontId="5" fillId="33" borderId="21" xfId="0" applyFont="1" applyFill="1" applyBorder="1" applyAlignment="1">
      <alignment horizontal="justify" vertical="top" wrapText="1"/>
    </xf>
    <xf numFmtId="0" fontId="13" fillId="0" borderId="0" xfId="0" applyFont="1" applyAlignment="1">
      <alignment horizontal="justify" vertical="top" wrapText="1"/>
    </xf>
    <xf numFmtId="43" fontId="13" fillId="0" borderId="0" xfId="0" applyNumberFormat="1" applyFont="1" applyAlignment="1">
      <alignment horizontal="justify" vertical="top" wrapText="1"/>
    </xf>
    <xf numFmtId="184" fontId="0" fillId="37" borderId="0" xfId="0" applyNumberFormat="1" applyFill="1" applyAlignment="1">
      <alignment/>
    </xf>
    <xf numFmtId="179" fontId="13" fillId="37" borderId="21" xfId="49" applyFont="1" applyFill="1" applyBorder="1" applyAlignment="1">
      <alignment horizontal="justify" vertical="top" wrapText="1"/>
    </xf>
    <xf numFmtId="184" fontId="13" fillId="37" borderId="21" xfId="0" applyNumberFormat="1" applyFont="1" applyFill="1" applyBorder="1" applyAlignment="1">
      <alignment horizontal="justify" vertical="top" wrapText="1" shrinkToFit="1"/>
    </xf>
    <xf numFmtId="179" fontId="0" fillId="33" borderId="0" xfId="0" applyNumberFormat="1" applyFill="1" applyAlignment="1">
      <alignment horizontal="center"/>
    </xf>
    <xf numFmtId="0" fontId="0" fillId="33" borderId="19" xfId="0" applyFont="1" applyFill="1" applyBorder="1" applyAlignment="1">
      <alignment horizontal="center" vertical="top" wrapText="1"/>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0" fontId="13" fillId="0" borderId="15" xfId="0" applyFont="1" applyFill="1" applyBorder="1" applyAlignment="1">
      <alignment horizontal="center" wrapText="1"/>
    </xf>
    <xf numFmtId="0" fontId="13" fillId="0" borderId="14" xfId="0" applyFont="1" applyFill="1" applyBorder="1" applyAlignment="1">
      <alignment horizontal="center" wrapText="1"/>
    </xf>
    <xf numFmtId="0" fontId="0" fillId="0" borderId="15" xfId="0" applyFont="1" applyFill="1" applyBorder="1" applyAlignment="1">
      <alignment horizontal="center" wrapText="1"/>
    </xf>
    <xf numFmtId="0" fontId="0" fillId="37" borderId="14" xfId="0" applyFont="1" applyFill="1" applyBorder="1" applyAlignment="1">
      <alignment wrapText="1"/>
    </xf>
    <xf numFmtId="0" fontId="0" fillId="37" borderId="24" xfId="0" applyFont="1" applyFill="1" applyBorder="1" applyAlignment="1">
      <alignment horizontal="center" wrapText="1"/>
    </xf>
    <xf numFmtId="0" fontId="0" fillId="37" borderId="25" xfId="0" applyFont="1" applyFill="1" applyBorder="1" applyAlignment="1">
      <alignment horizontal="center" wrapText="1"/>
    </xf>
    <xf numFmtId="0" fontId="0" fillId="38" borderId="0" xfId="0" applyFill="1" applyAlignment="1">
      <alignment/>
    </xf>
    <xf numFmtId="0" fontId="6" fillId="38" borderId="18" xfId="0" applyFont="1" applyFill="1" applyBorder="1" applyAlignment="1">
      <alignment vertical="top"/>
    </xf>
    <xf numFmtId="191" fontId="3" fillId="38" borderId="18" xfId="0" applyNumberFormat="1" applyFont="1" applyFill="1" applyBorder="1" applyAlignment="1">
      <alignment horizontal="center"/>
    </xf>
    <xf numFmtId="0" fontId="0" fillId="38" borderId="19" xfId="0" applyFont="1" applyFill="1" applyBorder="1" applyAlignment="1">
      <alignment horizontal="center"/>
    </xf>
    <xf numFmtId="0" fontId="0" fillId="38" borderId="18" xfId="0" applyFill="1" applyBorder="1" applyAlignment="1">
      <alignment/>
    </xf>
    <xf numFmtId="0" fontId="3" fillId="38" borderId="18" xfId="0" applyFont="1" applyFill="1" applyBorder="1" applyAlignment="1">
      <alignment horizontal="justify" vertical="top" wrapText="1"/>
    </xf>
    <xf numFmtId="187" fontId="3" fillId="38" borderId="18" xfId="0" applyNumberFormat="1" applyFont="1" applyFill="1" applyBorder="1" applyAlignment="1">
      <alignment horizontal="center"/>
    </xf>
    <xf numFmtId="0" fontId="0" fillId="38" borderId="0" xfId="0" applyFont="1" applyFill="1" applyAlignment="1">
      <alignment/>
    </xf>
    <xf numFmtId="0" fontId="3" fillId="38" borderId="18" xfId="0" applyFont="1" applyFill="1" applyBorder="1" applyAlignment="1">
      <alignment/>
    </xf>
    <xf numFmtId="0" fontId="21" fillId="38" borderId="18" xfId="0" applyFont="1" applyFill="1" applyBorder="1" applyAlignment="1">
      <alignment horizontal="justify" vertical="top" wrapText="1"/>
    </xf>
    <xf numFmtId="191" fontId="3" fillId="38" borderId="18" xfId="0" applyNumberFormat="1" applyFont="1" applyFill="1" applyBorder="1" applyAlignment="1">
      <alignment horizontal="center" vertical="top"/>
    </xf>
    <xf numFmtId="0" fontId="3" fillId="38" borderId="19" xfId="0" applyFont="1" applyFill="1" applyBorder="1" applyAlignment="1">
      <alignment horizontal="center" vertical="center" wrapText="1"/>
    </xf>
    <xf numFmtId="0" fontId="0" fillId="38" borderId="18" xfId="0" applyFont="1" applyFill="1" applyBorder="1" applyAlignment="1">
      <alignment/>
    </xf>
    <xf numFmtId="0" fontId="6" fillId="38" borderId="0" xfId="0" applyFont="1" applyFill="1" applyAlignment="1">
      <alignment/>
    </xf>
    <xf numFmtId="0" fontId="6" fillId="38" borderId="0" xfId="0" applyFont="1" applyFill="1" applyAlignment="1">
      <alignment horizontal="center"/>
    </xf>
    <xf numFmtId="0" fontId="3" fillId="38" borderId="0" xfId="0" applyFont="1" applyFill="1" applyAlignment="1">
      <alignment/>
    </xf>
    <xf numFmtId="0" fontId="3" fillId="38" borderId="0" xfId="0" applyFont="1" applyFill="1" applyAlignment="1">
      <alignment horizontal="center"/>
    </xf>
    <xf numFmtId="0" fontId="14" fillId="38" borderId="0" xfId="0" applyFont="1" applyFill="1" applyAlignment="1">
      <alignment horizontal="center"/>
    </xf>
    <xf numFmtId="0" fontId="14" fillId="38" borderId="0" xfId="0" applyFont="1" applyFill="1" applyAlignment="1">
      <alignment/>
    </xf>
    <xf numFmtId="0" fontId="14" fillId="38" borderId="0" xfId="0" applyFont="1" applyFill="1" applyAlignment="1">
      <alignment horizontal="center" wrapText="1"/>
    </xf>
    <xf numFmtId="0" fontId="14" fillId="38" borderId="23" xfId="0" applyFont="1" applyFill="1" applyBorder="1" applyAlignment="1">
      <alignment horizontal="center"/>
    </xf>
    <xf numFmtId="0" fontId="14" fillId="38" borderId="24" xfId="0" applyNumberFormat="1" applyFont="1" applyFill="1" applyBorder="1" applyAlignment="1" applyProtection="1">
      <alignment horizontal="center" vertical="center" wrapText="1"/>
      <protection locked="0"/>
    </xf>
    <xf numFmtId="0" fontId="14" fillId="38" borderId="0" xfId="0" applyFont="1" applyFill="1" applyAlignment="1">
      <alignment horizontal="left"/>
    </xf>
    <xf numFmtId="0" fontId="20" fillId="38" borderId="0" xfId="0" applyFont="1" applyFill="1" applyAlignment="1">
      <alignment horizontal="justify" vertical="center" wrapText="1"/>
    </xf>
    <xf numFmtId="0" fontId="3" fillId="38" borderId="0" xfId="0" applyFont="1" applyFill="1" applyAlignment="1">
      <alignment horizontal="center" vertical="center" textRotation="90" wrapText="1"/>
    </xf>
    <xf numFmtId="0" fontId="14" fillId="38" borderId="0" xfId="0" applyFont="1" applyFill="1" applyAlignment="1">
      <alignment horizontal="center" vertical="center" wrapText="1"/>
    </xf>
    <xf numFmtId="0" fontId="3" fillId="38" borderId="26" xfId="0" applyFont="1" applyFill="1" applyBorder="1" applyAlignment="1">
      <alignment horizontal="left" wrapText="1"/>
    </xf>
    <xf numFmtId="0" fontId="3" fillId="38" borderId="0" xfId="0" applyFont="1" applyFill="1" applyAlignment="1">
      <alignment horizontal="justify" vertical="center"/>
    </xf>
    <xf numFmtId="0" fontId="3" fillId="38" borderId="27" xfId="0" applyFont="1" applyFill="1" applyBorder="1" applyAlignment="1">
      <alignment horizontal="left" wrapText="1"/>
    </xf>
    <xf numFmtId="0" fontId="3" fillId="38" borderId="28" xfId="0" applyFont="1" applyFill="1" applyBorder="1" applyAlignment="1">
      <alignment horizontal="left" wrapText="1"/>
    </xf>
    <xf numFmtId="0" fontId="3" fillId="38" borderId="13" xfId="0" applyFont="1" applyFill="1" applyBorder="1" applyAlignment="1">
      <alignment horizontal="justify" wrapText="1"/>
    </xf>
    <xf numFmtId="0" fontId="3" fillId="38" borderId="24" xfId="0" applyFont="1" applyFill="1" applyBorder="1" applyAlignment="1">
      <alignment horizontal="center" wrapText="1"/>
    </xf>
    <xf numFmtId="0" fontId="3" fillId="38" borderId="14" xfId="0" applyFont="1" applyFill="1" applyBorder="1" applyAlignment="1">
      <alignment horizontal="center" wrapText="1"/>
    </xf>
    <xf numFmtId="0" fontId="3" fillId="38" borderId="19" xfId="0" applyFont="1" applyFill="1" applyBorder="1" applyAlignment="1">
      <alignment horizontal="center"/>
    </xf>
    <xf numFmtId="187" fontId="13" fillId="37" borderId="21" xfId="0" applyNumberFormat="1" applyFont="1" applyFill="1" applyBorder="1" applyAlignment="1">
      <alignment horizontal="justify" vertical="top" wrapText="1"/>
    </xf>
    <xf numFmtId="9" fontId="3" fillId="38" borderId="19" xfId="55" applyFont="1" applyFill="1" applyBorder="1" applyAlignment="1">
      <alignment horizontal="justify" vertical="top" wrapText="1" shrinkToFit="1"/>
    </xf>
    <xf numFmtId="9" fontId="22" fillId="38" borderId="19" xfId="55" applyFont="1" applyFill="1" applyBorder="1" applyAlignment="1">
      <alignment horizontal="justify" vertical="top" wrapText="1"/>
    </xf>
    <xf numFmtId="0" fontId="6" fillId="38" borderId="0" xfId="0" applyFont="1" applyFill="1" applyBorder="1" applyAlignment="1">
      <alignment horizontal="center" vertical="center" textRotation="90" wrapText="1"/>
    </xf>
    <xf numFmtId="0" fontId="10" fillId="38" borderId="0" xfId="0" applyFont="1" applyFill="1" applyAlignment="1">
      <alignment horizontal="center" vertical="center" wrapText="1"/>
    </xf>
    <xf numFmtId="187" fontId="3" fillId="38" borderId="18" xfId="0" applyNumberFormat="1" applyFont="1" applyFill="1" applyBorder="1" applyAlignment="1">
      <alignment horizontal="center" vertical="top"/>
    </xf>
    <xf numFmtId="0" fontId="3" fillId="38" borderId="19" xfId="0" applyFont="1" applyFill="1" applyBorder="1" applyAlignment="1">
      <alignment horizontal="center" vertical="top"/>
    </xf>
    <xf numFmtId="0" fontId="23" fillId="33" borderId="0" xfId="0" applyFont="1" applyFill="1" applyAlignment="1">
      <alignment horizontal="center"/>
    </xf>
    <xf numFmtId="187" fontId="3" fillId="37" borderId="29" xfId="0" applyNumberFormat="1" applyFont="1" applyFill="1" applyBorder="1" applyAlignment="1">
      <alignment horizontal="center" vertical="top"/>
    </xf>
    <xf numFmtId="0" fontId="6" fillId="33" borderId="30" xfId="0" applyFont="1" applyFill="1" applyBorder="1" applyAlignment="1">
      <alignment vertical="top"/>
    </xf>
    <xf numFmtId="0" fontId="13" fillId="37" borderId="31" xfId="0" applyFont="1" applyFill="1" applyBorder="1" applyAlignment="1">
      <alignment horizontal="justify" vertical="top" wrapText="1"/>
    </xf>
    <xf numFmtId="0" fontId="3" fillId="37" borderId="31" xfId="0" applyFont="1" applyFill="1" applyBorder="1" applyAlignment="1">
      <alignment horizontal="center" vertical="top"/>
    </xf>
    <xf numFmtId="0" fontId="0" fillId="37" borderId="29" xfId="0" applyFont="1" applyFill="1" applyBorder="1" applyAlignment="1">
      <alignment horizontal="center" vertical="top"/>
    </xf>
    <xf numFmtId="0" fontId="3" fillId="37" borderId="29" xfId="0" applyFont="1" applyFill="1" applyBorder="1" applyAlignment="1">
      <alignment horizontal="center" vertical="top"/>
    </xf>
    <xf numFmtId="187" fontId="3" fillId="37" borderId="32" xfId="0" applyNumberFormat="1" applyFont="1" applyFill="1" applyBorder="1" applyAlignment="1">
      <alignment horizontal="center" vertical="top"/>
    </xf>
    <xf numFmtId="0" fontId="0" fillId="33" borderId="22" xfId="0" applyFont="1" applyFill="1" applyBorder="1" applyAlignment="1">
      <alignment horizontal="justify" vertical="top" wrapText="1"/>
    </xf>
    <xf numFmtId="184" fontId="0" fillId="37" borderId="18" xfId="49" applyNumberFormat="1" applyFont="1" applyFill="1" applyBorder="1" applyAlignment="1">
      <alignment horizontal="right"/>
    </xf>
    <xf numFmtId="0" fontId="0" fillId="33" borderId="22" xfId="0" applyFont="1" applyFill="1" applyBorder="1" applyAlignment="1">
      <alignment horizontal="left" vertical="top" wrapText="1"/>
    </xf>
    <xf numFmtId="0" fontId="0" fillId="33" borderId="19" xfId="0" applyFont="1" applyFill="1" applyBorder="1" applyAlignment="1">
      <alignment horizontal="left" vertical="top" wrapText="1"/>
    </xf>
    <xf numFmtId="187" fontId="0" fillId="37" borderId="21" xfId="0" applyNumberFormat="1" applyFont="1" applyFill="1" applyBorder="1" applyAlignment="1">
      <alignment horizontal="center" vertical="top"/>
    </xf>
    <xf numFmtId="0" fontId="24" fillId="37" borderId="21" xfId="0" applyFont="1" applyFill="1" applyBorder="1" applyAlignment="1">
      <alignment horizontal="center" vertical="top"/>
    </xf>
    <xf numFmtId="184" fontId="24" fillId="37" borderId="21" xfId="49" applyNumberFormat="1" applyFont="1" applyFill="1" applyBorder="1" applyAlignment="1">
      <alignment horizontal="right" vertical="top"/>
    </xf>
    <xf numFmtId="0" fontId="13" fillId="37" borderId="19" xfId="0" applyFont="1" applyFill="1" applyBorder="1" applyAlignment="1">
      <alignment horizontal="justify" vertical="top" wrapText="1" shrinkToFit="1"/>
    </xf>
    <xf numFmtId="184" fontId="0" fillId="33" borderId="19" xfId="49" applyNumberFormat="1" applyFont="1" applyFill="1" applyBorder="1" applyAlignment="1">
      <alignment horizontal="right"/>
    </xf>
    <xf numFmtId="0" fontId="3" fillId="37" borderId="0" xfId="0" applyFont="1" applyFill="1" applyBorder="1" applyAlignment="1">
      <alignment horizontal="center"/>
    </xf>
    <xf numFmtId="184" fontId="3" fillId="37" borderId="21" xfId="49" applyNumberFormat="1" applyFont="1" applyFill="1" applyBorder="1" applyAlignment="1">
      <alignment vertical="top"/>
    </xf>
    <xf numFmtId="0" fontId="0" fillId="0" borderId="21" xfId="0" applyFill="1" applyBorder="1" applyAlignment="1">
      <alignment horizontal="center"/>
    </xf>
    <xf numFmtId="184" fontId="0" fillId="0" borderId="33" xfId="49" applyNumberFormat="1" applyFont="1" applyFill="1" applyBorder="1" applyAlignment="1">
      <alignment/>
    </xf>
    <xf numFmtId="184" fontId="0" fillId="0" borderId="34" xfId="49" applyNumberFormat="1" applyFont="1" applyFill="1" applyBorder="1" applyAlignment="1">
      <alignment/>
    </xf>
    <xf numFmtId="184" fontId="0" fillId="0" borderId="34" xfId="49" applyNumberFormat="1" applyFont="1" applyFill="1" applyBorder="1" applyAlignment="1">
      <alignment horizontal="right"/>
    </xf>
    <xf numFmtId="184" fontId="0" fillId="0" borderId="34" xfId="49" applyNumberFormat="1" applyFont="1" applyFill="1" applyBorder="1" applyAlignment="1">
      <alignment/>
    </xf>
    <xf numFmtId="184" fontId="0" fillId="0" borderId="19" xfId="49" applyNumberFormat="1" applyFont="1" applyFill="1" applyBorder="1" applyAlignment="1">
      <alignment/>
    </xf>
    <xf numFmtId="187" fontId="13" fillId="37" borderId="21" xfId="0" applyNumberFormat="1" applyFont="1" applyFill="1" applyBorder="1" applyAlignment="1">
      <alignment horizontal="justify" vertical="top" wrapText="1" shrinkToFit="1"/>
    </xf>
    <xf numFmtId="184" fontId="0" fillId="0" borderId="0" xfId="49" applyNumberFormat="1" applyAlignment="1">
      <alignment horizontal="right"/>
    </xf>
    <xf numFmtId="179" fontId="0" fillId="33" borderId="0" xfId="49" applyFill="1" applyAlignment="1">
      <alignment horizontal="center"/>
    </xf>
    <xf numFmtId="179" fontId="0" fillId="33" borderId="0" xfId="49" applyFont="1" applyFill="1" applyAlignment="1">
      <alignment horizontal="center"/>
    </xf>
    <xf numFmtId="0" fontId="0" fillId="0" borderId="0" xfId="0" applyFont="1" applyAlignment="1">
      <alignment/>
    </xf>
    <xf numFmtId="0" fontId="6" fillId="33" borderId="0" xfId="0" applyFont="1" applyFill="1" applyAlignment="1">
      <alignment horizontal="center" wrapText="1"/>
    </xf>
    <xf numFmtId="184" fontId="0" fillId="37" borderId="19" xfId="49" applyNumberFormat="1" applyFont="1" applyFill="1" applyBorder="1" applyAlignment="1">
      <alignment horizontal="center"/>
    </xf>
    <xf numFmtId="184" fontId="0" fillId="37" borderId="21" xfId="49" applyNumberFormat="1" applyFont="1" applyFill="1" applyBorder="1" applyAlignment="1">
      <alignment horizontal="center" vertical="top"/>
    </xf>
    <xf numFmtId="184" fontId="3" fillId="37" borderId="21" xfId="49" applyNumberFormat="1" applyFont="1" applyFill="1" applyBorder="1" applyAlignment="1">
      <alignment horizontal="center" vertical="top"/>
    </xf>
    <xf numFmtId="0" fontId="0" fillId="33" borderId="0" xfId="0" applyFont="1" applyFill="1" applyAlignment="1">
      <alignment/>
    </xf>
    <xf numFmtId="0" fontId="26" fillId="35" borderId="11" xfId="0" applyNumberFormat="1" applyFont="1" applyFill="1" applyBorder="1" applyAlignment="1" applyProtection="1">
      <alignment horizontal="center" vertical="center" wrapText="1"/>
      <protection locked="0"/>
    </xf>
    <xf numFmtId="0" fontId="27" fillId="38" borderId="24" xfId="0" applyNumberFormat="1" applyFont="1" applyFill="1" applyBorder="1" applyAlignment="1" applyProtection="1">
      <alignment horizontal="center" vertical="center" wrapText="1"/>
      <protection locked="0"/>
    </xf>
    <xf numFmtId="0" fontId="25" fillId="0" borderId="16" xfId="0" applyFont="1" applyFill="1" applyBorder="1" applyAlignment="1">
      <alignment horizontal="center" wrapText="1"/>
    </xf>
    <xf numFmtId="0" fontId="25" fillId="38" borderId="24" xfId="0" applyFont="1" applyFill="1" applyBorder="1" applyAlignment="1">
      <alignment horizontal="center" wrapText="1"/>
    </xf>
    <xf numFmtId="0" fontId="25" fillId="33" borderId="0" xfId="0" applyFont="1" applyFill="1" applyAlignment="1">
      <alignment horizontal="center"/>
    </xf>
    <xf numFmtId="0" fontId="25" fillId="38" borderId="14" xfId="0" applyFont="1" applyFill="1" applyBorder="1" applyAlignment="1">
      <alignment horizontal="center" wrapText="1"/>
    </xf>
    <xf numFmtId="0" fontId="25" fillId="38" borderId="0" xfId="0" applyFont="1" applyFill="1" applyAlignment="1">
      <alignment horizontal="center" vertical="center"/>
    </xf>
    <xf numFmtId="0" fontId="25" fillId="0" borderId="0" xfId="0" applyFont="1" applyAlignment="1">
      <alignment horizontal="center"/>
    </xf>
    <xf numFmtId="0" fontId="3" fillId="38" borderId="0" xfId="0" applyFont="1" applyFill="1" applyAlignment="1">
      <alignment horizontal="center" vertical="center"/>
    </xf>
    <xf numFmtId="0" fontId="25" fillId="37" borderId="0" xfId="0" applyFont="1" applyFill="1" applyAlignment="1">
      <alignment horizontal="center"/>
    </xf>
    <xf numFmtId="0" fontId="26" fillId="35" borderId="0" xfId="0" applyNumberFormat="1" applyFont="1" applyFill="1" applyBorder="1" applyAlignment="1" applyProtection="1">
      <alignment horizontal="center" vertical="center" wrapText="1"/>
      <protection locked="0"/>
    </xf>
    <xf numFmtId="0" fontId="27" fillId="38" borderId="0" xfId="0" applyFont="1" applyFill="1" applyAlignment="1">
      <alignment horizontal="center"/>
    </xf>
    <xf numFmtId="0" fontId="25" fillId="0" borderId="35" xfId="0" applyFont="1" applyFill="1" applyBorder="1" applyAlignment="1">
      <alignment horizontal="center" wrapText="1"/>
    </xf>
    <xf numFmtId="0" fontId="0" fillId="33" borderId="0" xfId="0" applyFill="1" applyAlignment="1">
      <alignment horizontal="center"/>
    </xf>
    <xf numFmtId="0" fontId="19" fillId="33" borderId="19" xfId="0" applyFont="1" applyFill="1" applyBorder="1" applyAlignment="1">
      <alignment horizontal="justify" vertical="top" wrapText="1"/>
    </xf>
    <xf numFmtId="0" fontId="28" fillId="39" borderId="18" xfId="0" applyFont="1" applyFill="1" applyBorder="1" applyAlignment="1">
      <alignment horizontal="justify" vertical="center" wrapText="1"/>
    </xf>
    <xf numFmtId="0" fontId="0" fillId="33" borderId="18" xfId="0" applyFill="1" applyBorder="1" applyAlignment="1">
      <alignment horizontal="justify" wrapText="1"/>
    </xf>
    <xf numFmtId="43" fontId="3" fillId="39" borderId="18" xfId="0" applyNumberFormat="1" applyFont="1" applyFill="1" applyBorder="1" applyAlignment="1">
      <alignment horizontal="center"/>
    </xf>
    <xf numFmtId="0" fontId="0" fillId="33" borderId="22" xfId="0" applyFill="1" applyBorder="1" applyAlignment="1">
      <alignment horizontal="justify" wrapText="1"/>
    </xf>
    <xf numFmtId="0" fontId="0" fillId="33" borderId="22" xfId="0" applyFill="1" applyBorder="1" applyAlignment="1">
      <alignment horizontal="left" wrapText="1"/>
    </xf>
    <xf numFmtId="191" fontId="3" fillId="37" borderId="21" xfId="0" applyNumberFormat="1" applyFont="1" applyFill="1" applyBorder="1" applyAlignment="1">
      <alignment horizontal="center" vertical="top"/>
    </xf>
    <xf numFmtId="184" fontId="3" fillId="37" borderId="18" xfId="0" applyNumberFormat="1" applyFont="1" applyFill="1" applyBorder="1" applyAlignment="1">
      <alignment horizontal="center" vertical="top"/>
    </xf>
    <xf numFmtId="184" fontId="3" fillId="37" borderId="21" xfId="0" applyNumberFormat="1" applyFont="1" applyFill="1" applyBorder="1" applyAlignment="1">
      <alignment horizontal="center" vertical="top"/>
    </xf>
    <xf numFmtId="0" fontId="3" fillId="0" borderId="0" xfId="0" applyFont="1" applyAlignment="1">
      <alignment/>
    </xf>
    <xf numFmtId="0" fontId="0" fillId="0" borderId="13" xfId="0" applyFont="1" applyFill="1" applyBorder="1" applyAlignment="1">
      <alignment horizontal="justify" wrapText="1"/>
    </xf>
    <xf numFmtId="0" fontId="0" fillId="33" borderId="18" xfId="0" applyFont="1" applyFill="1" applyBorder="1" applyAlignment="1">
      <alignment vertical="top" wrapText="1"/>
    </xf>
    <xf numFmtId="0" fontId="0" fillId="33" borderId="0" xfId="0" applyFont="1" applyFill="1" applyBorder="1" applyAlignment="1">
      <alignment horizontal="justify" vertical="top" wrapText="1"/>
    </xf>
    <xf numFmtId="0" fontId="29" fillId="37" borderId="36" xfId="0" applyFont="1" applyFill="1" applyBorder="1" applyAlignment="1">
      <alignment horizontal="center" wrapText="1"/>
    </xf>
    <xf numFmtId="0" fontId="29" fillId="37" borderId="37" xfId="0" applyFont="1" applyFill="1" applyBorder="1" applyAlignment="1">
      <alignment horizontal="center" wrapText="1"/>
    </xf>
    <xf numFmtId="0" fontId="29" fillId="37" borderId="38" xfId="0" applyFont="1" applyFill="1" applyBorder="1" applyAlignment="1">
      <alignment horizontal="center" wrapText="1"/>
    </xf>
    <xf numFmtId="0" fontId="0" fillId="37" borderId="37" xfId="0" applyFont="1" applyFill="1" applyBorder="1" applyAlignment="1">
      <alignment horizontal="center" wrapText="1"/>
    </xf>
    <xf numFmtId="191" fontId="13" fillId="37" borderId="21" xfId="0" applyNumberFormat="1" applyFont="1" applyFill="1" applyBorder="1" applyAlignment="1">
      <alignment horizontal="justify" vertical="top" wrapText="1"/>
    </xf>
    <xf numFmtId="0" fontId="29" fillId="37" borderId="37" xfId="0" applyFont="1" applyFill="1" applyBorder="1" applyAlignment="1">
      <alignment wrapText="1"/>
    </xf>
    <xf numFmtId="0" fontId="30" fillId="0" borderId="0" xfId="0" applyFont="1" applyAlignment="1">
      <alignment wrapText="1"/>
    </xf>
    <xf numFmtId="0" fontId="29" fillId="37" borderId="36" xfId="0" applyFont="1" applyFill="1" applyBorder="1" applyAlignment="1">
      <alignment horizontal="justify" wrapText="1"/>
    </xf>
    <xf numFmtId="0" fontId="29" fillId="37" borderId="37" xfId="0" applyFont="1" applyFill="1" applyBorder="1" applyAlignment="1">
      <alignment horizontal="justify" wrapText="1"/>
    </xf>
    <xf numFmtId="0" fontId="3" fillId="0" borderId="21" xfId="0" applyFont="1" applyFill="1" applyBorder="1" applyAlignment="1">
      <alignment horizontal="center"/>
    </xf>
    <xf numFmtId="184" fontId="0" fillId="0" borderId="19" xfId="49" applyNumberFormat="1" applyFont="1" applyFill="1" applyBorder="1" applyAlignment="1">
      <alignment horizontal="right"/>
    </xf>
    <xf numFmtId="43" fontId="13" fillId="37" borderId="21" xfId="0" applyNumberFormat="1" applyFont="1" applyFill="1" applyBorder="1" applyAlignment="1">
      <alignment horizontal="justify" vertical="top" wrapText="1"/>
    </xf>
    <xf numFmtId="179" fontId="14" fillId="0" borderId="39" xfId="49" applyFont="1" applyFill="1" applyBorder="1" applyAlignment="1">
      <alignment/>
    </xf>
    <xf numFmtId="0" fontId="11" fillId="0" borderId="39" xfId="0" applyFont="1" applyFill="1" applyBorder="1" applyAlignment="1">
      <alignment/>
    </xf>
    <xf numFmtId="0" fontId="11" fillId="0" borderId="39" xfId="0" applyFont="1" applyFill="1" applyBorder="1" applyAlignment="1">
      <alignment horizontal="justify" wrapText="1"/>
    </xf>
    <xf numFmtId="0" fontId="14" fillId="0" borderId="0" xfId="0" applyFont="1" applyFill="1" applyAlignment="1">
      <alignment horizontal="center"/>
    </xf>
    <xf numFmtId="0" fontId="0" fillId="0" borderId="0" xfId="0" applyFont="1" applyAlignment="1">
      <alignment horizontal="center"/>
    </xf>
    <xf numFmtId="179" fontId="11" fillId="0" borderId="39" xfId="49" applyFont="1" applyFill="1" applyBorder="1" applyAlignment="1">
      <alignment/>
    </xf>
    <xf numFmtId="0" fontId="11" fillId="0" borderId="0" xfId="0" applyFont="1" applyFill="1" applyAlignment="1">
      <alignment/>
    </xf>
    <xf numFmtId="0" fontId="14" fillId="0" borderId="0" xfId="0" applyFont="1" applyFill="1" applyAlignment="1">
      <alignment horizontal="center" vertical="center" wrapText="1"/>
    </xf>
    <xf numFmtId="0" fontId="14" fillId="0" borderId="39" xfId="0" applyFont="1" applyFill="1" applyBorder="1" applyAlignment="1">
      <alignment/>
    </xf>
    <xf numFmtId="0" fontId="11" fillId="0" borderId="0" xfId="0" applyFont="1" applyFill="1" applyBorder="1" applyAlignment="1">
      <alignment horizontal="center"/>
    </xf>
    <xf numFmtId="0" fontId="11" fillId="0" borderId="39" xfId="0" applyFont="1" applyFill="1" applyBorder="1" applyAlignment="1">
      <alignment horizontal="center"/>
    </xf>
    <xf numFmtId="0" fontId="11" fillId="0" borderId="0" xfId="0" applyFont="1" applyAlignment="1">
      <alignment/>
    </xf>
    <xf numFmtId="179" fontId="11" fillId="0" borderId="0" xfId="49" applyFont="1" applyAlignment="1">
      <alignment/>
    </xf>
    <xf numFmtId="43" fontId="11" fillId="0" borderId="0" xfId="0" applyNumberFormat="1" applyFont="1" applyAlignment="1">
      <alignment/>
    </xf>
    <xf numFmtId="0" fontId="14" fillId="0" borderId="40" xfId="0" applyFont="1" applyFill="1" applyBorder="1" applyAlignment="1">
      <alignment horizontal="center"/>
    </xf>
    <xf numFmtId="43" fontId="11" fillId="0" borderId="41" xfId="0" applyNumberFormat="1" applyFont="1" applyFill="1" applyBorder="1" applyAlignment="1">
      <alignment/>
    </xf>
    <xf numFmtId="0" fontId="14" fillId="0" borderId="42" xfId="0" applyFont="1" applyFill="1" applyBorder="1" applyAlignment="1">
      <alignment horizontal="center"/>
    </xf>
    <xf numFmtId="0" fontId="14" fillId="0" borderId="43" xfId="0" applyFont="1" applyFill="1" applyBorder="1" applyAlignment="1">
      <alignment horizontal="center"/>
    </xf>
    <xf numFmtId="43" fontId="11" fillId="0" borderId="44" xfId="0" applyNumberFormat="1" applyFont="1" applyFill="1" applyBorder="1" applyAlignment="1">
      <alignment/>
    </xf>
    <xf numFmtId="43" fontId="11" fillId="0" borderId="0" xfId="0" applyNumberFormat="1" applyFont="1" applyFill="1" applyAlignment="1">
      <alignment/>
    </xf>
    <xf numFmtId="179" fontId="11" fillId="0" borderId="0" xfId="0" applyNumberFormat="1" applyFont="1" applyAlignment="1">
      <alignment/>
    </xf>
    <xf numFmtId="0" fontId="14" fillId="34" borderId="39" xfId="0" applyFont="1" applyFill="1" applyBorder="1" applyAlignment="1">
      <alignment horizontal="center" vertical="center" wrapText="1"/>
    </xf>
    <xf numFmtId="179" fontId="11" fillId="0" borderId="45" xfId="49" applyFont="1" applyFill="1" applyBorder="1" applyAlignment="1">
      <alignment/>
    </xf>
    <xf numFmtId="0" fontId="11" fillId="0" borderId="45" xfId="0" applyFont="1" applyFill="1" applyBorder="1" applyAlignment="1">
      <alignment/>
    </xf>
    <xf numFmtId="179" fontId="11" fillId="0" borderId="46" xfId="49" applyFont="1" applyFill="1" applyBorder="1" applyAlignment="1">
      <alignment/>
    </xf>
    <xf numFmtId="0" fontId="11" fillId="0" borderId="46" xfId="0" applyFont="1" applyFill="1" applyBorder="1" applyAlignment="1">
      <alignment/>
    </xf>
    <xf numFmtId="0" fontId="11" fillId="0" borderId="45" xfId="0" applyFont="1" applyFill="1" applyBorder="1" applyAlignment="1">
      <alignment horizontal="justify" wrapText="1"/>
    </xf>
    <xf numFmtId="0" fontId="11" fillId="0" borderId="46" xfId="0" applyFont="1" applyFill="1" applyBorder="1" applyAlignment="1">
      <alignment horizontal="justify" wrapText="1"/>
    </xf>
    <xf numFmtId="0" fontId="14" fillId="34" borderId="39" xfId="0" applyFont="1" applyFill="1" applyBorder="1" applyAlignment="1">
      <alignment horizontal="center" wrapText="1"/>
    </xf>
    <xf numFmtId="179" fontId="14" fillId="34" borderId="39" xfId="49" applyFont="1" applyFill="1" applyBorder="1" applyAlignment="1">
      <alignment/>
    </xf>
    <xf numFmtId="0" fontId="11" fillId="34" borderId="39" xfId="0" applyFont="1" applyFill="1" applyBorder="1" applyAlignment="1">
      <alignment/>
    </xf>
    <xf numFmtId="0" fontId="11" fillId="34" borderId="39" xfId="0" applyFont="1" applyFill="1" applyBorder="1" applyAlignment="1">
      <alignment horizontal="justify" wrapText="1"/>
    </xf>
    <xf numFmtId="0" fontId="14" fillId="34" borderId="47" xfId="0" applyFont="1" applyFill="1" applyBorder="1" applyAlignment="1">
      <alignment horizontal="center"/>
    </xf>
    <xf numFmtId="0" fontId="14" fillId="34" borderId="48" xfId="0" applyFont="1" applyFill="1" applyBorder="1" applyAlignment="1">
      <alignment horizontal="center"/>
    </xf>
    <xf numFmtId="179" fontId="14" fillId="34" borderId="48" xfId="0" applyNumberFormat="1" applyFont="1" applyFill="1" applyBorder="1" applyAlignment="1">
      <alignment/>
    </xf>
    <xf numFmtId="43" fontId="3" fillId="39" borderId="18" xfId="0" applyNumberFormat="1" applyFont="1" applyFill="1" applyBorder="1" applyAlignment="1">
      <alignment/>
    </xf>
    <xf numFmtId="0" fontId="0" fillId="0" borderId="21" xfId="0" applyFont="1" applyFill="1" applyBorder="1" applyAlignment="1">
      <alignment horizontal="center" vertical="top"/>
    </xf>
    <xf numFmtId="184" fontId="0" fillId="0" borderId="21" xfId="49" applyNumberFormat="1" applyFont="1" applyFill="1" applyBorder="1" applyAlignment="1">
      <alignment horizontal="right" vertical="top"/>
    </xf>
    <xf numFmtId="0" fontId="32" fillId="0" borderId="0" xfId="0" applyFont="1" applyAlignment="1">
      <alignment/>
    </xf>
    <xf numFmtId="0" fontId="20" fillId="0" borderId="0" xfId="0" applyFont="1" applyAlignment="1">
      <alignment/>
    </xf>
    <xf numFmtId="179" fontId="32" fillId="0" borderId="0" xfId="49" applyFont="1" applyAlignment="1">
      <alignment/>
    </xf>
    <xf numFmtId="0" fontId="33" fillId="0" borderId="0" xfId="0" applyFont="1" applyAlignment="1">
      <alignment/>
    </xf>
    <xf numFmtId="0" fontId="34" fillId="0" borderId="0" xfId="0" applyFont="1" applyAlignment="1">
      <alignment horizontal="center"/>
    </xf>
    <xf numFmtId="193" fontId="33" fillId="0" borderId="39" xfId="49" applyNumberFormat="1" applyFont="1" applyBorder="1" applyAlignment="1">
      <alignment/>
    </xf>
    <xf numFmtId="193" fontId="33" fillId="0" borderId="49" xfId="49" applyNumberFormat="1" applyFont="1" applyBorder="1" applyAlignment="1">
      <alignment/>
    </xf>
    <xf numFmtId="9" fontId="31" fillId="0" borderId="50" xfId="55" applyFont="1" applyFill="1" applyBorder="1" applyAlignment="1">
      <alignment horizontal="center" vertical="center"/>
    </xf>
    <xf numFmtId="0" fontId="32" fillId="40" borderId="51" xfId="0" applyFont="1" applyFill="1" applyBorder="1" applyAlignment="1">
      <alignment horizontal="center" vertical="center"/>
    </xf>
    <xf numFmtId="0" fontId="32" fillId="40" borderId="52" xfId="0" applyFont="1" applyFill="1" applyBorder="1" applyAlignment="1">
      <alignment horizontal="center" vertical="center"/>
    </xf>
    <xf numFmtId="193" fontId="33" fillId="0" borderId="53" xfId="49" applyNumberFormat="1" applyFont="1" applyBorder="1" applyAlignment="1">
      <alignment/>
    </xf>
    <xf numFmtId="0" fontId="33" fillId="0" borderId="54" xfId="0" applyFont="1" applyBorder="1" applyAlignment="1">
      <alignment horizontal="left"/>
    </xf>
    <xf numFmtId="0" fontId="33" fillId="0" borderId="55" xfId="0" applyFont="1" applyBorder="1" applyAlignment="1">
      <alignment horizontal="left"/>
    </xf>
    <xf numFmtId="0" fontId="33" fillId="0" borderId="56" xfId="0" applyFont="1" applyBorder="1" applyAlignment="1">
      <alignment horizontal="left"/>
    </xf>
    <xf numFmtId="43" fontId="0" fillId="0" borderId="0" xfId="0" applyNumberFormat="1" applyAlignment="1">
      <alignment/>
    </xf>
    <xf numFmtId="0" fontId="33" fillId="0" borderId="0" xfId="0" applyFont="1" applyBorder="1" applyAlignment="1">
      <alignment horizontal="left"/>
    </xf>
    <xf numFmtId="193" fontId="33" fillId="0" borderId="0" xfId="49" applyNumberFormat="1" applyFont="1" applyBorder="1" applyAlignment="1">
      <alignment/>
    </xf>
    <xf numFmtId="9" fontId="31" fillId="0" borderId="0" xfId="55" applyFont="1" applyFill="1" applyBorder="1" applyAlignment="1">
      <alignment horizontal="center" vertical="center"/>
    </xf>
    <xf numFmtId="0" fontId="33" fillId="0" borderId="57" xfId="0" applyFont="1" applyBorder="1" applyAlignment="1">
      <alignment horizontal="left"/>
    </xf>
    <xf numFmtId="193" fontId="33" fillId="0" borderId="58" xfId="49" applyNumberFormat="1" applyFont="1" applyBorder="1" applyAlignment="1">
      <alignment/>
    </xf>
    <xf numFmtId="9" fontId="31" fillId="0" borderId="59" xfId="55" applyFont="1" applyFill="1" applyBorder="1" applyAlignment="1">
      <alignment horizontal="center" vertical="center"/>
    </xf>
    <xf numFmtId="0" fontId="20" fillId="34" borderId="60" xfId="0" applyFont="1" applyFill="1" applyBorder="1" applyAlignment="1">
      <alignment horizontal="center"/>
    </xf>
    <xf numFmtId="193" fontId="20" fillId="34" borderId="61" xfId="49" applyNumberFormat="1" applyFont="1" applyFill="1" applyBorder="1" applyAlignment="1">
      <alignment/>
    </xf>
    <xf numFmtId="9" fontId="31" fillId="34" borderId="62" xfId="55" applyFont="1" applyFill="1" applyBorder="1" applyAlignment="1">
      <alignment horizontal="center" vertical="center"/>
    </xf>
    <xf numFmtId="0" fontId="20" fillId="34" borderId="63" xfId="0" applyFont="1" applyFill="1" applyBorder="1" applyAlignment="1">
      <alignment horizontal="left"/>
    </xf>
    <xf numFmtId="193" fontId="20" fillId="34" borderId="51" xfId="49" applyNumberFormat="1" applyFont="1" applyFill="1" applyBorder="1" applyAlignment="1">
      <alignment/>
    </xf>
    <xf numFmtId="9" fontId="32" fillId="34" borderId="64" xfId="55" applyFont="1" applyFill="1" applyBorder="1" applyAlignment="1">
      <alignment horizontal="center" vertical="center"/>
    </xf>
    <xf numFmtId="0" fontId="20" fillId="34" borderId="60" xfId="0" applyFont="1" applyFill="1" applyBorder="1" applyAlignment="1">
      <alignment horizontal="left"/>
    </xf>
    <xf numFmtId="9" fontId="32" fillId="34" borderId="62" xfId="55" applyFont="1" applyFill="1" applyBorder="1" applyAlignment="1">
      <alignment horizontal="center" vertical="center"/>
    </xf>
    <xf numFmtId="0" fontId="33" fillId="40" borderId="55" xfId="0" applyFont="1" applyFill="1" applyBorder="1" applyAlignment="1">
      <alignment horizontal="left"/>
    </xf>
    <xf numFmtId="193" fontId="33" fillId="40" borderId="39" xfId="49" applyNumberFormat="1" applyFont="1" applyFill="1" applyBorder="1" applyAlignment="1">
      <alignment/>
    </xf>
    <xf numFmtId="9" fontId="31" fillId="40" borderId="50" xfId="55" applyFont="1" applyFill="1" applyBorder="1" applyAlignment="1">
      <alignment horizontal="center" vertical="center"/>
    </xf>
    <xf numFmtId="0" fontId="33" fillId="0" borderId="0" xfId="0" applyFont="1" applyFill="1" applyAlignment="1">
      <alignment/>
    </xf>
    <xf numFmtId="0" fontId="20" fillId="0" borderId="0" xfId="0" applyFont="1" applyFill="1" applyBorder="1" applyAlignment="1">
      <alignment horizontal="center"/>
    </xf>
    <xf numFmtId="193" fontId="20" fillId="0" borderId="0" xfId="49" applyNumberFormat="1" applyFont="1" applyFill="1" applyBorder="1" applyAlignment="1">
      <alignment/>
    </xf>
    <xf numFmtId="0" fontId="20" fillId="0" borderId="57" xfId="0" applyFont="1" applyFill="1" applyBorder="1" applyAlignment="1">
      <alignment horizontal="center"/>
    </xf>
    <xf numFmtId="0" fontId="20" fillId="0" borderId="55" xfId="0" applyFont="1" applyFill="1" applyBorder="1" applyAlignment="1">
      <alignment horizontal="center"/>
    </xf>
    <xf numFmtId="0" fontId="20" fillId="34" borderId="63" xfId="0" applyFont="1" applyFill="1" applyBorder="1" applyAlignment="1">
      <alignment horizontal="center"/>
    </xf>
    <xf numFmtId="9" fontId="33" fillId="0" borderId="65" xfId="55" applyFont="1" applyFill="1" applyBorder="1" applyAlignment="1">
      <alignment horizontal="center"/>
    </xf>
    <xf numFmtId="9" fontId="33" fillId="0" borderId="39" xfId="55" applyFont="1" applyFill="1" applyBorder="1" applyAlignment="1">
      <alignment horizontal="center"/>
    </xf>
    <xf numFmtId="9" fontId="33" fillId="34" borderId="51" xfId="55" applyFont="1" applyFill="1" applyBorder="1" applyAlignment="1">
      <alignment horizontal="center"/>
    </xf>
    <xf numFmtId="9" fontId="33" fillId="0" borderId="59" xfId="55" applyFont="1" applyFill="1" applyBorder="1" applyAlignment="1">
      <alignment horizontal="center"/>
    </xf>
    <xf numFmtId="9" fontId="33" fillId="0" borderId="66" xfId="55" applyFont="1" applyFill="1" applyBorder="1" applyAlignment="1">
      <alignment horizontal="center"/>
    </xf>
    <xf numFmtId="9" fontId="20" fillId="34" borderId="52" xfId="55" applyFont="1" applyFill="1" applyBorder="1" applyAlignment="1">
      <alignment horizontal="center"/>
    </xf>
    <xf numFmtId="0" fontId="0" fillId="39" borderId="0" xfId="0" applyFill="1" applyAlignment="1">
      <alignment/>
    </xf>
    <xf numFmtId="0" fontId="0" fillId="39" borderId="16" xfId="0" applyFont="1" applyFill="1" applyBorder="1" applyAlignment="1">
      <alignment horizontal="center" wrapText="1"/>
    </xf>
    <xf numFmtId="0" fontId="0" fillId="39" borderId="14" xfId="0" applyFont="1" applyFill="1" applyBorder="1" applyAlignment="1">
      <alignment horizontal="center" wrapText="1"/>
    </xf>
    <xf numFmtId="0" fontId="0" fillId="39" borderId="0" xfId="0" applyFont="1" applyFill="1" applyAlignment="1">
      <alignment/>
    </xf>
    <xf numFmtId="0" fontId="13" fillId="39" borderId="11" xfId="0" applyNumberFormat="1" applyFont="1" applyFill="1" applyBorder="1" applyAlignment="1" applyProtection="1">
      <alignment horizontal="center" vertical="center" wrapText="1"/>
      <protection locked="0"/>
    </xf>
    <xf numFmtId="0" fontId="0" fillId="39" borderId="16" xfId="0" applyFont="1" applyFill="1" applyBorder="1" applyAlignment="1">
      <alignment horizontal="center" wrapText="1"/>
    </xf>
    <xf numFmtId="0" fontId="0" fillId="39" borderId="0" xfId="0" applyFont="1" applyFill="1" applyAlignment="1">
      <alignment/>
    </xf>
    <xf numFmtId="0" fontId="13" fillId="39" borderId="11" xfId="0" applyNumberFormat="1" applyFont="1" applyFill="1" applyBorder="1" applyAlignment="1" applyProtection="1">
      <alignment horizontal="center" vertical="center" wrapText="1"/>
      <protection locked="0"/>
    </xf>
    <xf numFmtId="0" fontId="3" fillId="33" borderId="0" xfId="0" applyFont="1" applyFill="1" applyAlignment="1">
      <alignment/>
    </xf>
    <xf numFmtId="0" fontId="3" fillId="33" borderId="0" xfId="0" applyFont="1" applyFill="1" applyAlignment="1">
      <alignment horizontal="center"/>
    </xf>
    <xf numFmtId="0" fontId="3" fillId="36" borderId="0" xfId="0" applyFont="1" applyFill="1" applyAlignment="1">
      <alignment horizontal="center" wrapText="1"/>
    </xf>
    <xf numFmtId="0" fontId="3" fillId="39" borderId="16" xfId="0" applyFont="1" applyFill="1" applyBorder="1" applyAlignment="1">
      <alignment horizontal="center" wrapText="1"/>
    </xf>
    <xf numFmtId="0" fontId="3" fillId="39" borderId="14" xfId="0" applyFont="1" applyFill="1" applyBorder="1" applyAlignment="1">
      <alignment horizontal="center" wrapText="1"/>
    </xf>
    <xf numFmtId="0" fontId="3" fillId="33" borderId="0" xfId="0" applyFont="1" applyFill="1" applyAlignment="1">
      <alignment horizontal="justify" vertical="center"/>
    </xf>
    <xf numFmtId="0" fontId="3" fillId="37" borderId="0" xfId="0" applyFont="1" applyFill="1" applyAlignment="1">
      <alignment/>
    </xf>
    <xf numFmtId="0" fontId="22" fillId="39" borderId="24" xfId="0" applyNumberFormat="1" applyFont="1" applyFill="1" applyBorder="1" applyAlignment="1" applyProtection="1">
      <alignment horizontal="center" vertical="center" wrapText="1"/>
      <protection locked="0"/>
    </xf>
    <xf numFmtId="0" fontId="9" fillId="39" borderId="0" xfId="0" applyFont="1" applyFill="1" applyAlignment="1">
      <alignment horizontal="justify" vertical="center" wrapText="1"/>
    </xf>
    <xf numFmtId="0" fontId="6" fillId="39" borderId="0" xfId="0" applyFont="1" applyFill="1" applyBorder="1" applyAlignment="1">
      <alignment horizontal="center" vertical="center" textRotation="90" wrapText="1"/>
    </xf>
    <xf numFmtId="0" fontId="6" fillId="39" borderId="0" xfId="0" applyFont="1" applyFill="1" applyAlignment="1">
      <alignment horizontal="center" wrapText="1"/>
    </xf>
    <xf numFmtId="0" fontId="3" fillId="39" borderId="0" xfId="0" applyFont="1" applyFill="1" applyAlignment="1">
      <alignment horizontal="justify" vertical="center"/>
    </xf>
    <xf numFmtId="0" fontId="3" fillId="39" borderId="0" xfId="0" applyFont="1" applyFill="1" applyAlignment="1">
      <alignment/>
    </xf>
    <xf numFmtId="0" fontId="6" fillId="39" borderId="0" xfId="0" applyFont="1" applyFill="1" applyAlignment="1">
      <alignment horizontal="center"/>
    </xf>
    <xf numFmtId="0" fontId="3" fillId="39" borderId="26" xfId="0" applyFont="1" applyFill="1" applyBorder="1" applyAlignment="1">
      <alignment horizontal="left" wrapText="1"/>
    </xf>
    <xf numFmtId="0" fontId="6" fillId="39" borderId="0" xfId="0" applyFont="1" applyFill="1" applyAlignment="1">
      <alignment/>
    </xf>
    <xf numFmtId="0" fontId="3" fillId="39" borderId="27" xfId="0" applyFont="1" applyFill="1" applyBorder="1" applyAlignment="1">
      <alignment horizontal="left" wrapText="1"/>
    </xf>
    <xf numFmtId="0" fontId="3" fillId="39" borderId="28" xfId="0" applyFont="1" applyFill="1" applyBorder="1" applyAlignment="1">
      <alignment horizontal="left" wrapText="1"/>
    </xf>
    <xf numFmtId="0" fontId="3" fillId="39" borderId="13" xfId="0" applyFont="1" applyFill="1" applyBorder="1" applyAlignment="1">
      <alignment horizontal="justify" wrapText="1"/>
    </xf>
    <xf numFmtId="0" fontId="3" fillId="40" borderId="0" xfId="0" applyFont="1" applyFill="1" applyAlignment="1">
      <alignment/>
    </xf>
    <xf numFmtId="0" fontId="3" fillId="40" borderId="0" xfId="0" applyFont="1" applyFill="1" applyAlignment="1">
      <alignment/>
    </xf>
    <xf numFmtId="0" fontId="3" fillId="40" borderId="0" xfId="0" applyFont="1" applyFill="1" applyAlignment="1">
      <alignment horizontal="center"/>
    </xf>
    <xf numFmtId="0" fontId="3" fillId="36" borderId="0" xfId="0" applyFont="1" applyFill="1" applyAlignment="1">
      <alignment/>
    </xf>
    <xf numFmtId="0" fontId="3" fillId="33" borderId="0" xfId="0" applyFont="1" applyFill="1" applyAlignment="1">
      <alignment/>
    </xf>
    <xf numFmtId="0" fontId="3" fillId="41" borderId="16" xfId="0" applyFont="1" applyFill="1" applyBorder="1" applyAlignment="1">
      <alignment horizontal="center" wrapText="1"/>
    </xf>
    <xf numFmtId="0" fontId="0" fillId="41" borderId="14" xfId="0" applyFont="1" applyFill="1" applyBorder="1" applyAlignment="1">
      <alignment horizontal="center" wrapText="1"/>
    </xf>
    <xf numFmtId="0" fontId="0" fillId="41" borderId="16" xfId="0" applyFont="1" applyFill="1" applyBorder="1" applyAlignment="1">
      <alignment horizontal="center" wrapText="1"/>
    </xf>
    <xf numFmtId="0" fontId="20" fillId="34" borderId="67" xfId="0" applyFont="1" applyFill="1" applyBorder="1" applyAlignment="1">
      <alignment horizontal="center"/>
    </xf>
    <xf numFmtId="0" fontId="11" fillId="0" borderId="68" xfId="0" applyFont="1" applyBorder="1" applyAlignment="1">
      <alignment horizontal="center"/>
    </xf>
    <xf numFmtId="0" fontId="11" fillId="0" borderId="35" xfId="0" applyFont="1" applyBorder="1" applyAlignment="1">
      <alignment horizontal="center"/>
    </xf>
    <xf numFmtId="0" fontId="11" fillId="0" borderId="69" xfId="0" applyFont="1" applyBorder="1" applyAlignment="1">
      <alignment horizontal="center"/>
    </xf>
    <xf numFmtId="0" fontId="11" fillId="0" borderId="70" xfId="0" applyFont="1" applyBorder="1" applyAlignment="1">
      <alignment horizontal="left"/>
    </xf>
    <xf numFmtId="0" fontId="20" fillId="34" borderId="71" xfId="0" applyFont="1" applyFill="1" applyBorder="1" applyAlignment="1">
      <alignment horizontal="center"/>
    </xf>
    <xf numFmtId="184" fontId="0" fillId="42" borderId="21" xfId="49" applyNumberFormat="1" applyFont="1" applyFill="1" applyBorder="1" applyAlignment="1">
      <alignment horizontal="right" vertical="top"/>
    </xf>
    <xf numFmtId="0" fontId="0" fillId="42" borderId="0" xfId="0" applyFill="1" applyAlignment="1">
      <alignment horizontal="justify" vertical="center"/>
    </xf>
    <xf numFmtId="0" fontId="9" fillId="42" borderId="0" xfId="0" applyFont="1" applyFill="1" applyAlignment="1">
      <alignment horizontal="justify" vertical="center" wrapText="1"/>
    </xf>
    <xf numFmtId="0" fontId="6" fillId="42" borderId="0" xfId="0" applyFont="1" applyFill="1" applyAlignment="1">
      <alignment horizontal="center" vertical="center" textRotation="90" wrapText="1"/>
    </xf>
    <xf numFmtId="0" fontId="6" fillId="42" borderId="0" xfId="0" applyFont="1" applyFill="1" applyAlignment="1">
      <alignment horizontal="center" wrapText="1"/>
    </xf>
    <xf numFmtId="0" fontId="6" fillId="42" borderId="0" xfId="0" applyFont="1" applyFill="1" applyAlignment="1">
      <alignment horizontal="center"/>
    </xf>
    <xf numFmtId="0" fontId="0" fillId="42" borderId="13" xfId="0" applyFont="1" applyFill="1" applyBorder="1" applyAlignment="1">
      <alignment horizontal="justify" wrapText="1"/>
    </xf>
    <xf numFmtId="0" fontId="0" fillId="42" borderId="0" xfId="0" applyFill="1" applyAlignment="1">
      <alignment/>
    </xf>
    <xf numFmtId="0" fontId="0" fillId="42" borderId="14" xfId="0" applyFont="1" applyFill="1" applyBorder="1" applyAlignment="1">
      <alignment horizontal="center" wrapText="1"/>
    </xf>
    <xf numFmtId="0" fontId="0" fillId="42" borderId="15" xfId="0" applyFont="1" applyFill="1" applyBorder="1" applyAlignment="1">
      <alignment horizontal="center" wrapText="1"/>
    </xf>
    <xf numFmtId="0" fontId="0" fillId="33" borderId="72" xfId="0" applyFont="1" applyFill="1" applyBorder="1" applyAlignment="1">
      <alignment horizontal="justify" vertical="top" wrapText="1"/>
    </xf>
    <xf numFmtId="0" fontId="0" fillId="33" borderId="22" xfId="0" applyFont="1" applyFill="1" applyBorder="1" applyAlignment="1">
      <alignment horizontal="justify" wrapText="1"/>
    </xf>
    <xf numFmtId="0" fontId="0" fillId="33" borderId="18" xfId="0" applyFont="1" applyFill="1" applyBorder="1" applyAlignment="1">
      <alignment horizontal="justify" wrapText="1"/>
    </xf>
    <xf numFmtId="0" fontId="0" fillId="33" borderId="73" xfId="0" applyFont="1" applyFill="1" applyBorder="1" applyAlignment="1">
      <alignment horizontal="justify" wrapText="1"/>
    </xf>
    <xf numFmtId="0" fontId="28" fillId="41" borderId="18" xfId="0" applyFont="1" applyFill="1" applyBorder="1" applyAlignment="1">
      <alignment horizontal="justify" vertical="center" wrapText="1"/>
    </xf>
    <xf numFmtId="43" fontId="3" fillId="41" borderId="18" xfId="0" applyNumberFormat="1" applyFont="1" applyFill="1" applyBorder="1" applyAlignment="1">
      <alignment horizontal="center"/>
    </xf>
    <xf numFmtId="0" fontId="28" fillId="41" borderId="74" xfId="0" applyFont="1" applyFill="1" applyBorder="1" applyAlignment="1">
      <alignment horizontal="justify" vertical="center" wrapText="1"/>
    </xf>
    <xf numFmtId="191" fontId="3" fillId="41" borderId="18" xfId="0" applyNumberFormat="1" applyFont="1" applyFill="1" applyBorder="1" applyAlignment="1">
      <alignment horizontal="center" vertical="top"/>
    </xf>
    <xf numFmtId="0" fontId="0" fillId="33" borderId="0" xfId="0" applyFont="1" applyFill="1" applyBorder="1" applyAlignment="1">
      <alignment horizontal="justify" wrapText="1"/>
    </xf>
    <xf numFmtId="0" fontId="3" fillId="37" borderId="18" xfId="0" applyFont="1" applyFill="1" applyBorder="1" applyAlignment="1">
      <alignment horizontal="center" vertical="top"/>
    </xf>
    <xf numFmtId="184" fontId="3" fillId="37" borderId="18" xfId="49" applyNumberFormat="1" applyFont="1" applyFill="1" applyBorder="1" applyAlignment="1">
      <alignment horizontal="right" vertical="top"/>
    </xf>
    <xf numFmtId="0" fontId="0" fillId="0" borderId="0" xfId="0" applyFill="1" applyAlignment="1">
      <alignment/>
    </xf>
    <xf numFmtId="0" fontId="0" fillId="41" borderId="0" xfId="0" applyFill="1" applyAlignment="1">
      <alignment/>
    </xf>
    <xf numFmtId="184" fontId="0" fillId="43" borderId="21" xfId="49" applyNumberFormat="1" applyFont="1" applyFill="1" applyBorder="1" applyAlignment="1">
      <alignment horizontal="right" vertical="top"/>
    </xf>
    <xf numFmtId="184" fontId="3" fillId="43" borderId="21" xfId="49" applyNumberFormat="1" applyFont="1" applyFill="1" applyBorder="1" applyAlignment="1">
      <alignment horizontal="right"/>
    </xf>
    <xf numFmtId="184" fontId="0" fillId="43" borderId="21" xfId="49" applyNumberFormat="1" applyFont="1" applyFill="1" applyBorder="1" applyAlignment="1">
      <alignment horizontal="right"/>
    </xf>
    <xf numFmtId="184" fontId="3" fillId="43" borderId="21" xfId="49" applyNumberFormat="1" applyFont="1" applyFill="1" applyBorder="1" applyAlignment="1">
      <alignment horizontal="right" vertical="top"/>
    </xf>
    <xf numFmtId="0" fontId="0" fillId="33" borderId="22" xfId="0" applyFont="1" applyFill="1" applyBorder="1" applyAlignment="1">
      <alignment horizontal="left" wrapText="1"/>
    </xf>
    <xf numFmtId="43" fontId="13" fillId="37" borderId="19" xfId="0" applyNumberFormat="1" applyFont="1" applyFill="1" applyBorder="1" applyAlignment="1">
      <alignment horizontal="justify" vertical="top" wrapText="1"/>
    </xf>
    <xf numFmtId="184" fontId="3" fillId="42" borderId="21" xfId="49" applyNumberFormat="1" applyFont="1" applyFill="1" applyBorder="1" applyAlignment="1">
      <alignment horizontal="right" vertical="top"/>
    </xf>
    <xf numFmtId="0" fontId="0" fillId="39" borderId="16" xfId="0" applyFont="1" applyFill="1" applyBorder="1" applyAlignment="1">
      <alignment horizontal="center" wrapText="1"/>
    </xf>
    <xf numFmtId="0" fontId="0" fillId="43" borderId="0" xfId="0" applyFill="1" applyAlignment="1">
      <alignment horizontal="justify" vertical="center"/>
    </xf>
    <xf numFmtId="0" fontId="9" fillId="43" borderId="0" xfId="0" applyFont="1" applyFill="1" applyAlignment="1">
      <alignment horizontal="justify" vertical="center" wrapText="1"/>
    </xf>
    <xf numFmtId="0" fontId="6" fillId="43" borderId="0" xfId="0" applyFont="1" applyFill="1" applyBorder="1" applyAlignment="1">
      <alignment horizontal="center" vertical="center" textRotation="90" wrapText="1"/>
    </xf>
    <xf numFmtId="0" fontId="6" fillId="43" borderId="0" xfId="0" applyFont="1" applyFill="1" applyAlignment="1">
      <alignment horizontal="center" wrapText="1"/>
    </xf>
    <xf numFmtId="0" fontId="6" fillId="43" borderId="0" xfId="0" applyFont="1" applyFill="1" applyAlignment="1">
      <alignment horizontal="center"/>
    </xf>
    <xf numFmtId="0" fontId="0" fillId="43" borderId="13" xfId="0" applyFont="1" applyFill="1" applyBorder="1" applyAlignment="1">
      <alignment horizontal="justify" wrapText="1"/>
    </xf>
    <xf numFmtId="0" fontId="0" fillId="43" borderId="0" xfId="0" applyFill="1" applyAlignment="1">
      <alignment/>
    </xf>
    <xf numFmtId="0" fontId="0" fillId="43" borderId="16" xfId="0" applyFont="1" applyFill="1" applyBorder="1" applyAlignment="1">
      <alignment horizontal="center" wrapText="1"/>
    </xf>
    <xf numFmtId="0" fontId="0" fillId="43" borderId="14" xfId="0" applyFont="1" applyFill="1" applyBorder="1" applyAlignment="1">
      <alignment horizontal="center" wrapText="1"/>
    </xf>
    <xf numFmtId="0" fontId="0" fillId="43" borderId="16" xfId="0" applyFont="1" applyFill="1" applyBorder="1" applyAlignment="1">
      <alignment horizontal="center" wrapText="1"/>
    </xf>
    <xf numFmtId="0" fontId="0" fillId="43" borderId="17" xfId="0" applyFont="1" applyFill="1" applyBorder="1" applyAlignment="1">
      <alignment horizontal="center" wrapText="1"/>
    </xf>
    <xf numFmtId="0" fontId="13" fillId="43" borderId="15" xfId="0" applyFont="1" applyFill="1" applyBorder="1" applyAlignment="1">
      <alignment horizontal="center" wrapText="1"/>
    </xf>
    <xf numFmtId="0" fontId="6" fillId="43" borderId="0" xfId="0" applyFont="1" applyFill="1" applyAlignment="1">
      <alignment horizontal="center" vertical="center" textRotation="90" wrapText="1"/>
    </xf>
    <xf numFmtId="0" fontId="0" fillId="43" borderId="15" xfId="0" applyFont="1" applyFill="1" applyBorder="1" applyAlignment="1">
      <alignment horizontal="center" wrapText="1"/>
    </xf>
    <xf numFmtId="0" fontId="35" fillId="43" borderId="13" xfId="0" applyFont="1" applyFill="1" applyBorder="1" applyAlignment="1">
      <alignment horizontal="justify" wrapText="1"/>
    </xf>
    <xf numFmtId="0" fontId="3" fillId="43" borderId="0" xfId="0" applyFont="1" applyFill="1" applyAlignment="1">
      <alignment horizontal="justify" vertical="center"/>
    </xf>
    <xf numFmtId="0" fontId="20" fillId="43" borderId="0" xfId="0" applyFont="1" applyFill="1" applyAlignment="1">
      <alignment horizontal="justify" vertical="center" wrapText="1"/>
    </xf>
    <xf numFmtId="0" fontId="3" fillId="43" borderId="0" xfId="0" applyFont="1" applyFill="1" applyBorder="1" applyAlignment="1">
      <alignment horizontal="center" vertical="center" textRotation="90" wrapText="1"/>
    </xf>
    <xf numFmtId="0" fontId="3" fillId="43" borderId="0" xfId="0" applyFont="1" applyFill="1" applyAlignment="1">
      <alignment horizontal="center" wrapText="1"/>
    </xf>
    <xf numFmtId="0" fontId="3" fillId="43" borderId="0" xfId="0" applyFont="1" applyFill="1" applyAlignment="1">
      <alignment/>
    </xf>
    <xf numFmtId="0" fontId="0" fillId="42" borderId="19" xfId="0" applyFont="1" applyFill="1" applyBorder="1" applyAlignment="1">
      <alignment horizontal="center"/>
    </xf>
    <xf numFmtId="184" fontId="0" fillId="42" borderId="19" xfId="49" applyNumberFormat="1" applyFont="1" applyFill="1" applyBorder="1" applyAlignment="1">
      <alignment horizontal="right"/>
    </xf>
    <xf numFmtId="0" fontId="0" fillId="42" borderId="21" xfId="0" applyFont="1" applyFill="1" applyBorder="1" applyAlignment="1">
      <alignment horizontal="center"/>
    </xf>
    <xf numFmtId="184" fontId="0" fillId="42" borderId="21" xfId="49" applyNumberFormat="1" applyFont="1" applyFill="1" applyBorder="1" applyAlignment="1">
      <alignment horizontal="right"/>
    </xf>
    <xf numFmtId="0" fontId="4" fillId="33" borderId="18" xfId="0" applyFont="1" applyFill="1" applyBorder="1" applyAlignment="1">
      <alignment horizontal="left" wrapText="1"/>
    </xf>
    <xf numFmtId="0" fontId="4" fillId="33" borderId="18" xfId="0" applyFont="1" applyFill="1" applyBorder="1" applyAlignment="1">
      <alignment horizontal="justify" vertical="top" wrapText="1"/>
    </xf>
    <xf numFmtId="0" fontId="3" fillId="42" borderId="21" xfId="0" applyFont="1" applyFill="1" applyBorder="1" applyAlignment="1">
      <alignment horizontal="center" vertical="top"/>
    </xf>
    <xf numFmtId="0" fontId="0" fillId="42" borderId="21" xfId="0" applyFont="1" applyFill="1" applyBorder="1" applyAlignment="1">
      <alignment horizontal="center" vertical="top"/>
    </xf>
    <xf numFmtId="0" fontId="4" fillId="33" borderId="18" xfId="0" applyFont="1" applyFill="1" applyBorder="1" applyAlignment="1">
      <alignment horizontal="justify" wrapText="1"/>
    </xf>
    <xf numFmtId="184" fontId="3" fillId="37" borderId="22" xfId="0" applyNumberFormat="1" applyFont="1" applyFill="1" applyBorder="1" applyAlignment="1">
      <alignment horizontal="center" vertical="top"/>
    </xf>
    <xf numFmtId="0" fontId="3" fillId="42" borderId="21" xfId="0" applyFont="1" applyFill="1" applyBorder="1" applyAlignment="1">
      <alignment horizontal="center"/>
    </xf>
    <xf numFmtId="184" fontId="3" fillId="42" borderId="21" xfId="49" applyNumberFormat="1" applyFont="1" applyFill="1" applyBorder="1" applyAlignment="1">
      <alignment horizontal="right"/>
    </xf>
    <xf numFmtId="0" fontId="0" fillId="42" borderId="21" xfId="0" applyFill="1" applyBorder="1" applyAlignment="1">
      <alignment horizontal="center"/>
    </xf>
    <xf numFmtId="0" fontId="0" fillId="42" borderId="22" xfId="0" applyFont="1" applyFill="1" applyBorder="1" applyAlignment="1">
      <alignment horizontal="center"/>
    </xf>
    <xf numFmtId="184" fontId="0" fillId="42" borderId="22" xfId="49" applyNumberFormat="1" applyFont="1" applyFill="1" applyBorder="1" applyAlignment="1">
      <alignment horizontal="right"/>
    </xf>
    <xf numFmtId="0" fontId="3" fillId="33" borderId="22" xfId="0" applyFont="1" applyFill="1" applyBorder="1" applyAlignment="1">
      <alignment horizontal="justify" wrapText="1"/>
    </xf>
    <xf numFmtId="0" fontId="0" fillId="43" borderId="26" xfId="0" applyFont="1" applyFill="1" applyBorder="1" applyAlignment="1">
      <alignment wrapText="1"/>
    </xf>
    <xf numFmtId="0" fontId="0" fillId="43" borderId="27" xfId="0" applyFont="1" applyFill="1" applyBorder="1" applyAlignment="1">
      <alignment wrapText="1"/>
    </xf>
    <xf numFmtId="0" fontId="0" fillId="43" borderId="28" xfId="0" applyFont="1" applyFill="1" applyBorder="1" applyAlignment="1">
      <alignment wrapText="1"/>
    </xf>
    <xf numFmtId="0" fontId="0" fillId="0" borderId="26" xfId="0" applyFont="1" applyFill="1" applyBorder="1" applyAlignment="1">
      <alignment horizontal="left" wrapText="1"/>
    </xf>
    <xf numFmtId="0" fontId="0" fillId="0" borderId="27" xfId="0" applyFont="1" applyFill="1" applyBorder="1" applyAlignment="1">
      <alignment horizontal="left" wrapText="1"/>
    </xf>
    <xf numFmtId="0" fontId="0" fillId="0" borderId="28" xfId="0" applyFont="1" applyFill="1" applyBorder="1" applyAlignment="1">
      <alignment horizontal="left" wrapText="1"/>
    </xf>
    <xf numFmtId="0" fontId="16" fillId="0" borderId="0" xfId="0" applyFont="1" applyAlignment="1">
      <alignment horizontal="center"/>
    </xf>
    <xf numFmtId="193" fontId="11" fillId="0" borderId="75" xfId="49" applyNumberFormat="1" applyFont="1" applyBorder="1" applyAlignment="1">
      <alignment/>
    </xf>
    <xf numFmtId="193" fontId="11" fillId="0" borderId="76" xfId="49" applyNumberFormat="1" applyFont="1" applyBorder="1" applyAlignment="1">
      <alignment/>
    </xf>
    <xf numFmtId="193" fontId="20" fillId="34" borderId="77" xfId="49" applyNumberFormat="1" applyFont="1" applyFill="1" applyBorder="1" applyAlignment="1">
      <alignment/>
    </xf>
    <xf numFmtId="193" fontId="11" fillId="0" borderId="78" xfId="49" applyNumberFormat="1" applyFont="1" applyBorder="1" applyAlignment="1">
      <alignment/>
    </xf>
    <xf numFmtId="0" fontId="4" fillId="43" borderId="0" xfId="0" applyFont="1" applyFill="1" applyAlignment="1">
      <alignment/>
    </xf>
    <xf numFmtId="0" fontId="0" fillId="43" borderId="19" xfId="0" applyFont="1" applyFill="1" applyBorder="1" applyAlignment="1">
      <alignment horizontal="center"/>
    </xf>
    <xf numFmtId="3" fontId="0" fillId="37" borderId="19" xfId="0" applyNumberFormat="1" applyFont="1" applyFill="1" applyBorder="1" applyAlignment="1">
      <alignment horizontal="right" vertical="top" wrapText="1"/>
    </xf>
    <xf numFmtId="3" fontId="0" fillId="37" borderId="21" xfId="0" applyNumberFormat="1" applyFont="1" applyFill="1" applyBorder="1" applyAlignment="1">
      <alignment horizontal="right" vertical="top" wrapText="1"/>
    </xf>
    <xf numFmtId="0" fontId="6" fillId="41" borderId="0" xfId="0" applyFont="1" applyFill="1" applyAlignment="1">
      <alignment horizontal="center" wrapText="1"/>
    </xf>
    <xf numFmtId="43" fontId="0" fillId="37" borderId="0" xfId="0" applyNumberFormat="1" applyFill="1" applyAlignment="1">
      <alignment/>
    </xf>
    <xf numFmtId="0" fontId="0" fillId="0" borderId="0" xfId="0" applyFill="1" applyBorder="1" applyAlignment="1">
      <alignment/>
    </xf>
    <xf numFmtId="0" fontId="0" fillId="0" borderId="0" xfId="0" applyFont="1" applyFill="1" applyBorder="1" applyAlignment="1">
      <alignment/>
    </xf>
    <xf numFmtId="0" fontId="16" fillId="0" borderId="0" xfId="0" applyFont="1" applyFill="1" applyAlignment="1">
      <alignment horizontal="center"/>
    </xf>
    <xf numFmtId="0" fontId="0" fillId="0" borderId="21" xfId="0" applyFont="1" applyFill="1" applyBorder="1" applyAlignment="1">
      <alignment/>
    </xf>
    <xf numFmtId="0" fontId="0" fillId="37" borderId="21" xfId="0" applyFont="1" applyFill="1" applyBorder="1" applyAlignment="1">
      <alignment/>
    </xf>
    <xf numFmtId="43" fontId="3" fillId="37" borderId="21" xfId="0" applyNumberFormat="1" applyFont="1" applyFill="1" applyBorder="1" applyAlignment="1">
      <alignment/>
    </xf>
    <xf numFmtId="0" fontId="0" fillId="37" borderId="21" xfId="0" applyFill="1" applyBorder="1" applyAlignment="1">
      <alignment/>
    </xf>
    <xf numFmtId="184" fontId="0" fillId="0" borderId="21" xfId="0" applyNumberFormat="1" applyFont="1" applyFill="1" applyBorder="1" applyAlignment="1">
      <alignment/>
    </xf>
    <xf numFmtId="184" fontId="3" fillId="44" borderId="21" xfId="0" applyNumberFormat="1" applyFont="1" applyFill="1" applyBorder="1" applyAlignment="1">
      <alignment/>
    </xf>
    <xf numFmtId="179" fontId="3" fillId="44" borderId="21" xfId="49" applyFont="1" applyFill="1" applyBorder="1" applyAlignment="1">
      <alignment/>
    </xf>
    <xf numFmtId="187" fontId="3" fillId="37" borderId="21" xfId="0" applyNumberFormat="1" applyFont="1" applyFill="1" applyBorder="1" applyAlignment="1">
      <alignment/>
    </xf>
    <xf numFmtId="187" fontId="3" fillId="44" borderId="21" xfId="0" applyNumberFormat="1" applyFont="1" applyFill="1" applyBorder="1" applyAlignment="1">
      <alignment/>
    </xf>
    <xf numFmtId="187" fontId="0" fillId="37" borderId="21" xfId="0" applyNumberFormat="1" applyFill="1" applyBorder="1" applyAlignment="1">
      <alignment/>
    </xf>
    <xf numFmtId="184" fontId="0" fillId="44" borderId="21" xfId="49" applyNumberFormat="1" applyFont="1" applyFill="1" applyBorder="1" applyAlignment="1">
      <alignment horizontal="right" vertical="top"/>
    </xf>
    <xf numFmtId="0" fontId="0" fillId="41" borderId="24" xfId="0" applyFont="1" applyFill="1" applyBorder="1" applyAlignment="1">
      <alignment horizontal="center" wrapText="1"/>
    </xf>
    <xf numFmtId="0" fontId="0" fillId="37" borderId="0" xfId="0" applyFont="1" applyFill="1" applyBorder="1" applyAlignment="1">
      <alignment horizontal="center" wrapText="1"/>
    </xf>
    <xf numFmtId="184" fontId="0" fillId="43" borderId="18" xfId="49" applyNumberFormat="1" applyFont="1" applyFill="1" applyBorder="1" applyAlignment="1">
      <alignment horizontal="right" vertical="top"/>
    </xf>
    <xf numFmtId="184" fontId="3" fillId="43" borderId="18" xfId="49" applyNumberFormat="1" applyFont="1" applyFill="1" applyBorder="1" applyAlignment="1">
      <alignment horizontal="right" vertical="top"/>
    </xf>
    <xf numFmtId="191" fontId="3" fillId="37" borderId="18" xfId="0" applyNumberFormat="1" applyFont="1" applyFill="1" applyBorder="1" applyAlignment="1">
      <alignment horizontal="center" vertical="top"/>
    </xf>
    <xf numFmtId="187" fontId="3" fillId="41" borderId="21" xfId="0" applyNumberFormat="1" applyFont="1" applyFill="1" applyBorder="1" applyAlignment="1">
      <alignment horizontal="center" vertical="top"/>
    </xf>
    <xf numFmtId="0" fontId="6" fillId="43" borderId="18" xfId="0" applyFont="1" applyFill="1" applyBorder="1" applyAlignment="1" quotePrefix="1">
      <alignment vertical="top"/>
    </xf>
    <xf numFmtId="0" fontId="0" fillId="43" borderId="22" xfId="0" applyFont="1" applyFill="1" applyBorder="1" applyAlignment="1">
      <alignment horizontal="justify" vertical="top" wrapText="1"/>
    </xf>
    <xf numFmtId="187" fontId="3" fillId="43" borderId="21" xfId="0" applyNumberFormat="1" applyFont="1" applyFill="1" applyBorder="1" applyAlignment="1">
      <alignment horizontal="center" vertical="top"/>
    </xf>
    <xf numFmtId="0" fontId="3" fillId="43" borderId="21" xfId="0" applyFont="1" applyFill="1" applyBorder="1" applyAlignment="1">
      <alignment horizontal="center" vertical="top"/>
    </xf>
    <xf numFmtId="0" fontId="13" fillId="43" borderId="21" xfId="0" applyFont="1" applyFill="1" applyBorder="1" applyAlignment="1">
      <alignment horizontal="justify" vertical="top" wrapText="1"/>
    </xf>
    <xf numFmtId="0" fontId="0" fillId="43" borderId="18" xfId="0" applyFont="1" applyFill="1" applyBorder="1" applyAlignment="1">
      <alignment/>
    </xf>
    <xf numFmtId="0" fontId="0" fillId="43" borderId="0" xfId="0" applyFont="1" applyFill="1" applyBorder="1" applyAlignment="1">
      <alignment/>
    </xf>
    <xf numFmtId="0" fontId="6" fillId="43" borderId="18" xfId="0" applyFont="1" applyFill="1" applyBorder="1" applyAlignment="1">
      <alignment vertical="top"/>
    </xf>
    <xf numFmtId="0" fontId="0" fillId="43" borderId="18" xfId="0" applyFont="1" applyFill="1" applyBorder="1" applyAlignment="1">
      <alignment horizontal="justify" vertical="top" wrapText="1"/>
    </xf>
    <xf numFmtId="0" fontId="0" fillId="43" borderId="21" xfId="0" applyFont="1" applyFill="1" applyBorder="1" applyAlignment="1">
      <alignment horizontal="center" vertical="top"/>
    </xf>
    <xf numFmtId="0" fontId="0" fillId="43" borderId="19" xfId="0" applyFont="1" applyFill="1" applyBorder="1" applyAlignment="1">
      <alignment horizontal="justify" vertical="top" wrapText="1"/>
    </xf>
    <xf numFmtId="0" fontId="0" fillId="42" borderId="22" xfId="0" applyFont="1" applyFill="1" applyBorder="1" applyAlignment="1">
      <alignment horizontal="justify" vertical="top" wrapText="1"/>
    </xf>
    <xf numFmtId="187" fontId="3" fillId="42" borderId="21" xfId="0" applyNumberFormat="1" applyFont="1" applyFill="1" applyBorder="1" applyAlignment="1">
      <alignment horizontal="center" vertical="top"/>
    </xf>
    <xf numFmtId="0" fontId="13" fillId="42" borderId="21" xfId="0" applyFont="1" applyFill="1" applyBorder="1" applyAlignment="1">
      <alignment horizontal="justify" vertical="top" wrapText="1"/>
    </xf>
    <xf numFmtId="0" fontId="0" fillId="42" borderId="18" xfId="0" applyFont="1" applyFill="1" applyBorder="1" applyAlignment="1">
      <alignment/>
    </xf>
    <xf numFmtId="0" fontId="0" fillId="42" borderId="0" xfId="0" applyFont="1" applyFill="1" applyBorder="1" applyAlignment="1">
      <alignment/>
    </xf>
    <xf numFmtId="0" fontId="6" fillId="42" borderId="18" xfId="0" applyFont="1" applyFill="1" applyBorder="1" applyAlignment="1">
      <alignment vertical="top"/>
    </xf>
    <xf numFmtId="0" fontId="0" fillId="42" borderId="18" xfId="0" applyFont="1" applyFill="1" applyBorder="1" applyAlignment="1">
      <alignment horizontal="justify" vertical="top" wrapText="1"/>
    </xf>
    <xf numFmtId="17" fontId="6" fillId="43" borderId="0" xfId="0" applyNumberFormat="1" applyFont="1" applyFill="1" applyAlignment="1" quotePrefix="1">
      <alignment horizontal="center" wrapText="1"/>
    </xf>
    <xf numFmtId="0" fontId="6" fillId="0" borderId="0" xfId="0" applyFont="1" applyFill="1" applyBorder="1" applyAlignment="1">
      <alignment horizontal="center" vertical="center" textRotation="90" wrapText="1"/>
    </xf>
    <xf numFmtId="0" fontId="0" fillId="0" borderId="0" xfId="0" applyFont="1" applyFill="1" applyAlignment="1">
      <alignment horizontal="center" wrapText="1"/>
    </xf>
    <xf numFmtId="0" fontId="0" fillId="0" borderId="0" xfId="0" applyFont="1" applyFill="1" applyBorder="1" applyAlignment="1">
      <alignment horizontal="center" vertical="center" textRotation="90" wrapText="1"/>
    </xf>
    <xf numFmtId="0" fontId="0" fillId="0" borderId="0" xfId="0" applyFont="1" applyFill="1" applyAlignment="1">
      <alignment/>
    </xf>
    <xf numFmtId="0" fontId="0" fillId="0" borderId="0" xfId="0" applyFont="1" applyFill="1" applyAlignment="1">
      <alignment horizontal="center" vertical="center" textRotation="90" wrapText="1"/>
    </xf>
    <xf numFmtId="0" fontId="0" fillId="0" borderId="0" xfId="0" applyFont="1" applyFill="1" applyBorder="1" applyAlignment="1">
      <alignment horizontal="center" textRotation="255" wrapText="1"/>
    </xf>
    <xf numFmtId="0" fontId="0" fillId="0" borderId="0" xfId="0" applyFont="1" applyFill="1" applyBorder="1" applyAlignment="1">
      <alignment horizontal="center" wrapText="1"/>
    </xf>
    <xf numFmtId="0" fontId="0" fillId="0" borderId="0" xfId="0" applyFont="1" applyFill="1" applyAlignment="1">
      <alignment/>
    </xf>
    <xf numFmtId="0" fontId="4" fillId="0" borderId="0" xfId="0" applyFont="1" applyFill="1" applyAlignment="1">
      <alignment/>
    </xf>
    <xf numFmtId="17" fontId="6" fillId="0" borderId="0" xfId="0" applyNumberFormat="1" applyFont="1" applyFill="1" applyAlignment="1" quotePrefix="1">
      <alignment horizontal="center" wrapText="1"/>
    </xf>
    <xf numFmtId="0" fontId="6" fillId="0" borderId="0" xfId="0" applyFont="1" applyFill="1" applyAlignment="1">
      <alignment horizontal="center"/>
    </xf>
    <xf numFmtId="0" fontId="0" fillId="0" borderId="16" xfId="0" applyFont="1" applyFill="1" applyBorder="1" applyAlignment="1">
      <alignment horizontal="center" wrapText="1"/>
    </xf>
    <xf numFmtId="0" fontId="0" fillId="0" borderId="23" xfId="0" applyFont="1" applyFill="1" applyBorder="1" applyAlignment="1">
      <alignment horizontal="center" wrapText="1"/>
    </xf>
    <xf numFmtId="17" fontId="3" fillId="0" borderId="0" xfId="0" applyNumberFormat="1" applyFont="1" applyFill="1" applyAlignment="1" quotePrefix="1">
      <alignment horizontal="center" wrapText="1"/>
    </xf>
    <xf numFmtId="0" fontId="0" fillId="33" borderId="0" xfId="0" applyFont="1" applyFill="1" applyBorder="1" applyAlignment="1">
      <alignment horizontal="center" wrapText="1"/>
    </xf>
    <xf numFmtId="0" fontId="6" fillId="33" borderId="0" xfId="0" applyFont="1" applyFill="1" applyBorder="1" applyAlignment="1">
      <alignment horizontal="center" vertical="center" textRotation="90" wrapText="1"/>
    </xf>
    <xf numFmtId="0" fontId="0" fillId="33" borderId="0" xfId="0" applyFont="1" applyFill="1" applyBorder="1" applyAlignment="1">
      <alignment horizontal="center" textRotation="255" wrapText="1"/>
    </xf>
    <xf numFmtId="0" fontId="0" fillId="33" borderId="13" xfId="0" applyFont="1" applyFill="1" applyBorder="1" applyAlignment="1">
      <alignment horizontal="justify" wrapText="1"/>
    </xf>
    <xf numFmtId="0" fontId="0" fillId="33" borderId="16" xfId="0" applyFont="1" applyFill="1" applyBorder="1" applyAlignment="1">
      <alignment horizontal="center" wrapText="1"/>
    </xf>
    <xf numFmtId="0" fontId="0" fillId="33" borderId="16" xfId="0" applyFont="1" applyFill="1" applyBorder="1" applyAlignment="1">
      <alignment horizontal="center" wrapText="1"/>
    </xf>
    <xf numFmtId="0" fontId="0" fillId="42" borderId="0" xfId="0" applyFont="1" applyFill="1" applyAlignment="1" quotePrefix="1">
      <alignment/>
    </xf>
    <xf numFmtId="0" fontId="0" fillId="0" borderId="0" xfId="0" applyFont="1" applyFill="1" applyAlignment="1" quotePrefix="1">
      <alignment horizontal="center" wrapText="1"/>
    </xf>
    <xf numFmtId="0" fontId="0" fillId="43" borderId="0" xfId="0" applyFont="1" applyFill="1" applyBorder="1" applyAlignment="1">
      <alignment horizontal="center" wrapText="1"/>
    </xf>
    <xf numFmtId="191" fontId="3" fillId="43" borderId="19" xfId="0" applyNumberFormat="1" applyFont="1" applyFill="1" applyBorder="1" applyAlignment="1">
      <alignment horizontal="center"/>
    </xf>
    <xf numFmtId="0" fontId="0" fillId="33" borderId="15" xfId="0" applyFont="1" applyFill="1" applyBorder="1" applyAlignment="1">
      <alignment horizontal="center" wrapText="1"/>
    </xf>
    <xf numFmtId="184" fontId="3" fillId="41" borderId="21" xfId="0" applyNumberFormat="1" applyFont="1" applyFill="1" applyBorder="1" applyAlignment="1">
      <alignment horizontal="center"/>
    </xf>
    <xf numFmtId="191" fontId="3" fillId="41" borderId="21" xfId="0" applyNumberFormat="1" applyFont="1" applyFill="1" applyBorder="1" applyAlignment="1">
      <alignment horizontal="center"/>
    </xf>
    <xf numFmtId="191" fontId="3" fillId="43" borderId="22" xfId="0" applyNumberFormat="1" applyFont="1" applyFill="1" applyBorder="1" applyAlignment="1">
      <alignment horizontal="center"/>
    </xf>
    <xf numFmtId="184" fontId="30" fillId="0" borderId="0" xfId="0" applyNumberFormat="1" applyFont="1" applyAlignment="1">
      <alignment wrapText="1"/>
    </xf>
    <xf numFmtId="184" fontId="3" fillId="43" borderId="22" xfId="0" applyNumberFormat="1" applyFont="1" applyFill="1" applyBorder="1" applyAlignment="1">
      <alignment horizontal="center"/>
    </xf>
    <xf numFmtId="184" fontId="3" fillId="33" borderId="22" xfId="0" applyNumberFormat="1" applyFont="1" applyFill="1" applyBorder="1" applyAlignment="1">
      <alignment horizontal="center"/>
    </xf>
    <xf numFmtId="0" fontId="3" fillId="33" borderId="21" xfId="0" applyFont="1" applyFill="1" applyBorder="1" applyAlignment="1">
      <alignment horizontal="center"/>
    </xf>
    <xf numFmtId="184" fontId="3" fillId="33" borderId="21" xfId="49" applyNumberFormat="1" applyFont="1" applyFill="1" applyBorder="1" applyAlignment="1">
      <alignment horizontal="right"/>
    </xf>
    <xf numFmtId="0" fontId="0" fillId="33" borderId="21" xfId="0" applyFont="1" applyFill="1" applyBorder="1" applyAlignment="1">
      <alignment horizontal="center" vertical="top"/>
    </xf>
    <xf numFmtId="184" fontId="0" fillId="33" borderId="21" xfId="49" applyNumberFormat="1" applyFont="1" applyFill="1" applyBorder="1" applyAlignment="1">
      <alignment horizontal="right" vertical="top"/>
    </xf>
    <xf numFmtId="191" fontId="3" fillId="41" borderId="18" xfId="0" applyNumberFormat="1" applyFont="1" applyFill="1" applyBorder="1" applyAlignment="1">
      <alignment horizontal="center"/>
    </xf>
    <xf numFmtId="184" fontId="3" fillId="41" borderId="22" xfId="0" applyNumberFormat="1" applyFont="1" applyFill="1" applyBorder="1" applyAlignment="1">
      <alignment horizontal="center"/>
    </xf>
    <xf numFmtId="0" fontId="3" fillId="33" borderId="0" xfId="0" applyFont="1" applyFill="1" applyAlignment="1">
      <alignment horizontal="center" wrapText="1"/>
    </xf>
    <xf numFmtId="0" fontId="0" fillId="0" borderId="0" xfId="0" applyFont="1" applyFill="1" applyBorder="1" applyAlignment="1" quotePrefix="1">
      <alignment horizontal="center" wrapText="1"/>
    </xf>
    <xf numFmtId="187" fontId="3" fillId="41" borderId="29" xfId="0" applyNumberFormat="1" applyFont="1" applyFill="1" applyBorder="1" applyAlignment="1">
      <alignment horizontal="center" vertical="top"/>
    </xf>
    <xf numFmtId="191" fontId="3" fillId="0" borderId="19" xfId="0" applyNumberFormat="1" applyFont="1" applyFill="1" applyBorder="1" applyAlignment="1">
      <alignment horizontal="center"/>
    </xf>
    <xf numFmtId="0" fontId="3" fillId="0" borderId="19" xfId="0" applyFont="1" applyFill="1" applyBorder="1" applyAlignment="1">
      <alignment horizontal="center"/>
    </xf>
    <xf numFmtId="184" fontId="3" fillId="0" borderId="21" xfId="49" applyNumberFormat="1" applyFont="1" applyFill="1" applyBorder="1" applyAlignment="1">
      <alignment horizontal="right"/>
    </xf>
    <xf numFmtId="0" fontId="6" fillId="41" borderId="18" xfId="0" applyFont="1" applyFill="1" applyBorder="1" applyAlignment="1">
      <alignment/>
    </xf>
    <xf numFmtId="0" fontId="13" fillId="41" borderId="19" xfId="0" applyFont="1" applyFill="1" applyBorder="1" applyAlignment="1">
      <alignment horizontal="justify" vertical="top" wrapText="1"/>
    </xf>
    <xf numFmtId="0" fontId="0" fillId="41" borderId="18" xfId="0" applyFill="1" applyBorder="1" applyAlignment="1">
      <alignment/>
    </xf>
    <xf numFmtId="0" fontId="0" fillId="41" borderId="0" xfId="0" applyFill="1" applyBorder="1" applyAlignment="1">
      <alignment/>
    </xf>
    <xf numFmtId="43" fontId="0" fillId="41" borderId="0" xfId="0" applyNumberFormat="1" applyFill="1" applyAlignment="1">
      <alignment/>
    </xf>
    <xf numFmtId="0" fontId="0" fillId="0" borderId="19" xfId="0" applyFont="1" applyFill="1" applyBorder="1" applyAlignment="1">
      <alignment horizontal="center"/>
    </xf>
    <xf numFmtId="0" fontId="0" fillId="0" borderId="21" xfId="0" applyFont="1" applyFill="1" applyBorder="1" applyAlignment="1">
      <alignment horizontal="center"/>
    </xf>
    <xf numFmtId="0" fontId="3" fillId="0" borderId="21" xfId="0" applyFont="1" applyFill="1" applyBorder="1" applyAlignment="1">
      <alignment horizontal="center" vertical="top"/>
    </xf>
    <xf numFmtId="0" fontId="0" fillId="33" borderId="0" xfId="0" applyFont="1" applyFill="1" applyAlignment="1">
      <alignment/>
    </xf>
    <xf numFmtId="0" fontId="36" fillId="0" borderId="0" xfId="0" applyFont="1" applyAlignment="1">
      <alignment horizontal="center" readingOrder="2"/>
    </xf>
    <xf numFmtId="0" fontId="0" fillId="33" borderId="0" xfId="0" applyFont="1" applyFill="1" applyAlignment="1">
      <alignment/>
    </xf>
    <xf numFmtId="179" fontId="11" fillId="0" borderId="0" xfId="0" applyNumberFormat="1" applyFont="1" applyFill="1" applyAlignment="1">
      <alignment/>
    </xf>
    <xf numFmtId="43" fontId="11" fillId="0" borderId="45" xfId="0" applyNumberFormat="1" applyFont="1" applyFill="1" applyBorder="1" applyAlignment="1">
      <alignment/>
    </xf>
    <xf numFmtId="43" fontId="11" fillId="0" borderId="46" xfId="0" applyNumberFormat="1" applyFont="1" applyFill="1" applyBorder="1" applyAlignment="1">
      <alignment/>
    </xf>
    <xf numFmtId="193" fontId="33" fillId="0" borderId="0" xfId="0" applyNumberFormat="1" applyFont="1" applyAlignment="1">
      <alignment/>
    </xf>
    <xf numFmtId="43" fontId="33" fillId="0" borderId="0" xfId="0" applyNumberFormat="1" applyFont="1" applyAlignment="1">
      <alignment/>
    </xf>
    <xf numFmtId="193" fontId="0" fillId="0" borderId="0" xfId="0" applyNumberFormat="1" applyAlignment="1">
      <alignment/>
    </xf>
    <xf numFmtId="43" fontId="0" fillId="0" borderId="0" xfId="0" applyNumberFormat="1" applyBorder="1" applyAlignment="1">
      <alignment/>
    </xf>
    <xf numFmtId="193" fontId="33" fillId="0" borderId="79" xfId="49" applyNumberFormat="1" applyFont="1" applyBorder="1" applyAlignment="1">
      <alignment/>
    </xf>
    <xf numFmtId="43" fontId="0" fillId="0" borderId="79" xfId="0" applyNumberFormat="1" applyBorder="1" applyAlignment="1">
      <alignment/>
    </xf>
    <xf numFmtId="0" fontId="0" fillId="33" borderId="18" xfId="0" applyFont="1" applyFill="1" applyBorder="1" applyAlignment="1">
      <alignment horizontal="justify" vertical="center" wrapText="1"/>
    </xf>
    <xf numFmtId="0" fontId="0" fillId="33" borderId="19" xfId="0" applyFont="1" applyFill="1" applyBorder="1" applyAlignment="1">
      <alignment horizontal="justify" vertical="center" wrapText="1"/>
    </xf>
    <xf numFmtId="0" fontId="0" fillId="33" borderId="22" xfId="0" applyFont="1" applyFill="1" applyBorder="1" applyAlignment="1">
      <alignment horizontal="justify" vertical="center" wrapText="1"/>
    </xf>
    <xf numFmtId="0" fontId="4" fillId="33" borderId="18" xfId="0" applyFont="1" applyFill="1" applyBorder="1" applyAlignment="1">
      <alignment horizontal="justify" vertical="center" wrapText="1"/>
    </xf>
    <xf numFmtId="0" fontId="3" fillId="37" borderId="21" xfId="0" applyFont="1" applyFill="1" applyBorder="1" applyAlignment="1">
      <alignment horizontal="center" vertical="center"/>
    </xf>
    <xf numFmtId="184" fontId="3" fillId="37" borderId="21"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13" fillId="0" borderId="21" xfId="0" applyFont="1" applyFill="1" applyBorder="1" applyAlignment="1">
      <alignment horizontal="justify" vertical="top" wrapText="1"/>
    </xf>
    <xf numFmtId="187" fontId="13" fillId="0" borderId="21" xfId="0" applyNumberFormat="1" applyFont="1" applyFill="1" applyBorder="1" applyAlignment="1">
      <alignment horizontal="justify" vertical="top" wrapText="1"/>
    </xf>
    <xf numFmtId="184" fontId="13" fillId="0" borderId="21" xfId="0" applyNumberFormat="1" applyFont="1" applyFill="1" applyBorder="1" applyAlignment="1">
      <alignment horizontal="justify" vertical="top" wrapText="1"/>
    </xf>
    <xf numFmtId="195" fontId="13" fillId="0" borderId="21" xfId="0" applyNumberFormat="1" applyFont="1" applyFill="1" applyBorder="1" applyAlignment="1">
      <alignment horizontal="justify" vertical="top" wrapText="1"/>
    </xf>
    <xf numFmtId="179" fontId="13" fillId="0" borderId="21" xfId="49" applyFont="1" applyFill="1" applyBorder="1" applyAlignment="1">
      <alignment horizontal="justify" vertical="top" wrapText="1"/>
    </xf>
    <xf numFmtId="0" fontId="5" fillId="0" borderId="21" xfId="0" applyFont="1" applyFill="1" applyBorder="1" applyAlignment="1">
      <alignment horizontal="justify" vertical="top" wrapText="1"/>
    </xf>
    <xf numFmtId="0" fontId="13" fillId="0" borderId="21" xfId="0" applyFont="1" applyFill="1" applyBorder="1" applyAlignment="1">
      <alignment horizontal="justify" vertical="top" wrapText="1" shrinkToFit="1"/>
    </xf>
    <xf numFmtId="0" fontId="3" fillId="36" borderId="0" xfId="0" applyFont="1" applyFill="1" applyBorder="1" applyAlignment="1">
      <alignment horizontal="center" vertical="center" textRotation="90" wrapText="1"/>
    </xf>
    <xf numFmtId="0" fontId="6" fillId="33" borderId="0" xfId="0" applyFont="1" applyFill="1" applyAlignment="1">
      <alignment horizontal="center" vertical="center"/>
    </xf>
    <xf numFmtId="0" fontId="6" fillId="33" borderId="22"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30" xfId="0" applyFont="1" applyFill="1" applyBorder="1" applyAlignment="1">
      <alignment horizontal="center" vertical="center"/>
    </xf>
    <xf numFmtId="0" fontId="28" fillId="39" borderId="18" xfId="0" applyFont="1" applyFill="1" applyBorder="1" applyAlignment="1">
      <alignment horizontal="center" vertical="center" wrapText="1"/>
    </xf>
    <xf numFmtId="0" fontId="4" fillId="33" borderId="19" xfId="0" applyFont="1" applyFill="1" applyBorder="1" applyAlignment="1">
      <alignment horizontal="center" vertical="center"/>
    </xf>
    <xf numFmtId="0" fontId="0" fillId="0" borderId="0" xfId="0" applyAlignment="1">
      <alignment horizontal="center" vertical="center"/>
    </xf>
    <xf numFmtId="0" fontId="6" fillId="33" borderId="0" xfId="0" applyFont="1" applyFill="1" applyBorder="1" applyAlignment="1">
      <alignment horizontal="center"/>
    </xf>
    <xf numFmtId="0" fontId="22" fillId="39" borderId="39" xfId="0" applyNumberFormat="1" applyFont="1" applyFill="1" applyBorder="1" applyAlignment="1" applyProtection="1">
      <alignment horizontal="center" vertical="center" wrapText="1"/>
      <protection locked="0"/>
    </xf>
    <xf numFmtId="0" fontId="3" fillId="39" borderId="39" xfId="0" applyFont="1" applyFill="1" applyBorder="1" applyAlignment="1">
      <alignment horizontal="center" wrapText="1"/>
    </xf>
    <xf numFmtId="0" fontId="6" fillId="33" borderId="39" xfId="0" applyFont="1" applyFill="1" applyBorder="1" applyAlignment="1">
      <alignment horizontal="center"/>
    </xf>
    <xf numFmtId="0" fontId="0" fillId="37" borderId="39" xfId="0" applyFont="1" applyFill="1" applyBorder="1" applyAlignment="1">
      <alignment horizontal="justify" wrapText="1"/>
    </xf>
    <xf numFmtId="0" fontId="0" fillId="39" borderId="39" xfId="0" applyFont="1" applyFill="1" applyBorder="1" applyAlignment="1">
      <alignment horizontal="center" wrapText="1"/>
    </xf>
    <xf numFmtId="0" fontId="0" fillId="33" borderId="39" xfId="0" applyFont="1" applyFill="1" applyBorder="1" applyAlignment="1">
      <alignment horizontal="center" wrapText="1"/>
    </xf>
    <xf numFmtId="0" fontId="0" fillId="0" borderId="39" xfId="0" applyFont="1" applyFill="1" applyBorder="1" applyAlignment="1">
      <alignment horizontal="center" wrapText="1"/>
    </xf>
    <xf numFmtId="0" fontId="0" fillId="39" borderId="39" xfId="0" applyFont="1" applyFill="1" applyBorder="1" applyAlignment="1">
      <alignment horizontal="center" wrapText="1"/>
    </xf>
    <xf numFmtId="0" fontId="0" fillId="39" borderId="39" xfId="0" applyFont="1" applyFill="1" applyBorder="1" applyAlignment="1">
      <alignment horizontal="center" wrapText="1"/>
    </xf>
    <xf numFmtId="0" fontId="0" fillId="0" borderId="39" xfId="0" applyFont="1" applyFill="1" applyBorder="1" applyAlignment="1">
      <alignment horizontal="justify" wrapText="1"/>
    </xf>
    <xf numFmtId="0" fontId="0" fillId="37" borderId="39" xfId="0" applyFont="1" applyFill="1" applyBorder="1" applyAlignment="1">
      <alignment horizontal="center" wrapText="1"/>
    </xf>
    <xf numFmtId="0" fontId="0" fillId="37" borderId="39" xfId="0" applyFont="1" applyFill="1" applyBorder="1" applyAlignment="1">
      <alignment wrapText="1"/>
    </xf>
    <xf numFmtId="0" fontId="29" fillId="37" borderId="39" xfId="0" applyFont="1" applyFill="1" applyBorder="1" applyAlignment="1">
      <alignment horizontal="center" wrapText="1"/>
    </xf>
    <xf numFmtId="0" fontId="13" fillId="37" borderId="39" xfId="0" applyFont="1" applyFill="1" applyBorder="1" applyAlignment="1">
      <alignment horizontal="center" wrapText="1"/>
    </xf>
    <xf numFmtId="0" fontId="29" fillId="37" borderId="39" xfId="0" applyFont="1" applyFill="1" applyBorder="1" applyAlignment="1">
      <alignment wrapText="1"/>
    </xf>
    <xf numFmtId="0" fontId="29" fillId="37" borderId="39" xfId="0" applyFont="1" applyFill="1" applyBorder="1" applyAlignment="1">
      <alignment horizontal="justify" wrapText="1"/>
    </xf>
    <xf numFmtId="0" fontId="3" fillId="39" borderId="39" xfId="0" applyNumberFormat="1" applyFont="1" applyFill="1" applyBorder="1" applyAlignment="1" applyProtection="1">
      <alignment horizontal="center" wrapText="1"/>
      <protection locked="0"/>
    </xf>
    <xf numFmtId="0" fontId="3" fillId="39" borderId="80" xfId="0" applyFont="1" applyFill="1" applyBorder="1" applyAlignment="1">
      <alignment/>
    </xf>
    <xf numFmtId="0" fontId="28" fillId="39" borderId="74" xfId="0" applyFont="1" applyFill="1" applyBorder="1" applyAlignment="1">
      <alignment horizontal="justify" vertical="center" wrapText="1"/>
    </xf>
    <xf numFmtId="43" fontId="0" fillId="39" borderId="19" xfId="0" applyNumberFormat="1" applyFont="1" applyFill="1" applyBorder="1" applyAlignment="1">
      <alignment horizontal="center"/>
    </xf>
    <xf numFmtId="193" fontId="11" fillId="0" borderId="78" xfId="49" applyNumberFormat="1" applyFont="1" applyFill="1" applyBorder="1" applyAlignment="1">
      <alignment/>
    </xf>
    <xf numFmtId="193" fontId="11" fillId="0" borderId="75" xfId="49" applyNumberFormat="1" applyFont="1" applyFill="1" applyBorder="1" applyAlignment="1">
      <alignment/>
    </xf>
    <xf numFmtId="0" fontId="0" fillId="0" borderId="81" xfId="0" applyFont="1" applyFill="1" applyBorder="1" applyAlignment="1">
      <alignment horizontal="center"/>
    </xf>
    <xf numFmtId="4" fontId="0" fillId="0" borderId="0" xfId="0" applyNumberFormat="1" applyBorder="1" applyAlignment="1">
      <alignment/>
    </xf>
    <xf numFmtId="0" fontId="0" fillId="33" borderId="34" xfId="0" applyFont="1" applyFill="1" applyBorder="1" applyAlignment="1">
      <alignment/>
    </xf>
    <xf numFmtId="0" fontId="0" fillId="33" borderId="0" xfId="0" applyFill="1" applyBorder="1" applyAlignment="1">
      <alignment horizontal="left" wrapText="1"/>
    </xf>
    <xf numFmtId="4" fontId="0" fillId="0" borderId="18" xfId="0" applyNumberFormat="1" applyBorder="1" applyAlignment="1">
      <alignment/>
    </xf>
    <xf numFmtId="0" fontId="0" fillId="37" borderId="82" xfId="0" applyFont="1" applyFill="1" applyBorder="1" applyAlignment="1">
      <alignment horizontal="center"/>
    </xf>
    <xf numFmtId="4" fontId="0" fillId="0" borderId="21" xfId="0" applyNumberFormat="1" applyBorder="1" applyAlignment="1">
      <alignment/>
    </xf>
    <xf numFmtId="4" fontId="0" fillId="0" borderId="21" xfId="0" applyNumberFormat="1" applyFont="1" applyBorder="1" applyAlignment="1">
      <alignment/>
    </xf>
    <xf numFmtId="0" fontId="0" fillId="0" borderId="0" xfId="0" applyAlignment="1">
      <alignment/>
    </xf>
    <xf numFmtId="0" fontId="0" fillId="33" borderId="0" xfId="0" applyFill="1" applyAlignment="1">
      <alignment/>
    </xf>
    <xf numFmtId="0" fontId="32" fillId="40" borderId="69" xfId="0" applyFont="1" applyFill="1" applyBorder="1" applyAlignment="1">
      <alignment horizontal="center" vertical="center"/>
    </xf>
    <xf numFmtId="0" fontId="32" fillId="40" borderId="53" xfId="0" applyFont="1" applyFill="1" applyBorder="1" applyAlignment="1">
      <alignment horizontal="center" vertical="center"/>
    </xf>
    <xf numFmtId="0" fontId="3" fillId="0" borderId="81" xfId="0" applyFont="1" applyFill="1" applyBorder="1" applyAlignment="1">
      <alignment horizontal="center" vertical="top"/>
    </xf>
    <xf numFmtId="4" fontId="3" fillId="0" borderId="21" xfId="49" applyNumberFormat="1" applyFont="1" applyFill="1" applyBorder="1" applyAlignment="1">
      <alignment horizontal="right" vertical="top"/>
    </xf>
    <xf numFmtId="0" fontId="13" fillId="37" borderId="29" xfId="0" applyFont="1" applyFill="1" applyBorder="1" applyAlignment="1">
      <alignment horizontal="justify" vertical="top" wrapText="1"/>
    </xf>
    <xf numFmtId="0" fontId="4" fillId="37" borderId="0" xfId="0" applyFont="1" applyFill="1" applyBorder="1" applyAlignment="1">
      <alignment/>
    </xf>
    <xf numFmtId="0" fontId="4" fillId="37" borderId="0" xfId="0" applyFont="1" applyFill="1" applyAlignment="1">
      <alignment/>
    </xf>
    <xf numFmtId="0" fontId="0" fillId="0" borderId="81" xfId="0" applyFont="1" applyFill="1" applyBorder="1" applyAlignment="1">
      <alignment horizontal="center" vertical="top"/>
    </xf>
    <xf numFmtId="4" fontId="0" fillId="0" borderId="21" xfId="49" applyNumberFormat="1" applyFont="1" applyFill="1" applyBorder="1" applyAlignment="1">
      <alignment horizontal="right" vertical="top"/>
    </xf>
    <xf numFmtId="43" fontId="4" fillId="37" borderId="0" xfId="0" applyNumberFormat="1" applyFont="1" applyFill="1" applyBorder="1" applyAlignment="1">
      <alignment/>
    </xf>
    <xf numFmtId="43" fontId="13" fillId="37" borderId="29" xfId="0" applyNumberFormat="1" applyFont="1" applyFill="1" applyBorder="1" applyAlignment="1">
      <alignment horizontal="justify" vertical="top" wrapText="1"/>
    </xf>
    <xf numFmtId="184" fontId="4" fillId="37" borderId="0" xfId="0" applyNumberFormat="1" applyFont="1" applyFill="1" applyBorder="1" applyAlignment="1">
      <alignment/>
    </xf>
    <xf numFmtId="187" fontId="13" fillId="37" borderId="29" xfId="0" applyNumberFormat="1" applyFont="1" applyFill="1" applyBorder="1" applyAlignment="1">
      <alignment horizontal="justify" vertical="top" wrapText="1"/>
    </xf>
    <xf numFmtId="4" fontId="0" fillId="37" borderId="21" xfId="0" applyNumberFormat="1" applyFill="1" applyBorder="1" applyAlignment="1">
      <alignment horizontal="right"/>
    </xf>
    <xf numFmtId="4" fontId="0" fillId="37" borderId="21" xfId="0" applyNumberFormat="1" applyFill="1" applyBorder="1" applyAlignment="1">
      <alignment/>
    </xf>
    <xf numFmtId="191" fontId="4" fillId="37" borderId="0" xfId="0" applyNumberFormat="1" applyFont="1" applyFill="1" applyBorder="1" applyAlignment="1">
      <alignment/>
    </xf>
    <xf numFmtId="191" fontId="4" fillId="37" borderId="0" xfId="0" applyNumberFormat="1" applyFont="1" applyFill="1" applyBorder="1" applyAlignment="1" applyProtection="1">
      <alignment/>
      <protection locked="0"/>
    </xf>
    <xf numFmtId="0" fontId="4" fillId="37" borderId="0" xfId="0" applyFont="1" applyFill="1" applyBorder="1" applyAlignment="1" applyProtection="1">
      <alignment/>
      <protection locked="0"/>
    </xf>
    <xf numFmtId="0" fontId="4" fillId="37" borderId="0" xfId="0" applyFont="1" applyFill="1" applyAlignment="1" applyProtection="1">
      <alignment/>
      <protection locked="0"/>
    </xf>
    <xf numFmtId="0" fontId="3" fillId="0" borderId="81" xfId="0" applyFont="1" applyFill="1" applyBorder="1" applyAlignment="1">
      <alignment horizontal="center"/>
    </xf>
    <xf numFmtId="4" fontId="3" fillId="0" borderId="21" xfId="49" applyNumberFormat="1" applyFont="1" applyFill="1" applyBorder="1" applyAlignment="1">
      <alignment horizontal="right"/>
    </xf>
    <xf numFmtId="4" fontId="0" fillId="37" borderId="21" xfId="0" applyNumberFormat="1" applyFont="1" applyFill="1" applyBorder="1" applyAlignment="1">
      <alignment/>
    </xf>
    <xf numFmtId="191" fontId="13" fillId="37" borderId="29" xfId="0" applyNumberFormat="1" applyFont="1" applyFill="1" applyBorder="1" applyAlignment="1">
      <alignment horizontal="justify" vertical="top" wrapText="1"/>
    </xf>
    <xf numFmtId="0" fontId="13" fillId="37" borderId="29" xfId="0" applyFont="1" applyFill="1" applyBorder="1" applyAlignment="1">
      <alignment horizontal="justify" vertical="top" wrapText="1" shrinkToFit="1"/>
    </xf>
    <xf numFmtId="0" fontId="3" fillId="0" borderId="30" xfId="0" applyFont="1" applyFill="1" applyBorder="1" applyAlignment="1">
      <alignment horizontal="center" vertical="top"/>
    </xf>
    <xf numFmtId="0" fontId="0" fillId="0" borderId="30" xfId="0" applyFont="1" applyFill="1" applyBorder="1" applyAlignment="1">
      <alignment horizontal="center" vertical="top"/>
    </xf>
    <xf numFmtId="0" fontId="0" fillId="37" borderId="81" xfId="0" applyFont="1" applyFill="1" applyBorder="1" applyAlignment="1">
      <alignment horizontal="center" vertical="top"/>
    </xf>
    <xf numFmtId="0" fontId="3" fillId="0" borderId="83" xfId="0" applyFont="1" applyFill="1" applyBorder="1" applyAlignment="1">
      <alignment horizontal="center" vertical="top"/>
    </xf>
    <xf numFmtId="0" fontId="0" fillId="0" borderId="81" xfId="0" applyFill="1" applyBorder="1" applyAlignment="1">
      <alignment horizontal="center"/>
    </xf>
    <xf numFmtId="0" fontId="3" fillId="0" borderId="32" xfId="0" applyFont="1" applyFill="1" applyBorder="1" applyAlignment="1">
      <alignment horizontal="center" vertical="top"/>
    </xf>
    <xf numFmtId="0" fontId="0" fillId="0" borderId="32" xfId="0" applyFont="1" applyFill="1" applyBorder="1" applyAlignment="1">
      <alignment horizontal="center" vertical="top"/>
    </xf>
    <xf numFmtId="187" fontId="3" fillId="39" borderId="21" xfId="0" applyNumberFormat="1" applyFont="1" applyFill="1" applyBorder="1" applyAlignment="1">
      <alignment horizontal="center" vertical="top"/>
    </xf>
    <xf numFmtId="3" fontId="11" fillId="0" borderId="50" xfId="55" applyNumberFormat="1" applyFont="1" applyBorder="1" applyAlignment="1">
      <alignment horizontal="center"/>
    </xf>
    <xf numFmtId="3" fontId="20" fillId="34" borderId="62" xfId="55" applyNumberFormat="1" applyFont="1" applyFill="1" applyBorder="1" applyAlignment="1">
      <alignment horizontal="center"/>
    </xf>
    <xf numFmtId="193" fontId="11" fillId="0" borderId="75" xfId="49" applyNumberFormat="1" applyFont="1" applyBorder="1" applyAlignment="1">
      <alignment/>
    </xf>
    <xf numFmtId="3" fontId="11" fillId="0" borderId="50" xfId="55" applyNumberFormat="1" applyFont="1" applyBorder="1" applyAlignment="1">
      <alignment horizontal="center"/>
    </xf>
    <xf numFmtId="0" fontId="20" fillId="40" borderId="39" xfId="0" applyFont="1" applyFill="1" applyBorder="1" applyAlignment="1">
      <alignment/>
    </xf>
    <xf numFmtId="193" fontId="20" fillId="40" borderId="39" xfId="0" applyNumberFormat="1" applyFont="1" applyFill="1" applyBorder="1" applyAlignment="1">
      <alignment/>
    </xf>
    <xf numFmtId="0" fontId="14" fillId="40" borderId="50" xfId="0" applyFont="1" applyFill="1" applyBorder="1" applyAlignment="1">
      <alignment horizontal="center" vertical="center"/>
    </xf>
    <xf numFmtId="0" fontId="20" fillId="40" borderId="84" xfId="0" applyFont="1" applyFill="1" applyBorder="1" applyAlignment="1">
      <alignment horizontal="center" vertical="center"/>
    </xf>
    <xf numFmtId="0" fontId="20" fillId="40" borderId="50" xfId="0" applyFont="1" applyFill="1" applyBorder="1" applyAlignment="1">
      <alignment horizontal="center" vertical="center"/>
    </xf>
    <xf numFmtId="0" fontId="28" fillId="40" borderId="75" xfId="0" applyFont="1" applyFill="1" applyBorder="1" applyAlignment="1">
      <alignment horizontal="center" vertical="center" wrapText="1"/>
    </xf>
    <xf numFmtId="0" fontId="14" fillId="40" borderId="75" xfId="0" applyFont="1" applyFill="1" applyBorder="1" applyAlignment="1">
      <alignment horizontal="center" vertical="justify"/>
    </xf>
    <xf numFmtId="0" fontId="34" fillId="0" borderId="0" xfId="0" applyFont="1" applyAlignment="1">
      <alignment/>
    </xf>
    <xf numFmtId="0" fontId="3" fillId="39" borderId="39" xfId="0" applyFont="1" applyFill="1" applyBorder="1" applyAlignment="1">
      <alignment/>
    </xf>
    <xf numFmtId="0" fontId="38" fillId="33" borderId="0" xfId="0" applyFont="1" applyFill="1" applyAlignment="1">
      <alignment/>
    </xf>
    <xf numFmtId="0" fontId="38" fillId="35" borderId="0" xfId="0" applyFont="1" applyFill="1" applyAlignment="1">
      <alignment/>
    </xf>
    <xf numFmtId="0" fontId="24" fillId="39" borderId="39" xfId="0" applyFont="1" applyFill="1" applyBorder="1" applyAlignment="1">
      <alignment/>
    </xf>
    <xf numFmtId="0" fontId="38" fillId="33" borderId="39" xfId="0" applyFont="1" applyFill="1" applyBorder="1" applyAlignment="1">
      <alignment/>
    </xf>
    <xf numFmtId="0" fontId="24" fillId="33" borderId="39" xfId="0" applyFont="1" applyFill="1" applyBorder="1" applyAlignment="1">
      <alignment/>
    </xf>
    <xf numFmtId="0" fontId="24" fillId="33" borderId="0" xfId="0" applyFont="1" applyFill="1" applyAlignment="1">
      <alignment/>
    </xf>
    <xf numFmtId="0" fontId="24" fillId="39" borderId="39" xfId="0" applyFont="1" applyFill="1" applyBorder="1" applyAlignment="1">
      <alignment/>
    </xf>
    <xf numFmtId="0" fontId="38" fillId="0" borderId="0" xfId="0" applyFont="1" applyAlignment="1">
      <alignment/>
    </xf>
    <xf numFmtId="0" fontId="0" fillId="33" borderId="0" xfId="0" applyFont="1" applyFill="1" applyAlignment="1">
      <alignment/>
    </xf>
    <xf numFmtId="187" fontId="3" fillId="37" borderId="21" xfId="0" applyNumberFormat="1" applyFont="1" applyFill="1" applyBorder="1" applyAlignment="1">
      <alignment horizontal="center"/>
    </xf>
    <xf numFmtId="187" fontId="3" fillId="37" borderId="22" xfId="0" applyNumberFormat="1" applyFont="1" applyFill="1" applyBorder="1" applyAlignment="1">
      <alignment horizontal="center"/>
    </xf>
    <xf numFmtId="187" fontId="3" fillId="39" borderId="22" xfId="0" applyNumberFormat="1" applyFont="1" applyFill="1" applyBorder="1" applyAlignment="1">
      <alignment horizontal="center"/>
    </xf>
    <xf numFmtId="4" fontId="7" fillId="34" borderId="22" xfId="49" applyNumberFormat="1" applyFont="1" applyFill="1" applyBorder="1" applyAlignment="1">
      <alignment horizontal="right"/>
    </xf>
    <xf numFmtId="4" fontId="3" fillId="39" borderId="18" xfId="0" applyNumberFormat="1" applyFont="1" applyFill="1" applyBorder="1" applyAlignment="1">
      <alignment horizontal="center"/>
    </xf>
    <xf numFmtId="4" fontId="3" fillId="37" borderId="21" xfId="49" applyNumberFormat="1" applyFont="1" applyFill="1" applyBorder="1" applyAlignment="1">
      <alignment horizontal="right" vertical="top"/>
    </xf>
    <xf numFmtId="4" fontId="0" fillId="0" borderId="0" xfId="49" applyNumberFormat="1" applyFont="1" applyBorder="1" applyAlignment="1">
      <alignment vertical="center"/>
    </xf>
    <xf numFmtId="4" fontId="3" fillId="37" borderId="19" xfId="49" applyNumberFormat="1" applyFont="1" applyFill="1" applyBorder="1" applyAlignment="1">
      <alignment horizontal="right"/>
    </xf>
    <xf numFmtId="4" fontId="0" fillId="37" borderId="19" xfId="49" applyNumberFormat="1" applyFont="1" applyFill="1" applyBorder="1" applyAlignment="1">
      <alignment horizontal="right"/>
    </xf>
    <xf numFmtId="4" fontId="0" fillId="37" borderId="21" xfId="49" applyNumberFormat="1" applyFont="1" applyFill="1" applyBorder="1" applyAlignment="1">
      <alignment horizontal="right"/>
    </xf>
    <xf numFmtId="4" fontId="0" fillId="0" borderId="21" xfId="49" applyNumberFormat="1" applyFont="1" applyFill="1" applyBorder="1" applyAlignment="1">
      <alignment horizontal="right"/>
    </xf>
    <xf numFmtId="4" fontId="3" fillId="37" borderId="21" xfId="49" applyNumberFormat="1" applyFont="1" applyFill="1" applyBorder="1" applyAlignment="1">
      <alignment horizontal="right"/>
    </xf>
    <xf numFmtId="4" fontId="0" fillId="37" borderId="22" xfId="49" applyNumberFormat="1" applyFont="1" applyFill="1" applyBorder="1" applyAlignment="1">
      <alignment horizontal="right"/>
    </xf>
    <xf numFmtId="4" fontId="0" fillId="37" borderId="21" xfId="49" applyNumberFormat="1" applyFont="1" applyFill="1" applyBorder="1" applyAlignment="1">
      <alignment horizontal="right" vertical="top"/>
    </xf>
    <xf numFmtId="4" fontId="3" fillId="0" borderId="21" xfId="49" applyNumberFormat="1" applyFont="1" applyFill="1" applyBorder="1" applyAlignment="1">
      <alignment horizontal="right" vertical="center"/>
    </xf>
    <xf numFmtId="4" fontId="0" fillId="37" borderId="0" xfId="0" applyNumberFormat="1" applyFill="1" applyAlignment="1">
      <alignment/>
    </xf>
    <xf numFmtId="4" fontId="3" fillId="0" borderId="21" xfId="49" applyNumberFormat="1" applyFont="1" applyFill="1" applyBorder="1" applyAlignment="1">
      <alignment/>
    </xf>
    <xf numFmtId="4" fontId="0" fillId="0" borderId="0" xfId="0" applyNumberFormat="1" applyFill="1" applyAlignment="1">
      <alignment/>
    </xf>
    <xf numFmtId="4" fontId="3" fillId="39" borderId="18" xfId="0" applyNumberFormat="1" applyFont="1" applyFill="1" applyBorder="1" applyAlignment="1">
      <alignment/>
    </xf>
    <xf numFmtId="4" fontId="0" fillId="0" borderId="0" xfId="0" applyNumberFormat="1" applyFont="1" applyFill="1" applyAlignment="1">
      <alignment/>
    </xf>
    <xf numFmtId="4" fontId="3" fillId="0" borderId="22" xfId="49" applyNumberFormat="1" applyFont="1" applyFill="1" applyBorder="1" applyAlignment="1">
      <alignment horizontal="right"/>
    </xf>
    <xf numFmtId="4" fontId="3" fillId="0" borderId="82" xfId="49" applyNumberFormat="1" applyFont="1" applyFill="1" applyBorder="1" applyAlignment="1">
      <alignment horizontal="right"/>
    </xf>
    <xf numFmtId="4" fontId="0" fillId="0" borderId="81" xfId="49" applyNumberFormat="1" applyFont="1" applyFill="1" applyBorder="1" applyAlignment="1">
      <alignment horizontal="right"/>
    </xf>
    <xf numFmtId="4" fontId="3" fillId="0" borderId="85" xfId="49" applyNumberFormat="1" applyFont="1" applyFill="1" applyBorder="1" applyAlignment="1">
      <alignment horizontal="right"/>
    </xf>
    <xf numFmtId="4" fontId="3" fillId="37" borderId="19" xfId="49" applyNumberFormat="1" applyFont="1" applyFill="1" applyBorder="1" applyAlignment="1">
      <alignment horizontal="right" vertical="top"/>
    </xf>
    <xf numFmtId="4" fontId="3" fillId="0" borderId="18" xfId="49" applyNumberFormat="1" applyFont="1" applyFill="1" applyBorder="1" applyAlignment="1">
      <alignment horizontal="right" vertical="top"/>
    </xf>
    <xf numFmtId="4" fontId="0" fillId="0" borderId="18" xfId="49" applyNumberFormat="1" applyFont="1" applyFill="1" applyBorder="1" applyAlignment="1">
      <alignment horizontal="right" vertical="top"/>
    </xf>
    <xf numFmtId="4" fontId="0" fillId="0" borderId="0" xfId="0" applyNumberFormat="1" applyAlignment="1">
      <alignment/>
    </xf>
    <xf numFmtId="4" fontId="3" fillId="33" borderId="21" xfId="0" applyNumberFormat="1" applyFont="1" applyFill="1" applyBorder="1" applyAlignment="1">
      <alignment horizontal="center"/>
    </xf>
    <xf numFmtId="4" fontId="0" fillId="0" borderId="0" xfId="49" applyNumberFormat="1" applyAlignment="1">
      <alignment horizontal="right"/>
    </xf>
    <xf numFmtId="0" fontId="0" fillId="37" borderId="18" xfId="0" applyFont="1" applyFill="1" applyBorder="1" applyAlignment="1">
      <alignment horizontal="center"/>
    </xf>
    <xf numFmtId="4" fontId="0" fillId="37" borderId="18" xfId="49" applyNumberFormat="1" applyFont="1" applyFill="1" applyBorder="1" applyAlignment="1">
      <alignment horizontal="right"/>
    </xf>
    <xf numFmtId="0" fontId="28" fillId="39" borderId="81" xfId="0" applyFont="1" applyFill="1" applyBorder="1" applyAlignment="1">
      <alignment horizontal="justify" vertical="center" wrapText="1"/>
    </xf>
    <xf numFmtId="187" fontId="3" fillId="39" borderId="32" xfId="0" applyNumberFormat="1" applyFont="1" applyFill="1" applyBorder="1" applyAlignment="1">
      <alignment horizontal="center"/>
    </xf>
    <xf numFmtId="191" fontId="3" fillId="39" borderId="32" xfId="0" applyNumberFormat="1" applyFont="1" applyFill="1" applyBorder="1" applyAlignment="1">
      <alignment horizontal="center" vertical="top"/>
    </xf>
    <xf numFmtId="4" fontId="3" fillId="39" borderId="29" xfId="0" applyNumberFormat="1" applyFont="1" applyFill="1" applyBorder="1" applyAlignment="1">
      <alignment horizontal="center" vertical="top"/>
    </xf>
    <xf numFmtId="187" fontId="3" fillId="39" borderId="21" xfId="0" applyNumberFormat="1" applyFont="1" applyFill="1" applyBorder="1" applyAlignment="1">
      <alignment horizontal="center"/>
    </xf>
    <xf numFmtId="3" fontId="0" fillId="39" borderId="19" xfId="0" applyNumberFormat="1" applyFont="1" applyFill="1" applyBorder="1" applyAlignment="1">
      <alignment horizontal="right" vertical="top" wrapText="1"/>
    </xf>
    <xf numFmtId="0" fontId="19" fillId="39" borderId="19" xfId="0" applyFont="1" applyFill="1" applyBorder="1" applyAlignment="1">
      <alignment horizontal="justify" vertical="top" wrapText="1"/>
    </xf>
    <xf numFmtId="0" fontId="13" fillId="39" borderId="19" xfId="0" applyFont="1" applyFill="1" applyBorder="1" applyAlignment="1">
      <alignment horizontal="justify" vertical="top" wrapText="1"/>
    </xf>
    <xf numFmtId="43" fontId="13" fillId="39" borderId="19" xfId="0" applyNumberFormat="1" applyFont="1" applyFill="1" applyBorder="1" applyAlignment="1">
      <alignment horizontal="justify" vertical="top" wrapText="1"/>
    </xf>
    <xf numFmtId="0" fontId="0" fillId="0" borderId="21" xfId="0" applyFont="1" applyFill="1" applyBorder="1" applyAlignment="1">
      <alignment horizontal="center" vertical="center"/>
    </xf>
    <xf numFmtId="4" fontId="0" fillId="0" borderId="21" xfId="49" applyNumberFormat="1" applyFont="1" applyBorder="1" applyAlignment="1">
      <alignment vertical="center"/>
    </xf>
    <xf numFmtId="4" fontId="3" fillId="0" borderId="21" xfId="49" applyNumberFormat="1" applyFont="1" applyBorder="1" applyAlignment="1">
      <alignment vertical="center"/>
    </xf>
    <xf numFmtId="191" fontId="3" fillId="39" borderId="21" xfId="0" applyNumberFormat="1" applyFont="1" applyFill="1" applyBorder="1" applyAlignment="1">
      <alignment horizontal="center" vertical="top"/>
    </xf>
    <xf numFmtId="4" fontId="3" fillId="39" borderId="21" xfId="0" applyNumberFormat="1" applyFont="1" applyFill="1" applyBorder="1" applyAlignment="1">
      <alignment horizontal="center" vertical="top"/>
    </xf>
    <xf numFmtId="0" fontId="0" fillId="45" borderId="0" xfId="0" applyFill="1" applyAlignment="1">
      <alignment/>
    </xf>
    <xf numFmtId="0" fontId="3" fillId="45" borderId="0" xfId="0" applyFont="1" applyFill="1" applyAlignment="1">
      <alignment/>
    </xf>
    <xf numFmtId="0" fontId="0" fillId="46" borderId="0" xfId="0" applyFill="1" applyAlignment="1">
      <alignment/>
    </xf>
    <xf numFmtId="43" fontId="33" fillId="0" borderId="0" xfId="49" applyNumberFormat="1" applyFont="1" applyAlignment="1">
      <alignment/>
    </xf>
    <xf numFmtId="196" fontId="33" fillId="0" borderId="0" xfId="0" applyNumberFormat="1" applyFont="1" applyAlignment="1">
      <alignment/>
    </xf>
    <xf numFmtId="0" fontId="20" fillId="34" borderId="39" xfId="0" applyFont="1" applyFill="1" applyBorder="1" applyAlignment="1">
      <alignment horizontal="center"/>
    </xf>
    <xf numFmtId="193" fontId="33" fillId="0" borderId="39" xfId="49" applyNumberFormat="1" applyFont="1" applyBorder="1" applyAlignment="1">
      <alignment/>
    </xf>
    <xf numFmtId="43" fontId="20" fillId="0" borderId="0" xfId="49" applyNumberFormat="1" applyFont="1" applyFill="1" applyBorder="1" applyAlignment="1">
      <alignment/>
    </xf>
    <xf numFmtId="43" fontId="33" fillId="0" borderId="0" xfId="49" applyNumberFormat="1" applyFont="1" applyFill="1" applyBorder="1" applyAlignment="1">
      <alignment/>
    </xf>
    <xf numFmtId="0" fontId="33" fillId="0" borderId="0" xfId="0" applyFont="1" applyFill="1" applyBorder="1" applyAlignment="1">
      <alignment/>
    </xf>
    <xf numFmtId="37" fontId="39" fillId="34" borderId="39" xfId="49" applyNumberFormat="1" applyFont="1" applyFill="1" applyBorder="1" applyAlignment="1">
      <alignment/>
    </xf>
    <xf numFmtId="37" fontId="20" fillId="0" borderId="0" xfId="49" applyNumberFormat="1" applyFont="1" applyFill="1" applyBorder="1" applyAlignment="1">
      <alignment/>
    </xf>
    <xf numFmtId="0" fontId="20" fillId="34" borderId="39" xfId="0" applyFont="1" applyFill="1" applyBorder="1" applyAlignment="1">
      <alignment horizontal="center" vertical="justify" wrapText="1"/>
    </xf>
    <xf numFmtId="43" fontId="33" fillId="0" borderId="39" xfId="49" applyNumberFormat="1" applyFont="1" applyBorder="1" applyAlignment="1">
      <alignment/>
    </xf>
    <xf numFmtId="43" fontId="20" fillId="0" borderId="0" xfId="49" applyNumberFormat="1" applyFont="1" applyFill="1" applyBorder="1" applyAlignment="1">
      <alignment/>
    </xf>
    <xf numFmtId="39" fontId="39" fillId="34" borderId="39" xfId="49" applyNumberFormat="1" applyFont="1" applyFill="1" applyBorder="1" applyAlignment="1">
      <alignment/>
    </xf>
    <xf numFmtId="0" fontId="33" fillId="0" borderId="54" xfId="0" applyFont="1" applyBorder="1" applyAlignment="1">
      <alignment horizontal="justify" wrapText="1"/>
    </xf>
    <xf numFmtId="0" fontId="20" fillId="0" borderId="0" xfId="0" applyFont="1" applyFill="1" applyAlignment="1">
      <alignment/>
    </xf>
    <xf numFmtId="43" fontId="20" fillId="34" borderId="51" xfId="49" applyNumberFormat="1" applyFont="1" applyFill="1" applyBorder="1" applyAlignment="1">
      <alignment/>
    </xf>
    <xf numFmtId="193" fontId="20" fillId="0" borderId="86" xfId="49" applyNumberFormat="1" applyFont="1" applyFill="1" applyBorder="1" applyAlignment="1">
      <alignment/>
    </xf>
    <xf numFmtId="2" fontId="11" fillId="0" borderId="66" xfId="55" applyNumberFormat="1" applyFont="1" applyFill="1" applyBorder="1" applyAlignment="1">
      <alignment horizontal="center"/>
    </xf>
    <xf numFmtId="0" fontId="14" fillId="47" borderId="75" xfId="0" applyFont="1" applyFill="1" applyBorder="1" applyAlignment="1">
      <alignment horizontal="center" vertical="justify"/>
    </xf>
    <xf numFmtId="0" fontId="14" fillId="47" borderId="87" xfId="0" applyFont="1" applyFill="1" applyBorder="1" applyAlignment="1">
      <alignment horizontal="center" vertical="center"/>
    </xf>
    <xf numFmtId="43" fontId="0" fillId="0" borderId="88" xfId="0" applyNumberFormat="1" applyBorder="1" applyAlignment="1">
      <alignment/>
    </xf>
    <xf numFmtId="0" fontId="11" fillId="0" borderId="70" xfId="0" applyFont="1" applyBorder="1" applyAlignment="1">
      <alignment horizontal="center"/>
    </xf>
    <xf numFmtId="193" fontId="11" fillId="0" borderId="58" xfId="49" applyNumberFormat="1" applyFont="1" applyFill="1" applyBorder="1" applyAlignment="1">
      <alignment/>
    </xf>
    <xf numFmtId="2" fontId="11" fillId="0" borderId="59" xfId="55" applyNumberFormat="1" applyFont="1" applyFill="1" applyBorder="1" applyAlignment="1">
      <alignment horizontal="center"/>
    </xf>
    <xf numFmtId="0" fontId="33" fillId="0" borderId="80" xfId="0" applyFont="1" applyFill="1" applyBorder="1" applyAlignment="1">
      <alignment/>
    </xf>
    <xf numFmtId="0" fontId="33" fillId="0" borderId="0" xfId="0" applyFont="1" applyBorder="1" applyAlignment="1">
      <alignment/>
    </xf>
    <xf numFmtId="37" fontId="33" fillId="0" borderId="89" xfId="49" applyNumberFormat="1" applyFont="1" applyFill="1" applyBorder="1" applyAlignment="1">
      <alignment/>
    </xf>
    <xf numFmtId="37" fontId="33" fillId="0" borderId="79" xfId="49" applyNumberFormat="1" applyFont="1" applyFill="1" applyBorder="1" applyAlignment="1">
      <alignment/>
    </xf>
    <xf numFmtId="37" fontId="33" fillId="0" borderId="67" xfId="49" applyNumberFormat="1" applyFont="1" applyFill="1" applyBorder="1" applyAlignment="1">
      <alignment/>
    </xf>
    <xf numFmtId="3" fontId="33" fillId="0" borderId="61" xfId="55" applyNumberFormat="1" applyFont="1" applyFill="1" applyBorder="1" applyAlignment="1">
      <alignment/>
    </xf>
    <xf numFmtId="3" fontId="33" fillId="0" borderId="62" xfId="55" applyNumberFormat="1" applyFont="1" applyFill="1" applyBorder="1" applyAlignment="1">
      <alignment/>
    </xf>
    <xf numFmtId="0" fontId="20" fillId="34" borderId="57" xfId="0" applyFont="1" applyFill="1" applyBorder="1" applyAlignment="1">
      <alignment/>
    </xf>
    <xf numFmtId="0" fontId="33" fillId="34" borderId="59" xfId="0" applyFont="1" applyFill="1" applyBorder="1" applyAlignment="1">
      <alignment/>
    </xf>
    <xf numFmtId="0" fontId="33" fillId="0" borderId="55" xfId="0" applyFont="1" applyBorder="1" applyAlignment="1">
      <alignment/>
    </xf>
    <xf numFmtId="193" fontId="33" fillId="0" borderId="66" xfId="49" applyNumberFormat="1" applyFont="1" applyBorder="1" applyAlignment="1">
      <alignment/>
    </xf>
    <xf numFmtId="193" fontId="20" fillId="34" borderId="52" xfId="0" applyNumberFormat="1" applyFont="1" applyFill="1" applyBorder="1" applyAlignment="1">
      <alignment/>
    </xf>
    <xf numFmtId="193" fontId="33" fillId="34" borderId="59" xfId="0" applyNumberFormat="1" applyFont="1" applyFill="1" applyBorder="1" applyAlignment="1">
      <alignment/>
    </xf>
    <xf numFmtId="193" fontId="33" fillId="0" borderId="66" xfId="49" applyNumberFormat="1" applyFont="1" applyBorder="1" applyAlignment="1">
      <alignment/>
    </xf>
    <xf numFmtId="193" fontId="20" fillId="34" borderId="52" xfId="49" applyNumberFormat="1" applyFont="1" applyFill="1" applyBorder="1" applyAlignment="1">
      <alignment/>
    </xf>
    <xf numFmtId="0" fontId="33" fillId="0" borderId="57" xfId="0" applyFont="1" applyFill="1" applyBorder="1" applyAlignment="1">
      <alignment/>
    </xf>
    <xf numFmtId="37" fontId="33" fillId="0" borderId="59" xfId="49" applyNumberFormat="1" applyFont="1" applyFill="1" applyBorder="1" applyAlignment="1">
      <alignment/>
    </xf>
    <xf numFmtId="0" fontId="20" fillId="34" borderId="63" xfId="0" applyFont="1" applyFill="1" applyBorder="1" applyAlignment="1">
      <alignment/>
    </xf>
    <xf numFmtId="37" fontId="20" fillId="34" borderId="52" xfId="49" applyNumberFormat="1" applyFont="1" applyFill="1" applyBorder="1" applyAlignment="1">
      <alignment/>
    </xf>
    <xf numFmtId="9" fontId="20" fillId="34" borderId="66" xfId="55" applyFont="1" applyFill="1" applyBorder="1" applyAlignment="1">
      <alignment horizontal="center"/>
    </xf>
    <xf numFmtId="9" fontId="33" fillId="0" borderId="66" xfId="55" applyFont="1" applyBorder="1" applyAlignment="1">
      <alignment horizontal="center"/>
    </xf>
    <xf numFmtId="193" fontId="20" fillId="34" borderId="51" xfId="0" applyNumberFormat="1" applyFont="1" applyFill="1" applyBorder="1" applyAlignment="1">
      <alignment/>
    </xf>
    <xf numFmtId="0" fontId="20" fillId="34" borderId="58" xfId="0" applyFont="1" applyFill="1" applyBorder="1" applyAlignment="1">
      <alignment/>
    </xf>
    <xf numFmtId="193" fontId="33" fillId="34" borderId="58" xfId="0" applyNumberFormat="1" applyFont="1" applyFill="1" applyBorder="1" applyAlignment="1">
      <alignment/>
    </xf>
    <xf numFmtId="193" fontId="20" fillId="34" borderId="51" xfId="49" applyNumberFormat="1" applyFont="1" applyFill="1" applyBorder="1" applyAlignment="1">
      <alignment/>
    </xf>
    <xf numFmtId="37" fontId="33" fillId="0" borderId="58" xfId="49" applyNumberFormat="1" applyFont="1" applyFill="1" applyBorder="1" applyAlignment="1">
      <alignment/>
    </xf>
    <xf numFmtId="9" fontId="33" fillId="0" borderId="59" xfId="55" applyFont="1" applyFill="1" applyBorder="1" applyAlignment="1">
      <alignment/>
    </xf>
    <xf numFmtId="197" fontId="20" fillId="34" borderId="51" xfId="49" applyNumberFormat="1" applyFont="1" applyFill="1" applyBorder="1" applyAlignment="1">
      <alignment horizontal="right"/>
    </xf>
    <xf numFmtId="37" fontId="20" fillId="34" borderId="51" xfId="49" applyNumberFormat="1" applyFont="1" applyFill="1" applyBorder="1" applyAlignment="1">
      <alignment/>
    </xf>
    <xf numFmtId="9" fontId="20" fillId="34" borderId="52" xfId="55" applyFont="1" applyFill="1" applyBorder="1" applyAlignment="1">
      <alignment/>
    </xf>
    <xf numFmtId="43" fontId="20" fillId="34" borderId="51" xfId="0" applyNumberFormat="1" applyFont="1" applyFill="1" applyBorder="1" applyAlignment="1">
      <alignment/>
    </xf>
    <xf numFmtId="43" fontId="33" fillId="34" borderId="58" xfId="0" applyNumberFormat="1" applyFont="1" applyFill="1" applyBorder="1" applyAlignment="1">
      <alignment/>
    </xf>
    <xf numFmtId="1" fontId="20" fillId="34" borderId="64" xfId="55" applyNumberFormat="1" applyFont="1" applyFill="1" applyBorder="1" applyAlignment="1">
      <alignment horizontal="center"/>
    </xf>
    <xf numFmtId="0" fontId="0" fillId="0" borderId="0" xfId="0" applyAlignment="1">
      <alignment horizontal="justify" vertical="top" wrapText="1"/>
    </xf>
    <xf numFmtId="0" fontId="0" fillId="33" borderId="0" xfId="0" applyFill="1" applyAlignment="1">
      <alignment horizontal="justify" vertical="top" wrapText="1"/>
    </xf>
    <xf numFmtId="0" fontId="6" fillId="33" borderId="0" xfId="0" applyFont="1" applyFill="1" applyAlignment="1">
      <alignment horizontal="center"/>
    </xf>
    <xf numFmtId="0" fontId="3" fillId="37" borderId="80" xfId="0" applyFont="1" applyFill="1" applyBorder="1" applyAlignment="1">
      <alignment horizontal="justify" wrapText="1"/>
    </xf>
    <xf numFmtId="0" fontId="3" fillId="37" borderId="90" xfId="0" applyFont="1" applyFill="1" applyBorder="1" applyAlignment="1">
      <alignment horizontal="justify" wrapText="1"/>
    </xf>
    <xf numFmtId="0" fontId="3" fillId="37" borderId="35" xfId="0" applyFont="1" applyFill="1" applyBorder="1" applyAlignment="1">
      <alignment horizontal="justify" wrapText="1"/>
    </xf>
    <xf numFmtId="0" fontId="8" fillId="37" borderId="26" xfId="0" applyFont="1" applyFill="1" applyBorder="1" applyAlignment="1">
      <alignment horizontal="center" wrapText="1"/>
    </xf>
    <xf numFmtId="0" fontId="8" fillId="37" borderId="27" xfId="0" applyFont="1" applyFill="1" applyBorder="1" applyAlignment="1">
      <alignment horizontal="center" wrapText="1"/>
    </xf>
    <xf numFmtId="0" fontId="8" fillId="37" borderId="28" xfId="0" applyFont="1" applyFill="1" applyBorder="1" applyAlignment="1">
      <alignment horizontal="center" wrapText="1"/>
    </xf>
    <xf numFmtId="0" fontId="0" fillId="37" borderId="91" xfId="0" applyFill="1" applyBorder="1" applyAlignment="1">
      <alignment horizontal="center"/>
    </xf>
    <xf numFmtId="0" fontId="0" fillId="37" borderId="92" xfId="0" applyFill="1" applyBorder="1" applyAlignment="1">
      <alignment horizontal="center"/>
    </xf>
    <xf numFmtId="0" fontId="0" fillId="37" borderId="10" xfId="0" applyFill="1" applyBorder="1" applyAlignment="1">
      <alignment horizontal="center"/>
    </xf>
    <xf numFmtId="0" fontId="0" fillId="37" borderId="93" xfId="0" applyFill="1" applyBorder="1" applyAlignment="1">
      <alignment horizontal="center"/>
    </xf>
    <xf numFmtId="0" fontId="0" fillId="37" borderId="0" xfId="0" applyFill="1" applyBorder="1" applyAlignment="1">
      <alignment horizontal="center"/>
    </xf>
    <xf numFmtId="0" fontId="0" fillId="37" borderId="24" xfId="0" applyFill="1" applyBorder="1" applyAlignment="1">
      <alignment horizontal="center"/>
    </xf>
    <xf numFmtId="0" fontId="0" fillId="37" borderId="94" xfId="0" applyFill="1" applyBorder="1" applyAlignment="1">
      <alignment horizontal="center"/>
    </xf>
    <xf numFmtId="0" fontId="0" fillId="37" borderId="23" xfId="0" applyFill="1" applyBorder="1" applyAlignment="1">
      <alignment horizontal="center"/>
    </xf>
    <xf numFmtId="0" fontId="0" fillId="37" borderId="14" xfId="0" applyFill="1" applyBorder="1" applyAlignment="1">
      <alignment horizontal="center"/>
    </xf>
    <xf numFmtId="0" fontId="0" fillId="37" borderId="91" xfId="0" applyFont="1" applyFill="1" applyBorder="1" applyAlignment="1">
      <alignment horizontal="center" vertical="center" wrapText="1"/>
    </xf>
    <xf numFmtId="0" fontId="0" fillId="37" borderId="92"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7" borderId="93"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24" xfId="0" applyFont="1" applyFill="1" applyBorder="1" applyAlignment="1">
      <alignment horizontal="center" vertical="center" wrapText="1"/>
    </xf>
    <xf numFmtId="0" fontId="0" fillId="37" borderId="94" xfId="0" applyFont="1" applyFill="1" applyBorder="1" applyAlignment="1">
      <alignment horizontal="center" vertical="center" wrapText="1"/>
    </xf>
    <xf numFmtId="0" fontId="0" fillId="37" borderId="23" xfId="0" applyFont="1" applyFill="1" applyBorder="1" applyAlignment="1">
      <alignment horizontal="center" vertical="center" wrapText="1"/>
    </xf>
    <xf numFmtId="0" fontId="0" fillId="37" borderId="14" xfId="0" applyFont="1" applyFill="1" applyBorder="1" applyAlignment="1">
      <alignment horizontal="center" vertical="center" wrapText="1"/>
    </xf>
    <xf numFmtId="0" fontId="0" fillId="37" borderId="91" xfId="0" applyFill="1" applyBorder="1" applyAlignment="1">
      <alignment horizontal="center" vertical="center" wrapText="1"/>
    </xf>
    <xf numFmtId="0" fontId="0" fillId="37" borderId="92"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93"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24" xfId="0" applyFill="1" applyBorder="1" applyAlignment="1">
      <alignment horizontal="center" vertical="center" wrapText="1"/>
    </xf>
    <xf numFmtId="0" fontId="0" fillId="37" borderId="94" xfId="0" applyFill="1" applyBorder="1" applyAlignment="1">
      <alignment horizontal="center" vertical="center" wrapText="1"/>
    </xf>
    <xf numFmtId="0" fontId="0" fillId="37" borderId="23" xfId="0" applyFill="1" applyBorder="1" applyAlignment="1">
      <alignment horizontal="center" vertical="center" wrapText="1"/>
    </xf>
    <xf numFmtId="0" fontId="0" fillId="37" borderId="14" xfId="0" applyFill="1" applyBorder="1" applyAlignment="1">
      <alignment horizontal="center" vertical="center" wrapText="1"/>
    </xf>
    <xf numFmtId="0" fontId="6" fillId="35" borderId="0" xfId="0" applyFont="1" applyFill="1" applyAlignment="1">
      <alignment horizontal="center"/>
    </xf>
    <xf numFmtId="0" fontId="4" fillId="37" borderId="27" xfId="0" applyFont="1" applyFill="1" applyBorder="1" applyAlignment="1">
      <alignment horizontal="center" wrapText="1"/>
    </xf>
    <xf numFmtId="0" fontId="4" fillId="37" borderId="28" xfId="0" applyFont="1" applyFill="1" applyBorder="1" applyAlignment="1">
      <alignment horizontal="center" wrapText="1"/>
    </xf>
    <xf numFmtId="0" fontId="3" fillId="33" borderId="0" xfId="0" applyFont="1" applyFill="1" applyAlignment="1">
      <alignment horizontal="center" wrapText="1"/>
    </xf>
    <xf numFmtId="0" fontId="3" fillId="33" borderId="24" xfId="0" applyFont="1" applyFill="1" applyBorder="1" applyAlignment="1">
      <alignment horizontal="center" wrapText="1"/>
    </xf>
    <xf numFmtId="0" fontId="6" fillId="36" borderId="0" xfId="0" applyFont="1" applyFill="1" applyBorder="1" applyAlignment="1">
      <alignment horizontal="center" vertical="center" textRotation="90" wrapText="1"/>
    </xf>
    <xf numFmtId="0" fontId="0" fillId="37" borderId="91" xfId="0" applyFont="1" applyFill="1" applyBorder="1" applyAlignment="1">
      <alignment horizontal="justify" wrapText="1"/>
    </xf>
    <xf numFmtId="0" fontId="0" fillId="37" borderId="92" xfId="0" applyFont="1" applyFill="1" applyBorder="1" applyAlignment="1">
      <alignment horizontal="justify" wrapText="1"/>
    </xf>
    <xf numFmtId="0" fontId="0" fillId="37" borderId="10" xfId="0" applyFont="1" applyFill="1" applyBorder="1" applyAlignment="1">
      <alignment horizontal="justify" wrapText="1"/>
    </xf>
    <xf numFmtId="0" fontId="0" fillId="37" borderId="94" xfId="0" applyFont="1" applyFill="1" applyBorder="1" applyAlignment="1">
      <alignment horizontal="justify" wrapText="1"/>
    </xf>
    <xf numFmtId="0" fontId="0" fillId="37" borderId="23" xfId="0" applyFont="1" applyFill="1" applyBorder="1" applyAlignment="1">
      <alignment horizontal="justify" wrapText="1"/>
    </xf>
    <xf numFmtId="0" fontId="0" fillId="37" borderId="14" xfId="0" applyFont="1" applyFill="1" applyBorder="1" applyAlignment="1">
      <alignment horizontal="justify" wrapText="1"/>
    </xf>
    <xf numFmtId="0" fontId="0" fillId="43" borderId="26" xfId="0" applyFont="1" applyFill="1" applyBorder="1" applyAlignment="1">
      <alignment horizontal="left" wrapText="1"/>
    </xf>
    <xf numFmtId="0" fontId="0" fillId="43" borderId="27" xfId="0" applyFont="1" applyFill="1" applyBorder="1" applyAlignment="1">
      <alignment horizontal="left" wrapText="1"/>
    </xf>
    <xf numFmtId="0" fontId="0" fillId="43" borderId="28" xfId="0" applyFont="1" applyFill="1" applyBorder="1" applyAlignment="1">
      <alignment horizontal="left" wrapText="1"/>
    </xf>
    <xf numFmtId="0" fontId="0" fillId="37" borderId="26" xfId="0" applyFont="1" applyFill="1" applyBorder="1" applyAlignment="1">
      <alignment horizontal="left" wrapText="1"/>
    </xf>
    <xf numFmtId="0" fontId="0" fillId="37" borderId="27" xfId="0" applyFont="1" applyFill="1" applyBorder="1" applyAlignment="1">
      <alignment horizontal="left" wrapText="1"/>
    </xf>
    <xf numFmtId="0" fontId="0" fillId="37" borderId="28" xfId="0" applyFont="1" applyFill="1" applyBorder="1" applyAlignment="1">
      <alignment horizontal="left" wrapText="1"/>
    </xf>
    <xf numFmtId="0" fontId="0" fillId="37" borderId="26" xfId="0" applyFont="1" applyFill="1" applyBorder="1" applyAlignment="1">
      <alignment horizontal="justify" wrapText="1"/>
    </xf>
    <xf numFmtId="0" fontId="0" fillId="37" borderId="27" xfId="0" applyFont="1" applyFill="1" applyBorder="1" applyAlignment="1">
      <alignment horizontal="justify" wrapText="1"/>
    </xf>
    <xf numFmtId="0" fontId="0" fillId="37" borderId="28" xfId="0" applyFont="1" applyFill="1" applyBorder="1" applyAlignment="1">
      <alignment horizontal="justify" wrapText="1"/>
    </xf>
    <xf numFmtId="0" fontId="0" fillId="42" borderId="26" xfId="0" applyFont="1" applyFill="1" applyBorder="1" applyAlignment="1">
      <alignment horizontal="justify" wrapText="1"/>
    </xf>
    <xf numFmtId="0" fontId="0" fillId="42" borderId="27" xfId="0" applyFont="1" applyFill="1" applyBorder="1" applyAlignment="1">
      <alignment horizontal="justify" wrapText="1"/>
    </xf>
    <xf numFmtId="0" fontId="0" fillId="42" borderId="28" xfId="0" applyFont="1" applyFill="1" applyBorder="1" applyAlignment="1">
      <alignment horizontal="justify" wrapText="1"/>
    </xf>
    <xf numFmtId="0" fontId="3" fillId="39" borderId="0" xfId="0" applyFont="1" applyFill="1" applyBorder="1" applyAlignment="1">
      <alignment horizontal="left"/>
    </xf>
    <xf numFmtId="0" fontId="3" fillId="39" borderId="24" xfId="0" applyFont="1" applyFill="1" applyBorder="1" applyAlignment="1">
      <alignment horizontal="left"/>
    </xf>
    <xf numFmtId="0" fontId="0" fillId="42" borderId="26" xfId="0" applyFont="1" applyFill="1" applyBorder="1" applyAlignment="1">
      <alignment horizontal="left" wrapText="1"/>
    </xf>
    <xf numFmtId="0" fontId="0" fillId="42" borderId="27" xfId="0" applyFont="1" applyFill="1" applyBorder="1" applyAlignment="1">
      <alignment horizontal="left" wrapText="1"/>
    </xf>
    <xf numFmtId="0" fontId="0" fillId="42" borderId="28" xfId="0" applyFont="1" applyFill="1" applyBorder="1" applyAlignment="1">
      <alignment horizontal="left" wrapText="1"/>
    </xf>
    <xf numFmtId="0" fontId="0" fillId="0" borderId="26" xfId="0" applyFont="1" applyFill="1" applyBorder="1" applyAlignment="1">
      <alignment horizontal="left" wrapText="1"/>
    </xf>
    <xf numFmtId="0" fontId="0" fillId="0" borderId="27" xfId="0" applyFont="1" applyFill="1" applyBorder="1" applyAlignment="1">
      <alignment horizontal="left" wrapText="1"/>
    </xf>
    <xf numFmtId="0" fontId="0" fillId="0" borderId="28" xfId="0" applyFont="1" applyFill="1" applyBorder="1" applyAlignment="1">
      <alignment horizontal="left" wrapText="1"/>
    </xf>
    <xf numFmtId="0" fontId="0" fillId="42" borderId="91" xfId="0" applyFont="1" applyFill="1" applyBorder="1" applyAlignment="1">
      <alignment horizontal="justify" wrapText="1"/>
    </xf>
    <xf numFmtId="0" fontId="0" fillId="42" borderId="92" xfId="0" applyFont="1" applyFill="1" applyBorder="1" applyAlignment="1">
      <alignment horizontal="justify" wrapText="1"/>
    </xf>
    <xf numFmtId="0" fontId="0" fillId="42" borderId="10" xfId="0" applyFont="1" applyFill="1" applyBorder="1" applyAlignment="1">
      <alignment horizontal="justify" wrapText="1"/>
    </xf>
    <xf numFmtId="0" fontId="0" fillId="42" borderId="94" xfId="0" applyFont="1" applyFill="1" applyBorder="1" applyAlignment="1">
      <alignment horizontal="justify" wrapText="1"/>
    </xf>
    <xf numFmtId="0" fontId="0" fillId="42" borderId="23" xfId="0" applyFont="1" applyFill="1" applyBorder="1" applyAlignment="1">
      <alignment horizontal="justify" wrapText="1"/>
    </xf>
    <xf numFmtId="0" fontId="0" fillId="42" borderId="14" xfId="0" applyFont="1" applyFill="1" applyBorder="1" applyAlignment="1">
      <alignment horizontal="justify" wrapText="1"/>
    </xf>
    <xf numFmtId="0" fontId="0" fillId="33" borderId="26" xfId="0" applyFont="1" applyFill="1" applyBorder="1" applyAlignment="1">
      <alignment horizontal="left" wrapText="1"/>
    </xf>
    <xf numFmtId="0" fontId="0" fillId="33" borderId="27" xfId="0" applyFont="1" applyFill="1" applyBorder="1" applyAlignment="1">
      <alignment horizontal="left" wrapText="1"/>
    </xf>
    <xf numFmtId="0" fontId="0" fillId="33" borderId="28" xfId="0" applyFont="1" applyFill="1" applyBorder="1" applyAlignment="1">
      <alignment horizontal="left" wrapText="1"/>
    </xf>
    <xf numFmtId="0" fontId="0" fillId="37" borderId="91" xfId="0" applyFont="1" applyFill="1" applyBorder="1" applyAlignment="1">
      <alignment horizontal="left" wrapText="1"/>
    </xf>
    <xf numFmtId="0" fontId="0" fillId="37" borderId="92" xfId="0" applyFont="1" applyFill="1" applyBorder="1" applyAlignment="1">
      <alignment horizontal="left" wrapText="1"/>
    </xf>
    <xf numFmtId="0" fontId="0" fillId="37" borderId="10" xfId="0" applyFont="1" applyFill="1" applyBorder="1" applyAlignment="1">
      <alignment horizontal="left" wrapText="1"/>
    </xf>
    <xf numFmtId="0" fontId="0" fillId="37" borderId="94" xfId="0" applyFont="1" applyFill="1" applyBorder="1" applyAlignment="1">
      <alignment horizontal="left" wrapText="1"/>
    </xf>
    <xf numFmtId="0" fontId="0" fillId="37" borderId="23" xfId="0" applyFont="1" applyFill="1" applyBorder="1" applyAlignment="1">
      <alignment horizontal="left" wrapText="1"/>
    </xf>
    <xf numFmtId="0" fontId="0" fillId="37" borderId="14" xfId="0" applyFont="1" applyFill="1" applyBorder="1" applyAlignment="1">
      <alignment horizontal="left" wrapText="1"/>
    </xf>
    <xf numFmtId="0" fontId="37" fillId="43" borderId="26" xfId="0" applyFont="1" applyFill="1" applyBorder="1" applyAlignment="1">
      <alignment horizontal="left" wrapText="1"/>
    </xf>
    <xf numFmtId="0" fontId="37" fillId="43" borderId="27" xfId="0" applyFont="1" applyFill="1" applyBorder="1" applyAlignment="1">
      <alignment horizontal="left" wrapText="1"/>
    </xf>
    <xf numFmtId="0" fontId="37" fillId="43" borderId="28" xfId="0" applyFont="1" applyFill="1" applyBorder="1" applyAlignment="1">
      <alignment horizontal="left" wrapText="1"/>
    </xf>
    <xf numFmtId="0" fontId="0" fillId="37" borderId="39" xfId="0" applyFont="1" applyFill="1" applyBorder="1" applyAlignment="1">
      <alignment horizontal="justify" wrapText="1"/>
    </xf>
    <xf numFmtId="0" fontId="3" fillId="39" borderId="39" xfId="0" applyFont="1" applyFill="1" applyBorder="1" applyAlignment="1">
      <alignment horizontal="left"/>
    </xf>
    <xf numFmtId="0" fontId="0" fillId="37" borderId="39" xfId="0" applyFont="1" applyFill="1" applyBorder="1" applyAlignment="1">
      <alignment horizontal="left" wrapText="1"/>
    </xf>
    <xf numFmtId="0" fontId="0" fillId="0" borderId="39" xfId="0" applyBorder="1" applyAlignment="1">
      <alignment horizontal="justify"/>
    </xf>
    <xf numFmtId="0" fontId="6" fillId="46" borderId="0" xfId="0" applyFont="1" applyFill="1" applyAlignment="1">
      <alignment horizontal="center"/>
    </xf>
    <xf numFmtId="0" fontId="3" fillId="37" borderId="0" xfId="0" applyFont="1" applyFill="1" applyAlignment="1">
      <alignment horizontal="center" vertical="top" textRotation="90" wrapText="1" readingOrder="2"/>
    </xf>
    <xf numFmtId="0" fontId="0" fillId="0" borderId="39" xfId="0" applyFont="1" applyFill="1" applyBorder="1" applyAlignment="1">
      <alignment horizontal="left" wrapText="1"/>
    </xf>
    <xf numFmtId="0" fontId="0" fillId="0" borderId="39" xfId="0" applyFont="1" applyFill="1" applyBorder="1" applyAlignment="1">
      <alignment horizontal="justify" wrapText="1"/>
    </xf>
    <xf numFmtId="0" fontId="16" fillId="0" borderId="0" xfId="0" applyFont="1" applyAlignment="1">
      <alignment horizontal="center"/>
    </xf>
    <xf numFmtId="0" fontId="6" fillId="33" borderId="81"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0" fillId="33" borderId="22" xfId="0" applyFont="1" applyFill="1" applyBorder="1" applyAlignment="1">
      <alignment horizontal="left" vertical="top" wrapText="1"/>
    </xf>
    <xf numFmtId="0" fontId="0" fillId="33" borderId="18" xfId="0" applyFill="1" applyBorder="1" applyAlignment="1">
      <alignment horizontal="left" vertical="top" wrapText="1"/>
    </xf>
    <xf numFmtId="0" fontId="0" fillId="33" borderId="18" xfId="0" applyFont="1" applyFill="1" applyBorder="1" applyAlignment="1">
      <alignment horizontal="left" vertical="top" wrapText="1"/>
    </xf>
    <xf numFmtId="0" fontId="3" fillId="38" borderId="27" xfId="0" applyFont="1" applyFill="1" applyBorder="1" applyAlignment="1">
      <alignment horizontal="left" vertical="center"/>
    </xf>
    <xf numFmtId="0" fontId="6" fillId="33" borderId="21" xfId="0" applyFont="1" applyFill="1" applyBorder="1" applyAlignment="1">
      <alignment horizontal="center" vertical="center"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19" xfId="0" applyFont="1" applyFill="1" applyBorder="1" applyAlignment="1">
      <alignment horizontal="left" vertical="top" wrapText="1"/>
    </xf>
    <xf numFmtId="0" fontId="34" fillId="0" borderId="0" xfId="0" applyFont="1" applyAlignment="1">
      <alignment horizontal="center"/>
    </xf>
    <xf numFmtId="0" fontId="14" fillId="34" borderId="39" xfId="0" applyFont="1" applyFill="1" applyBorder="1" applyAlignment="1">
      <alignment horizontal="center"/>
    </xf>
    <xf numFmtId="0" fontId="14" fillId="34" borderId="95" xfId="0" applyFont="1" applyFill="1" applyBorder="1" applyAlignment="1">
      <alignment horizontal="center"/>
    </xf>
    <xf numFmtId="0" fontId="14" fillId="34" borderId="96" xfId="0" applyFont="1" applyFill="1" applyBorder="1" applyAlignment="1">
      <alignment horizontal="center"/>
    </xf>
    <xf numFmtId="0" fontId="20" fillId="0" borderId="0" xfId="0" applyFont="1" applyAlignment="1">
      <alignment horizontal="center"/>
    </xf>
    <xf numFmtId="0" fontId="20" fillId="34" borderId="97" xfId="0" applyFont="1" applyFill="1" applyBorder="1" applyAlignment="1">
      <alignment horizontal="center"/>
    </xf>
    <xf numFmtId="0" fontId="20" fillId="34" borderId="54" xfId="0" applyFont="1" applyFill="1" applyBorder="1" applyAlignment="1">
      <alignment horizontal="center"/>
    </xf>
    <xf numFmtId="0" fontId="20" fillId="34" borderId="78" xfId="0" applyFont="1" applyFill="1" applyBorder="1" applyAlignment="1">
      <alignment horizontal="center" vertical="justify" wrapText="1"/>
    </xf>
    <xf numFmtId="0" fontId="20" fillId="34" borderId="98" xfId="0" applyFont="1" applyFill="1" applyBorder="1" applyAlignment="1">
      <alignment horizontal="center" vertical="justify" wrapText="1"/>
    </xf>
    <xf numFmtId="0" fontId="20" fillId="34" borderId="99" xfId="0" applyFont="1" applyFill="1" applyBorder="1" applyAlignment="1">
      <alignment horizontal="center" vertical="justify" wrapText="1"/>
    </xf>
    <xf numFmtId="0" fontId="32" fillId="0" borderId="0" xfId="0" applyFont="1" applyAlignment="1">
      <alignment horizontal="center"/>
    </xf>
    <xf numFmtId="0" fontId="20" fillId="34" borderId="97" xfId="0" applyFont="1" applyFill="1" applyBorder="1" applyAlignment="1">
      <alignment horizontal="left"/>
    </xf>
    <xf numFmtId="0" fontId="20" fillId="34" borderId="54" xfId="0" applyFont="1" applyFill="1" applyBorder="1" applyAlignment="1">
      <alignment horizontal="left"/>
    </xf>
    <xf numFmtId="0" fontId="20" fillId="34" borderId="65" xfId="0" applyFont="1" applyFill="1" applyBorder="1" applyAlignment="1">
      <alignment horizontal="center" vertical="justify" wrapText="1"/>
    </xf>
    <xf numFmtId="0" fontId="20" fillId="34" borderId="49" xfId="0" applyFont="1" applyFill="1" applyBorder="1" applyAlignment="1">
      <alignment horizontal="center" vertical="justify" wrapText="1"/>
    </xf>
    <xf numFmtId="0" fontId="20" fillId="34" borderId="65" xfId="0" applyFont="1" applyFill="1" applyBorder="1" applyAlignment="1">
      <alignment horizontal="center"/>
    </xf>
    <xf numFmtId="0" fontId="20" fillId="34" borderId="49" xfId="0" applyFont="1" applyFill="1" applyBorder="1" applyAlignment="1">
      <alignment horizontal="center"/>
    </xf>
    <xf numFmtId="9" fontId="20" fillId="34" borderId="100" xfId="55" applyFont="1" applyFill="1" applyBorder="1" applyAlignment="1">
      <alignment horizontal="center"/>
    </xf>
    <xf numFmtId="9" fontId="20" fillId="34" borderId="101" xfId="55" applyFont="1" applyFill="1" applyBorder="1" applyAlignment="1">
      <alignment horizontal="center"/>
    </xf>
    <xf numFmtId="0" fontId="14" fillId="47" borderId="78" xfId="0" applyFont="1" applyFill="1" applyBorder="1" applyAlignment="1">
      <alignment horizontal="center" vertical="center"/>
    </xf>
    <xf numFmtId="0" fontId="14" fillId="47" borderId="98" xfId="0" applyFont="1" applyFill="1" applyBorder="1" applyAlignment="1">
      <alignment horizontal="center" vertical="center"/>
    </xf>
    <xf numFmtId="0" fontId="14" fillId="47" borderId="99" xfId="0" applyFont="1" applyFill="1" applyBorder="1" applyAlignment="1">
      <alignment horizontal="center" vertical="center"/>
    </xf>
    <xf numFmtId="0" fontId="32" fillId="47" borderId="97" xfId="0" applyFont="1" applyFill="1" applyBorder="1" applyAlignment="1">
      <alignment horizontal="center" vertical="center"/>
    </xf>
    <xf numFmtId="0" fontId="32" fillId="47" borderId="54" xfId="0" applyFont="1" applyFill="1" applyBorder="1" applyAlignment="1">
      <alignment horizontal="center" vertical="center"/>
    </xf>
    <xf numFmtId="0" fontId="14" fillId="47" borderId="65" xfId="0" applyFont="1" applyFill="1" applyBorder="1" applyAlignment="1">
      <alignment horizontal="center" vertical="center"/>
    </xf>
    <xf numFmtId="0" fontId="14" fillId="47" borderId="49" xfId="0" applyFont="1" applyFill="1" applyBorder="1" applyAlignment="1">
      <alignment horizontal="center" vertical="center"/>
    </xf>
    <xf numFmtId="0" fontId="32" fillId="40" borderId="97" xfId="0" applyFont="1" applyFill="1" applyBorder="1" applyAlignment="1">
      <alignment horizontal="center" vertical="center"/>
    </xf>
    <xf numFmtId="0" fontId="32" fillId="40" borderId="102" xfId="0" applyFont="1" applyFill="1" applyBorder="1" applyAlignment="1">
      <alignment horizontal="center" vertical="center"/>
    </xf>
    <xf numFmtId="0" fontId="32" fillId="40" borderId="54" xfId="0" applyFont="1" applyFill="1" applyBorder="1" applyAlignment="1">
      <alignment horizontal="center" vertical="center"/>
    </xf>
    <xf numFmtId="0" fontId="32" fillId="40" borderId="78" xfId="0" applyFont="1" applyFill="1" applyBorder="1" applyAlignment="1">
      <alignment horizontal="center" vertical="center"/>
    </xf>
    <xf numFmtId="0" fontId="32" fillId="40" borderId="70" xfId="0" applyFont="1" applyFill="1" applyBorder="1" applyAlignment="1">
      <alignment horizontal="center" vertical="center"/>
    </xf>
    <xf numFmtId="0" fontId="32" fillId="40" borderId="59" xfId="0" applyFont="1" applyFill="1" applyBorder="1" applyAlignment="1">
      <alignment horizontal="center" vertical="center"/>
    </xf>
    <xf numFmtId="0" fontId="14" fillId="40" borderId="53" xfId="0" applyFont="1" applyFill="1" applyBorder="1" applyAlignment="1">
      <alignment horizontal="center" vertical="justify"/>
    </xf>
    <xf numFmtId="0" fontId="14" fillId="40" borderId="49" xfId="0" applyFont="1" applyFill="1" applyBorder="1" applyAlignment="1">
      <alignment horizontal="center" vertical="justify"/>
    </xf>
    <xf numFmtId="0" fontId="14" fillId="40" borderId="80" xfId="0" applyFont="1" applyFill="1" applyBorder="1" applyAlignment="1">
      <alignment horizontal="center" vertical="center"/>
    </xf>
    <xf numFmtId="0" fontId="14" fillId="40" borderId="90" xfId="0" applyFont="1" applyFill="1" applyBorder="1" applyAlignment="1">
      <alignment horizontal="center" vertical="center"/>
    </xf>
    <xf numFmtId="0" fontId="14" fillId="40" borderId="103" xfId="0" applyFont="1" applyFill="1" applyBorder="1" applyAlignment="1">
      <alignment horizontal="center" vertical="center"/>
    </xf>
    <xf numFmtId="0" fontId="32" fillId="40" borderId="78" xfId="0" applyFont="1" applyFill="1" applyBorder="1" applyAlignment="1">
      <alignment horizontal="center" vertical="center"/>
    </xf>
    <xf numFmtId="0" fontId="32" fillId="40" borderId="98" xfId="0" applyFont="1" applyFill="1" applyBorder="1" applyAlignment="1">
      <alignment horizontal="center" vertical="center"/>
    </xf>
    <xf numFmtId="0" fontId="32" fillId="40" borderId="99" xfId="0" applyFont="1" applyFill="1" applyBorder="1" applyAlignment="1">
      <alignment horizontal="center" vertical="center"/>
    </xf>
    <xf numFmtId="0" fontId="32" fillId="40" borderId="97" xfId="0" applyFont="1" applyFill="1" applyBorder="1" applyAlignment="1">
      <alignment horizontal="center" vertical="center"/>
    </xf>
    <xf numFmtId="0" fontId="32" fillId="40" borderId="102" xfId="0" applyFont="1" applyFill="1" applyBorder="1" applyAlignment="1">
      <alignment horizontal="center" vertical="center"/>
    </xf>
    <xf numFmtId="0" fontId="20" fillId="40" borderId="53" xfId="0" applyFont="1" applyFill="1" applyBorder="1" applyAlignment="1">
      <alignment horizontal="center" vertical="justify"/>
    </xf>
    <xf numFmtId="0" fontId="20" fillId="40" borderId="49" xfId="0" applyFont="1" applyFill="1" applyBorder="1" applyAlignment="1">
      <alignment horizontal="center" vertical="justify"/>
    </xf>
    <xf numFmtId="0" fontId="32" fillId="40" borderId="57" xfId="0" applyFont="1" applyFill="1" applyBorder="1" applyAlignment="1">
      <alignment horizontal="center" vertical="center"/>
    </xf>
    <xf numFmtId="0" fontId="32" fillId="40" borderId="63" xfId="0" applyFont="1" applyFill="1" applyBorder="1" applyAlignment="1">
      <alignment horizontal="center" vertical="center"/>
    </xf>
    <xf numFmtId="0" fontId="32" fillId="40" borderId="58"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16</xdr:row>
      <xdr:rowOff>0</xdr:rowOff>
    </xdr:from>
    <xdr:to>
      <xdr:col>5</xdr:col>
      <xdr:colOff>0</xdr:colOff>
      <xdr:row>18</xdr:row>
      <xdr:rowOff>104775</xdr:rowOff>
    </xdr:to>
    <xdr:sp>
      <xdr:nvSpPr>
        <xdr:cNvPr id="1" name="AutoShape 1"/>
        <xdr:cNvSpPr>
          <a:spLocks/>
        </xdr:cNvSpPr>
      </xdr:nvSpPr>
      <xdr:spPr>
        <a:xfrm>
          <a:off x="2838450" y="3200400"/>
          <a:ext cx="771525" cy="428625"/>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523875</xdr:colOff>
      <xdr:row>24</xdr:row>
      <xdr:rowOff>161925</xdr:rowOff>
    </xdr:from>
    <xdr:to>
      <xdr:col>10</xdr:col>
      <xdr:colOff>47625</xdr:colOff>
      <xdr:row>27</xdr:row>
      <xdr:rowOff>47625</xdr:rowOff>
    </xdr:to>
    <xdr:sp>
      <xdr:nvSpPr>
        <xdr:cNvPr id="2" name="AutoShape 2"/>
        <xdr:cNvSpPr>
          <a:spLocks/>
        </xdr:cNvSpPr>
      </xdr:nvSpPr>
      <xdr:spPr>
        <a:xfrm>
          <a:off x="7181850" y="4657725"/>
          <a:ext cx="285750" cy="390525"/>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25</xdr:row>
      <xdr:rowOff>0</xdr:rowOff>
    </xdr:from>
    <xdr:to>
      <xdr:col>6</xdr:col>
      <xdr:colOff>66675</xdr:colOff>
      <xdr:row>40</xdr:row>
      <xdr:rowOff>28575</xdr:rowOff>
    </xdr:to>
    <xdr:sp>
      <xdr:nvSpPr>
        <xdr:cNvPr id="3" name="AutoShape 3"/>
        <xdr:cNvSpPr>
          <a:spLocks/>
        </xdr:cNvSpPr>
      </xdr:nvSpPr>
      <xdr:spPr>
        <a:xfrm>
          <a:off x="4124325" y="4667250"/>
          <a:ext cx="314325" cy="2486025"/>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41</xdr:row>
      <xdr:rowOff>47625</xdr:rowOff>
    </xdr:from>
    <xdr:to>
      <xdr:col>5</xdr:col>
      <xdr:colOff>19050</xdr:colOff>
      <xdr:row>43</xdr:row>
      <xdr:rowOff>152400</xdr:rowOff>
    </xdr:to>
    <xdr:sp>
      <xdr:nvSpPr>
        <xdr:cNvPr id="4" name="AutoShape 4"/>
        <xdr:cNvSpPr>
          <a:spLocks/>
        </xdr:cNvSpPr>
      </xdr:nvSpPr>
      <xdr:spPr>
        <a:xfrm>
          <a:off x="2857500" y="7334250"/>
          <a:ext cx="771525" cy="428625"/>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571500</xdr:colOff>
      <xdr:row>38</xdr:row>
      <xdr:rowOff>38100</xdr:rowOff>
    </xdr:from>
    <xdr:to>
      <xdr:col>10</xdr:col>
      <xdr:colOff>0</xdr:colOff>
      <xdr:row>40</xdr:row>
      <xdr:rowOff>0</xdr:rowOff>
    </xdr:to>
    <xdr:sp>
      <xdr:nvSpPr>
        <xdr:cNvPr id="5" name="AutoShape 5"/>
        <xdr:cNvSpPr>
          <a:spLocks/>
        </xdr:cNvSpPr>
      </xdr:nvSpPr>
      <xdr:spPr>
        <a:xfrm>
          <a:off x="7229475" y="6819900"/>
          <a:ext cx="190500" cy="304800"/>
        </a:xfrm>
        <a:prstGeom prst="up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19050</xdr:rowOff>
    </xdr:from>
    <xdr:to>
      <xdr:col>1</xdr:col>
      <xdr:colOff>1600200</xdr:colOff>
      <xdr:row>2</xdr:row>
      <xdr:rowOff>209550</xdr:rowOff>
    </xdr:to>
    <xdr:pic>
      <xdr:nvPicPr>
        <xdr:cNvPr id="1" name="Picture 1"/>
        <xdr:cNvPicPr preferRelativeResize="1">
          <a:picLocks noChangeAspect="1"/>
        </xdr:cNvPicPr>
      </xdr:nvPicPr>
      <xdr:blipFill>
        <a:blip r:embed="rId1"/>
        <a:stretch>
          <a:fillRect/>
        </a:stretch>
      </xdr:blipFill>
      <xdr:spPr>
        <a:xfrm>
          <a:off x="133350" y="19050"/>
          <a:ext cx="1466850" cy="647700"/>
        </a:xfrm>
        <a:prstGeom prst="rect">
          <a:avLst/>
        </a:prstGeom>
        <a:noFill/>
        <a:ln w="9525" cmpd="sng">
          <a:noFill/>
        </a:ln>
      </xdr:spPr>
    </xdr:pic>
    <xdr:clientData/>
  </xdr:twoCellAnchor>
  <xdr:twoCellAnchor>
    <xdr:from>
      <xdr:col>4</xdr:col>
      <xdr:colOff>0</xdr:colOff>
      <xdr:row>0</xdr:row>
      <xdr:rowOff>19050</xdr:rowOff>
    </xdr:from>
    <xdr:to>
      <xdr:col>4</xdr:col>
      <xdr:colOff>1219200</xdr:colOff>
      <xdr:row>2</xdr:row>
      <xdr:rowOff>123825</xdr:rowOff>
    </xdr:to>
    <xdr:pic>
      <xdr:nvPicPr>
        <xdr:cNvPr id="2" name="Picture 2"/>
        <xdr:cNvPicPr preferRelativeResize="1">
          <a:picLocks noChangeAspect="1"/>
        </xdr:cNvPicPr>
      </xdr:nvPicPr>
      <xdr:blipFill>
        <a:blip r:embed="rId2"/>
        <a:stretch>
          <a:fillRect/>
        </a:stretch>
      </xdr:blipFill>
      <xdr:spPr>
        <a:xfrm>
          <a:off x="5743575" y="19050"/>
          <a:ext cx="12192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1695450</xdr:colOff>
      <xdr:row>3</xdr:row>
      <xdr:rowOff>66675</xdr:rowOff>
    </xdr:to>
    <xdr:pic>
      <xdr:nvPicPr>
        <xdr:cNvPr id="1" name="Picture 1"/>
        <xdr:cNvPicPr preferRelativeResize="1">
          <a:picLocks noChangeAspect="1"/>
        </xdr:cNvPicPr>
      </xdr:nvPicPr>
      <xdr:blipFill>
        <a:blip r:embed="rId1"/>
        <a:stretch>
          <a:fillRect/>
        </a:stretch>
      </xdr:blipFill>
      <xdr:spPr>
        <a:xfrm>
          <a:off x="0" y="0"/>
          <a:ext cx="1695450" cy="752475"/>
        </a:xfrm>
        <a:prstGeom prst="rect">
          <a:avLst/>
        </a:prstGeom>
        <a:noFill/>
        <a:ln w="9525" cmpd="sng">
          <a:noFill/>
        </a:ln>
      </xdr:spPr>
    </xdr:pic>
    <xdr:clientData/>
  </xdr:twoCellAnchor>
  <xdr:twoCellAnchor>
    <xdr:from>
      <xdr:col>2</xdr:col>
      <xdr:colOff>1609725</xdr:colOff>
      <xdr:row>0</xdr:row>
      <xdr:rowOff>19050</xdr:rowOff>
    </xdr:from>
    <xdr:to>
      <xdr:col>3</xdr:col>
      <xdr:colOff>1457325</xdr:colOff>
      <xdr:row>2</xdr:row>
      <xdr:rowOff>200025</xdr:rowOff>
    </xdr:to>
    <xdr:pic>
      <xdr:nvPicPr>
        <xdr:cNvPr id="2" name="Picture 2"/>
        <xdr:cNvPicPr preferRelativeResize="1">
          <a:picLocks noChangeAspect="1"/>
        </xdr:cNvPicPr>
      </xdr:nvPicPr>
      <xdr:blipFill>
        <a:blip r:embed="rId2"/>
        <a:stretch>
          <a:fillRect/>
        </a:stretch>
      </xdr:blipFill>
      <xdr:spPr>
        <a:xfrm>
          <a:off x="6057900" y="19050"/>
          <a:ext cx="16573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0</xdr:rowOff>
    </xdr:from>
    <xdr:to>
      <xdr:col>1</xdr:col>
      <xdr:colOff>771525</xdr:colOff>
      <xdr:row>162</xdr:row>
      <xdr:rowOff>66675</xdr:rowOff>
    </xdr:to>
    <xdr:sp>
      <xdr:nvSpPr>
        <xdr:cNvPr id="1" name="Text Box 1"/>
        <xdr:cNvSpPr txBox="1">
          <a:spLocks noChangeArrowheads="1"/>
        </xdr:cNvSpPr>
      </xdr:nvSpPr>
      <xdr:spPr>
        <a:xfrm>
          <a:off x="76200" y="1371600"/>
          <a:ext cx="1333500" cy="66389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57150</xdr:colOff>
      <xdr:row>64</xdr:row>
      <xdr:rowOff>85725</xdr:rowOff>
    </xdr:from>
    <xdr:to>
      <xdr:col>1</xdr:col>
      <xdr:colOff>790575</xdr:colOff>
      <xdr:row>65</xdr:row>
      <xdr:rowOff>342900</xdr:rowOff>
    </xdr:to>
    <xdr:sp>
      <xdr:nvSpPr>
        <xdr:cNvPr id="2" name="Text Box 6"/>
        <xdr:cNvSpPr txBox="1">
          <a:spLocks noChangeArrowheads="1"/>
        </xdr:cNvSpPr>
      </xdr:nvSpPr>
      <xdr:spPr>
        <a:xfrm>
          <a:off x="57150" y="28336875"/>
          <a:ext cx="1371600" cy="8096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76200</xdr:colOff>
      <xdr:row>103</xdr:row>
      <xdr:rowOff>76200</xdr:rowOff>
    </xdr:from>
    <xdr:to>
      <xdr:col>2</xdr:col>
      <xdr:colOff>0</xdr:colOff>
      <xdr:row>104</xdr:row>
      <xdr:rowOff>238125</xdr:rowOff>
    </xdr:to>
    <xdr:sp>
      <xdr:nvSpPr>
        <xdr:cNvPr id="3" name="Text Box 7"/>
        <xdr:cNvSpPr txBox="1">
          <a:spLocks noChangeArrowheads="1"/>
        </xdr:cNvSpPr>
      </xdr:nvSpPr>
      <xdr:spPr>
        <a:xfrm>
          <a:off x="76200" y="45872400"/>
          <a:ext cx="1371600" cy="8096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76200</xdr:colOff>
      <xdr:row>87</xdr:row>
      <xdr:rowOff>76200</xdr:rowOff>
    </xdr:from>
    <xdr:to>
      <xdr:col>2</xdr:col>
      <xdr:colOff>0</xdr:colOff>
      <xdr:row>88</xdr:row>
      <xdr:rowOff>238125</xdr:rowOff>
    </xdr:to>
    <xdr:sp>
      <xdr:nvSpPr>
        <xdr:cNvPr id="4" name="Text Box 8"/>
        <xdr:cNvSpPr txBox="1">
          <a:spLocks noChangeArrowheads="1"/>
        </xdr:cNvSpPr>
      </xdr:nvSpPr>
      <xdr:spPr>
        <a:xfrm>
          <a:off x="76200" y="39042975"/>
          <a:ext cx="1371600" cy="8096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76200</xdr:colOff>
      <xdr:row>104</xdr:row>
      <xdr:rowOff>76200</xdr:rowOff>
    </xdr:from>
    <xdr:to>
      <xdr:col>2</xdr:col>
      <xdr:colOff>0</xdr:colOff>
      <xdr:row>105</xdr:row>
      <xdr:rowOff>238125</xdr:rowOff>
    </xdr:to>
    <xdr:sp>
      <xdr:nvSpPr>
        <xdr:cNvPr id="5" name="Text Box 7"/>
        <xdr:cNvSpPr txBox="1">
          <a:spLocks noChangeArrowheads="1"/>
        </xdr:cNvSpPr>
      </xdr:nvSpPr>
      <xdr:spPr>
        <a:xfrm>
          <a:off x="76200" y="46520100"/>
          <a:ext cx="1371600" cy="8096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0</xdr:rowOff>
    </xdr:from>
    <xdr:to>
      <xdr:col>1</xdr:col>
      <xdr:colOff>771525</xdr:colOff>
      <xdr:row>116</xdr:row>
      <xdr:rowOff>66675</xdr:rowOff>
    </xdr:to>
    <xdr:sp>
      <xdr:nvSpPr>
        <xdr:cNvPr id="1" name="Text Box 1"/>
        <xdr:cNvSpPr txBox="1">
          <a:spLocks noChangeArrowheads="1"/>
        </xdr:cNvSpPr>
      </xdr:nvSpPr>
      <xdr:spPr>
        <a:xfrm>
          <a:off x="76200" y="1685925"/>
          <a:ext cx="1333500" cy="46786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76200</xdr:colOff>
      <xdr:row>53</xdr:row>
      <xdr:rowOff>0</xdr:rowOff>
    </xdr:from>
    <xdr:to>
      <xdr:col>2</xdr:col>
      <xdr:colOff>0</xdr:colOff>
      <xdr:row>54</xdr:row>
      <xdr:rowOff>200025</xdr:rowOff>
    </xdr:to>
    <xdr:sp>
      <xdr:nvSpPr>
        <xdr:cNvPr id="2" name="Text Box 2"/>
        <xdr:cNvSpPr txBox="1">
          <a:spLocks noChangeArrowheads="1"/>
        </xdr:cNvSpPr>
      </xdr:nvSpPr>
      <xdr:spPr>
        <a:xfrm>
          <a:off x="76200" y="22536150"/>
          <a:ext cx="1371600" cy="9048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0</xdr:col>
      <xdr:colOff>1476375</xdr:colOff>
      <xdr:row>3</xdr:row>
      <xdr:rowOff>0</xdr:rowOff>
    </xdr:to>
    <xdr:pic>
      <xdr:nvPicPr>
        <xdr:cNvPr id="1" name="Picture 1"/>
        <xdr:cNvPicPr preferRelativeResize="1">
          <a:picLocks noChangeAspect="1"/>
        </xdr:cNvPicPr>
      </xdr:nvPicPr>
      <xdr:blipFill>
        <a:blip r:embed="rId1"/>
        <a:stretch>
          <a:fillRect/>
        </a:stretch>
      </xdr:blipFill>
      <xdr:spPr>
        <a:xfrm>
          <a:off x="9525" y="38100"/>
          <a:ext cx="1466850" cy="647700"/>
        </a:xfrm>
        <a:prstGeom prst="rect">
          <a:avLst/>
        </a:prstGeom>
        <a:noFill/>
        <a:ln w="9525" cmpd="sng">
          <a:noFill/>
        </a:ln>
      </xdr:spPr>
    </xdr:pic>
    <xdr:clientData/>
  </xdr:twoCellAnchor>
  <xdr:twoCellAnchor>
    <xdr:from>
      <xdr:col>4</xdr:col>
      <xdr:colOff>790575</xdr:colOff>
      <xdr:row>0</xdr:row>
      <xdr:rowOff>66675</xdr:rowOff>
    </xdr:from>
    <xdr:to>
      <xdr:col>4</xdr:col>
      <xdr:colOff>2047875</xdr:colOff>
      <xdr:row>2</xdr:row>
      <xdr:rowOff>171450</xdr:rowOff>
    </xdr:to>
    <xdr:pic>
      <xdr:nvPicPr>
        <xdr:cNvPr id="2" name="Picture 2"/>
        <xdr:cNvPicPr preferRelativeResize="1">
          <a:picLocks noChangeAspect="1"/>
        </xdr:cNvPicPr>
      </xdr:nvPicPr>
      <xdr:blipFill>
        <a:blip r:embed="rId2"/>
        <a:stretch>
          <a:fillRect/>
        </a:stretch>
      </xdr:blipFill>
      <xdr:spPr>
        <a:xfrm>
          <a:off x="7915275" y="66675"/>
          <a:ext cx="125730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0</xdr:row>
      <xdr:rowOff>76200</xdr:rowOff>
    </xdr:from>
    <xdr:to>
      <xdr:col>1</xdr:col>
      <xdr:colOff>2209800</xdr:colOff>
      <xdr:row>3</xdr:row>
      <xdr:rowOff>57150</xdr:rowOff>
    </xdr:to>
    <xdr:pic>
      <xdr:nvPicPr>
        <xdr:cNvPr id="1" name="Picture 1"/>
        <xdr:cNvPicPr preferRelativeResize="1">
          <a:picLocks noChangeAspect="1"/>
        </xdr:cNvPicPr>
      </xdr:nvPicPr>
      <xdr:blipFill>
        <a:blip r:embed="rId1"/>
        <a:stretch>
          <a:fillRect/>
        </a:stretch>
      </xdr:blipFill>
      <xdr:spPr>
        <a:xfrm>
          <a:off x="4829175" y="104775"/>
          <a:ext cx="1666875" cy="523875"/>
        </a:xfrm>
        <a:prstGeom prst="rect">
          <a:avLst/>
        </a:prstGeom>
        <a:noFill/>
        <a:ln w="9525" cmpd="sng">
          <a:noFill/>
        </a:ln>
      </xdr:spPr>
    </xdr:pic>
    <xdr:clientData/>
  </xdr:twoCellAnchor>
  <xdr:twoCellAnchor>
    <xdr:from>
      <xdr:col>0</xdr:col>
      <xdr:colOff>0</xdr:colOff>
      <xdr:row>0</xdr:row>
      <xdr:rowOff>0</xdr:rowOff>
    </xdr:from>
    <xdr:to>
      <xdr:col>0</xdr:col>
      <xdr:colOff>1743075</xdr:colOff>
      <xdr:row>3</xdr:row>
      <xdr:rowOff>85725</xdr:rowOff>
    </xdr:to>
    <xdr:pic>
      <xdr:nvPicPr>
        <xdr:cNvPr id="2" name="Picture 1"/>
        <xdr:cNvPicPr preferRelativeResize="1">
          <a:picLocks noChangeAspect="1"/>
        </xdr:cNvPicPr>
      </xdr:nvPicPr>
      <xdr:blipFill>
        <a:blip r:embed="rId2"/>
        <a:stretch>
          <a:fillRect/>
        </a:stretch>
      </xdr:blipFill>
      <xdr:spPr>
        <a:xfrm>
          <a:off x="0" y="0"/>
          <a:ext cx="17430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0</xdr:row>
      <xdr:rowOff>28575</xdr:rowOff>
    </xdr:from>
    <xdr:to>
      <xdr:col>4</xdr:col>
      <xdr:colOff>895350</xdr:colOff>
      <xdr:row>2</xdr:row>
      <xdr:rowOff>133350</xdr:rowOff>
    </xdr:to>
    <xdr:pic>
      <xdr:nvPicPr>
        <xdr:cNvPr id="1" name="Picture 1"/>
        <xdr:cNvPicPr preferRelativeResize="1">
          <a:picLocks noChangeAspect="1"/>
        </xdr:cNvPicPr>
      </xdr:nvPicPr>
      <xdr:blipFill>
        <a:blip r:embed="rId1"/>
        <a:stretch>
          <a:fillRect/>
        </a:stretch>
      </xdr:blipFill>
      <xdr:spPr>
        <a:xfrm>
          <a:off x="6715125" y="38100"/>
          <a:ext cx="1419225" cy="542925"/>
        </a:xfrm>
        <a:prstGeom prst="rect">
          <a:avLst/>
        </a:prstGeom>
        <a:noFill/>
        <a:ln w="9525" cmpd="sng">
          <a:noFill/>
        </a:ln>
      </xdr:spPr>
    </xdr:pic>
    <xdr:clientData/>
  </xdr:twoCellAnchor>
  <xdr:twoCellAnchor>
    <xdr:from>
      <xdr:col>0</xdr:col>
      <xdr:colOff>9525</xdr:colOff>
      <xdr:row>0</xdr:row>
      <xdr:rowOff>0</xdr:rowOff>
    </xdr:from>
    <xdr:to>
      <xdr:col>0</xdr:col>
      <xdr:colOff>1600200</xdr:colOff>
      <xdr:row>3</xdr:row>
      <xdr:rowOff>9525</xdr:rowOff>
    </xdr:to>
    <xdr:pic>
      <xdr:nvPicPr>
        <xdr:cNvPr id="2" name="Picture 1"/>
        <xdr:cNvPicPr preferRelativeResize="1">
          <a:picLocks noChangeAspect="1"/>
        </xdr:cNvPicPr>
      </xdr:nvPicPr>
      <xdr:blipFill>
        <a:blip r:embed="rId2"/>
        <a:stretch>
          <a:fillRect/>
        </a:stretch>
      </xdr:blipFill>
      <xdr:spPr>
        <a:xfrm>
          <a:off x="9525" y="0"/>
          <a:ext cx="15906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0</xdr:row>
      <xdr:rowOff>28575</xdr:rowOff>
    </xdr:from>
    <xdr:to>
      <xdr:col>4</xdr:col>
      <xdr:colOff>895350</xdr:colOff>
      <xdr:row>2</xdr:row>
      <xdr:rowOff>133350</xdr:rowOff>
    </xdr:to>
    <xdr:pic>
      <xdr:nvPicPr>
        <xdr:cNvPr id="1" name="Picture 1"/>
        <xdr:cNvPicPr preferRelativeResize="1">
          <a:picLocks noChangeAspect="1"/>
        </xdr:cNvPicPr>
      </xdr:nvPicPr>
      <xdr:blipFill>
        <a:blip r:embed="rId1"/>
        <a:stretch>
          <a:fillRect/>
        </a:stretch>
      </xdr:blipFill>
      <xdr:spPr>
        <a:xfrm>
          <a:off x="6715125" y="38100"/>
          <a:ext cx="1419225" cy="542925"/>
        </a:xfrm>
        <a:prstGeom prst="rect">
          <a:avLst/>
        </a:prstGeom>
        <a:noFill/>
        <a:ln w="9525" cmpd="sng">
          <a:noFill/>
        </a:ln>
      </xdr:spPr>
    </xdr:pic>
    <xdr:clientData/>
  </xdr:twoCellAnchor>
  <xdr:twoCellAnchor>
    <xdr:from>
      <xdr:col>0</xdr:col>
      <xdr:colOff>9525</xdr:colOff>
      <xdr:row>0</xdr:row>
      <xdr:rowOff>0</xdr:rowOff>
    </xdr:from>
    <xdr:to>
      <xdr:col>0</xdr:col>
      <xdr:colOff>1600200</xdr:colOff>
      <xdr:row>3</xdr:row>
      <xdr:rowOff>9525</xdr:rowOff>
    </xdr:to>
    <xdr:pic>
      <xdr:nvPicPr>
        <xdr:cNvPr id="2" name="Picture 1"/>
        <xdr:cNvPicPr preferRelativeResize="1">
          <a:picLocks noChangeAspect="1"/>
        </xdr:cNvPicPr>
      </xdr:nvPicPr>
      <xdr:blipFill>
        <a:blip r:embed="rId2"/>
        <a:stretch>
          <a:fillRect/>
        </a:stretch>
      </xdr:blipFill>
      <xdr:spPr>
        <a:xfrm>
          <a:off x="9525" y="0"/>
          <a:ext cx="15906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19050</xdr:rowOff>
    </xdr:from>
    <xdr:to>
      <xdr:col>2</xdr:col>
      <xdr:colOff>1600200</xdr:colOff>
      <xdr:row>2</xdr:row>
      <xdr:rowOff>209550</xdr:rowOff>
    </xdr:to>
    <xdr:pic>
      <xdr:nvPicPr>
        <xdr:cNvPr id="1" name="Picture 1"/>
        <xdr:cNvPicPr preferRelativeResize="1">
          <a:picLocks noChangeAspect="1"/>
        </xdr:cNvPicPr>
      </xdr:nvPicPr>
      <xdr:blipFill>
        <a:blip r:embed="rId1"/>
        <a:stretch>
          <a:fillRect/>
        </a:stretch>
      </xdr:blipFill>
      <xdr:spPr>
        <a:xfrm>
          <a:off x="895350" y="19050"/>
          <a:ext cx="1466850" cy="647700"/>
        </a:xfrm>
        <a:prstGeom prst="rect">
          <a:avLst/>
        </a:prstGeom>
        <a:noFill/>
        <a:ln w="9525" cmpd="sng">
          <a:noFill/>
        </a:ln>
      </xdr:spPr>
    </xdr:pic>
    <xdr:clientData/>
  </xdr:twoCellAnchor>
  <xdr:twoCellAnchor>
    <xdr:from>
      <xdr:col>6</xdr:col>
      <xdr:colOff>1066800</xdr:colOff>
      <xdr:row>0</xdr:row>
      <xdr:rowOff>57150</xdr:rowOff>
    </xdr:from>
    <xdr:to>
      <xdr:col>7</xdr:col>
      <xdr:colOff>1552575</xdr:colOff>
      <xdr:row>2</xdr:row>
      <xdr:rowOff>161925</xdr:rowOff>
    </xdr:to>
    <xdr:pic>
      <xdr:nvPicPr>
        <xdr:cNvPr id="2" name="Picture 2"/>
        <xdr:cNvPicPr preferRelativeResize="1">
          <a:picLocks noChangeAspect="1"/>
        </xdr:cNvPicPr>
      </xdr:nvPicPr>
      <xdr:blipFill>
        <a:blip r:embed="rId2"/>
        <a:stretch>
          <a:fillRect/>
        </a:stretch>
      </xdr:blipFill>
      <xdr:spPr>
        <a:xfrm>
          <a:off x="8191500" y="57150"/>
          <a:ext cx="1752600" cy="56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19050</xdr:rowOff>
    </xdr:from>
    <xdr:to>
      <xdr:col>1</xdr:col>
      <xdr:colOff>1600200</xdr:colOff>
      <xdr:row>2</xdr:row>
      <xdr:rowOff>209550</xdr:rowOff>
    </xdr:to>
    <xdr:pic>
      <xdr:nvPicPr>
        <xdr:cNvPr id="1" name="Picture 1"/>
        <xdr:cNvPicPr preferRelativeResize="1">
          <a:picLocks noChangeAspect="1"/>
        </xdr:cNvPicPr>
      </xdr:nvPicPr>
      <xdr:blipFill>
        <a:blip r:embed="rId1"/>
        <a:stretch>
          <a:fillRect/>
        </a:stretch>
      </xdr:blipFill>
      <xdr:spPr>
        <a:xfrm>
          <a:off x="133350" y="19050"/>
          <a:ext cx="1466850" cy="647700"/>
        </a:xfrm>
        <a:prstGeom prst="rect">
          <a:avLst/>
        </a:prstGeom>
        <a:noFill/>
        <a:ln w="9525" cmpd="sng">
          <a:noFill/>
        </a:ln>
      </xdr:spPr>
    </xdr:pic>
    <xdr:clientData/>
  </xdr:twoCellAnchor>
  <xdr:twoCellAnchor>
    <xdr:from>
      <xdr:col>6</xdr:col>
      <xdr:colOff>657225</xdr:colOff>
      <xdr:row>0</xdr:row>
      <xdr:rowOff>19050</xdr:rowOff>
    </xdr:from>
    <xdr:to>
      <xdr:col>7</xdr:col>
      <xdr:colOff>1219200</xdr:colOff>
      <xdr:row>2</xdr:row>
      <xdr:rowOff>123825</xdr:rowOff>
    </xdr:to>
    <xdr:pic>
      <xdr:nvPicPr>
        <xdr:cNvPr id="2" name="Picture 2"/>
        <xdr:cNvPicPr preferRelativeResize="1">
          <a:picLocks noChangeAspect="1"/>
        </xdr:cNvPicPr>
      </xdr:nvPicPr>
      <xdr:blipFill>
        <a:blip r:embed="rId2"/>
        <a:stretch>
          <a:fillRect/>
        </a:stretch>
      </xdr:blipFill>
      <xdr:spPr>
        <a:xfrm>
          <a:off x="7743825" y="19050"/>
          <a:ext cx="1876425"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ista\Reducci&#243;n%20poa%202008\Estatal%20aut.%20dic.%20y%20modif.%20enero%202008\crista2001\POA\POA%202007%20REPROGRAMADO%20FEB%202007%20ok\ESTATAL\POA%20FEDERAL%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rista2001\POA\2008\POA%20aprobado%20diciembre%20de%202007%20(modif.%20enero%202008)\PA%20FEDERAl%202008%20%20con%20homologaci&#243;n%20directivos%20dic.%202007%20pres.%20j.d\Proyecto%20poa%202008%20ESTATAL%20CLASIFICACI&#211;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rista2001\POA\2008\POA%20aprobado%20diciembre%20de%202007%20(modif.%20enero%202008)\PA%20FEDERAl%202008%20%20con%20homologaci&#243;n%20directivos%20dic.%202007%20pres.%20j.d\POA%20FEDERAL%202008%20reduccc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rista2001\POA\POA%202007%20REPROGRAMADO%20FEB%202007%20ok\FEDERAL\POA%20FEDERAL%2020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RCHIVO%20DE%20CAPTURA%20planeac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ato"/>
      <sheetName val="proyecto 1"/>
      <sheetName val="Proyecto 2"/>
      <sheetName val="Proyecto 3"/>
      <sheetName val="Proyecto 4"/>
      <sheetName val="Proyecto 5"/>
      <sheetName val="Proyecto 6"/>
      <sheetName val="Proyecto 7"/>
      <sheetName val="Proyecto 8"/>
      <sheetName val="Proyecto 9"/>
      <sheetName val="presupuesto"/>
      <sheetName val="pgo"/>
      <sheetName val="desglose por capitulo"/>
      <sheetName val="presupuesto oscar mexia"/>
      <sheetName val="COMPARATIVO POR CAPITULO 06-07"/>
      <sheetName val="comparativo por proy 2006-2007"/>
      <sheetName val="Hoja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DatosIdentificaciónUR"/>
      <sheetName val="2. DefiniciónProcesoInstUR"/>
      <sheetName val="distr. proyecto"/>
      <sheetName val="distr. proyecto  y área"/>
      <sheetName val="3. DefEstrategia CECYTES"/>
      <sheetName val="4. PRESUPUESTO  CECYTES"/>
      <sheetName val="3. DefEstrategia POR DIR. ÁREA"/>
      <sheetName val="4. PRESUPUESTO POR DIR. ÁREA"/>
      <sheetName val="presupuesto 1000"/>
      <sheetName val="subsidio"/>
      <sheetName val="increm por area"/>
      <sheetName val="% del gasto por area sust."/>
      <sheetName val="analisis por capitulo"/>
      <sheetName val="ATENCIÓN A LA DEMANDA"/>
    </sheetNames>
    <sheetDataSet>
      <sheetData sheetId="9">
        <row r="10">
          <cell r="B10">
            <v>20205214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ato"/>
      <sheetName val="proyecto 1"/>
      <sheetName val="Proyecto 2"/>
      <sheetName val="Proyecto 3"/>
      <sheetName val="Proyecto 4"/>
      <sheetName val="Proyecto 5"/>
      <sheetName val="Proyecto 6"/>
      <sheetName val="Proyecto 7"/>
      <sheetName val="Proyecto 8"/>
      <sheetName val="Proyecto 9"/>
      <sheetName val="presupuesto"/>
      <sheetName val="pgo"/>
      <sheetName val="desglose por capitulo"/>
      <sheetName val="presupuesto oscar mexia"/>
      <sheetName val="COMPARATIVO POR CAPITULO 06-07"/>
      <sheetName val="Hoja2"/>
    </sheetNames>
    <sheetDataSet>
      <sheetData sheetId="13">
        <row r="30">
          <cell r="B30">
            <v>89303000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mato"/>
      <sheetName val="proyecto 1"/>
      <sheetName val="Proyecto 2"/>
      <sheetName val="Proyecto 3"/>
      <sheetName val="Proyecto 4"/>
      <sheetName val="Proyecto 5"/>
      <sheetName val="Proyecto 6"/>
      <sheetName val="Proyecto 7"/>
      <sheetName val="Proyecto 8"/>
      <sheetName val="Proyecto 9"/>
      <sheetName val="presupuesto"/>
      <sheetName val="pgo"/>
      <sheetName val="desglose por capitulo"/>
      <sheetName val="presupuesto oscar mexia"/>
      <sheetName val="COMPARATIVO POR CAPITULO 06-07"/>
      <sheetName val="comparativo por proy 2006-2007"/>
      <sheetName val="Hoja2"/>
    </sheetNames>
    <sheetDataSet>
      <sheetData sheetId="13">
        <row r="24">
          <cell r="B24">
            <v>3887143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DMISION CENTRAL PROYECTO"/>
      <sheetName val="ADMISION CENTRAL"/>
      <sheetName val="PLANTELES"/>
      <sheetName val="TOTAL"/>
      <sheetName val="Hoja1"/>
    </sheetNames>
    <sheetDataSet>
      <sheetData sheetId="3">
        <row r="117">
          <cell r="AE117">
            <v>23502138.3</v>
          </cell>
          <cell r="CN117">
            <v>69094568.63</v>
          </cell>
          <cell r="DD117">
            <v>12275550</v>
          </cell>
          <cell r="DG117">
            <v>5135313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82"/>
  <sheetViews>
    <sheetView tabSelected="1" zoomScalePageLayoutView="0" workbookViewId="0" topLeftCell="A10">
      <selection activeCell="B12" sqref="B12:G20"/>
    </sheetView>
  </sheetViews>
  <sheetFormatPr defaultColWidth="11.421875" defaultRowHeight="12.75"/>
  <cols>
    <col min="1" max="1" width="4.7109375" style="0" customWidth="1"/>
    <col min="2" max="2" width="27.421875" style="0" customWidth="1"/>
    <col min="9" max="41" width="11.421875" style="25" customWidth="1"/>
  </cols>
  <sheetData>
    <row r="1" spans="1:8" ht="12.75">
      <c r="A1" s="2"/>
      <c r="B1" s="770" t="s">
        <v>166</v>
      </c>
      <c r="C1" s="770"/>
      <c r="D1" s="770"/>
      <c r="E1" s="770"/>
      <c r="F1" s="770"/>
      <c r="G1" s="770"/>
      <c r="H1" s="1"/>
    </row>
    <row r="2" spans="1:8" ht="12.75">
      <c r="A2" s="2"/>
      <c r="B2" s="770"/>
      <c r="C2" s="770"/>
      <c r="D2" s="770"/>
      <c r="E2" s="770"/>
      <c r="F2" s="770"/>
      <c r="G2" s="770"/>
      <c r="H2" s="1"/>
    </row>
    <row r="3" spans="1:8" ht="12.75">
      <c r="A3" s="2"/>
      <c r="B3" s="770" t="s">
        <v>627</v>
      </c>
      <c r="C3" s="770"/>
      <c r="D3" s="770"/>
      <c r="E3" s="770"/>
      <c r="F3" s="770"/>
      <c r="G3" s="770"/>
      <c r="H3" s="1"/>
    </row>
    <row r="4" spans="1:8" ht="24.75" customHeight="1">
      <c r="A4" s="2"/>
      <c r="B4" s="8"/>
      <c r="C4" s="9" t="s">
        <v>192</v>
      </c>
      <c r="D4" s="9"/>
      <c r="E4" s="9"/>
      <c r="F4" s="9"/>
      <c r="G4" s="9"/>
      <c r="H4" s="10"/>
    </row>
    <row r="5" spans="1:8" ht="17.25" customHeight="1">
      <c r="A5" s="2"/>
      <c r="B5" s="2" t="s">
        <v>168</v>
      </c>
      <c r="C5" s="771" t="s">
        <v>204</v>
      </c>
      <c r="D5" s="772"/>
      <c r="E5" s="772"/>
      <c r="F5" s="772"/>
      <c r="G5" s="773"/>
      <c r="H5" s="1"/>
    </row>
    <row r="6" spans="1:8" ht="20.25" customHeight="1">
      <c r="A6" s="2"/>
      <c r="B6" s="2" t="s">
        <v>189</v>
      </c>
      <c r="C6" s="771" t="s">
        <v>205</v>
      </c>
      <c r="D6" s="772"/>
      <c r="E6" s="772"/>
      <c r="F6" s="772"/>
      <c r="G6" s="773"/>
      <c r="H6" s="1"/>
    </row>
    <row r="7" spans="1:8" ht="35.25" customHeight="1">
      <c r="A7" s="2"/>
      <c r="B7" s="2" t="s">
        <v>169</v>
      </c>
      <c r="C7" s="771" t="s">
        <v>208</v>
      </c>
      <c r="D7" s="772"/>
      <c r="E7" s="772"/>
      <c r="F7" s="772"/>
      <c r="G7" s="773"/>
      <c r="H7" s="1"/>
    </row>
    <row r="8" spans="1:8" ht="26.25" customHeight="1">
      <c r="A8" s="2"/>
      <c r="B8" s="2" t="s">
        <v>170</v>
      </c>
      <c r="C8" s="771" t="s">
        <v>206</v>
      </c>
      <c r="D8" s="772"/>
      <c r="E8" s="772"/>
      <c r="F8" s="772"/>
      <c r="G8" s="773"/>
      <c r="H8" s="1"/>
    </row>
    <row r="9" spans="1:8" ht="18.75" customHeight="1">
      <c r="A9" s="2"/>
      <c r="B9" s="2" t="s">
        <v>171</v>
      </c>
      <c r="C9" s="771" t="s">
        <v>207</v>
      </c>
      <c r="D9" s="772"/>
      <c r="E9" s="772"/>
      <c r="F9" s="772"/>
      <c r="G9" s="773"/>
      <c r="H9" s="1"/>
    </row>
    <row r="10" spans="1:8" ht="14.25" customHeight="1">
      <c r="A10" s="2"/>
      <c r="B10" s="2"/>
      <c r="C10" s="2"/>
      <c r="D10" s="2"/>
      <c r="E10" s="2"/>
      <c r="F10" s="2"/>
      <c r="G10" s="2"/>
      <c r="H10" s="1"/>
    </row>
    <row r="11" spans="1:8" ht="14.25" customHeight="1">
      <c r="A11" s="1"/>
      <c r="B11" s="2"/>
      <c r="C11" s="2" t="s">
        <v>172</v>
      </c>
      <c r="D11" s="2"/>
      <c r="E11" s="2"/>
      <c r="F11" s="2"/>
      <c r="G11" s="2"/>
      <c r="H11" s="1"/>
    </row>
    <row r="12" spans="1:8" ht="12.75">
      <c r="A12" s="1"/>
      <c r="B12" s="768" t="s">
        <v>203</v>
      </c>
      <c r="C12" s="768"/>
      <c r="D12" s="768"/>
      <c r="E12" s="768"/>
      <c r="F12" s="768"/>
      <c r="G12" s="768"/>
      <c r="H12" s="1"/>
    </row>
    <row r="13" spans="1:8" ht="12.75">
      <c r="A13" s="1"/>
      <c r="B13" s="768"/>
      <c r="C13" s="768"/>
      <c r="D13" s="768"/>
      <c r="E13" s="768"/>
      <c r="F13" s="768"/>
      <c r="G13" s="768"/>
      <c r="H13" s="1"/>
    </row>
    <row r="14" spans="1:8" ht="12.75">
      <c r="A14" s="1"/>
      <c r="B14" s="768"/>
      <c r="C14" s="768"/>
      <c r="D14" s="768"/>
      <c r="E14" s="768"/>
      <c r="F14" s="768"/>
      <c r="G14" s="768"/>
      <c r="H14" s="1"/>
    </row>
    <row r="15" spans="1:8" ht="12.75">
      <c r="A15" s="1"/>
      <c r="B15" s="768"/>
      <c r="C15" s="768"/>
      <c r="D15" s="768"/>
      <c r="E15" s="768"/>
      <c r="F15" s="768"/>
      <c r="G15" s="768"/>
      <c r="H15" s="1"/>
    </row>
    <row r="16" spans="1:8" ht="12.75">
      <c r="A16" s="1"/>
      <c r="B16" s="768"/>
      <c r="C16" s="768"/>
      <c r="D16" s="768"/>
      <c r="E16" s="768"/>
      <c r="F16" s="768"/>
      <c r="G16" s="768"/>
      <c r="H16" s="1"/>
    </row>
    <row r="17" spans="1:8" ht="12.75">
      <c r="A17" s="1"/>
      <c r="B17" s="768"/>
      <c r="C17" s="768"/>
      <c r="D17" s="768"/>
      <c r="E17" s="768"/>
      <c r="F17" s="768"/>
      <c r="G17" s="768"/>
      <c r="H17" s="1"/>
    </row>
    <row r="18" spans="1:8" ht="12.75">
      <c r="A18" s="1"/>
      <c r="B18" s="768"/>
      <c r="C18" s="768"/>
      <c r="D18" s="768"/>
      <c r="E18" s="768"/>
      <c r="F18" s="768"/>
      <c r="G18" s="768"/>
      <c r="H18" s="1"/>
    </row>
    <row r="19" spans="1:8" ht="12.75">
      <c r="A19" s="1"/>
      <c r="B19" s="768"/>
      <c r="C19" s="768"/>
      <c r="D19" s="768"/>
      <c r="E19" s="768"/>
      <c r="F19" s="768"/>
      <c r="G19" s="768"/>
      <c r="H19" s="1"/>
    </row>
    <row r="20" spans="1:8" ht="12.75">
      <c r="A20" s="1"/>
      <c r="B20" s="768"/>
      <c r="C20" s="768"/>
      <c r="D20" s="768"/>
      <c r="E20" s="768"/>
      <c r="F20" s="768"/>
      <c r="G20" s="768"/>
      <c r="H20" s="1"/>
    </row>
    <row r="21" spans="1:8" ht="12.75">
      <c r="A21" s="1"/>
      <c r="B21" s="2"/>
      <c r="C21" s="2" t="s">
        <v>173</v>
      </c>
      <c r="D21" s="2"/>
      <c r="E21" s="2"/>
      <c r="F21" s="2"/>
      <c r="G21" s="2"/>
      <c r="H21" s="1"/>
    </row>
    <row r="22" spans="1:8" ht="12.75">
      <c r="A22" s="1"/>
      <c r="B22" s="768" t="s">
        <v>780</v>
      </c>
      <c r="C22" s="768"/>
      <c r="D22" s="768"/>
      <c r="E22" s="768"/>
      <c r="F22" s="768"/>
      <c r="G22" s="768"/>
      <c r="H22" s="1"/>
    </row>
    <row r="23" spans="1:8" ht="12.75">
      <c r="A23" s="1"/>
      <c r="B23" s="768"/>
      <c r="C23" s="768"/>
      <c r="D23" s="768"/>
      <c r="E23" s="768"/>
      <c r="F23" s="768"/>
      <c r="G23" s="768"/>
      <c r="H23" s="1"/>
    </row>
    <row r="24" spans="1:8" ht="12.75">
      <c r="A24" s="1"/>
      <c r="B24" s="768"/>
      <c r="C24" s="768"/>
      <c r="D24" s="768"/>
      <c r="E24" s="768"/>
      <c r="F24" s="768"/>
      <c r="G24" s="768"/>
      <c r="H24" s="1"/>
    </row>
    <row r="25" spans="1:8" ht="12.75">
      <c r="A25" s="1"/>
      <c r="B25" s="768"/>
      <c r="C25" s="768"/>
      <c r="D25" s="768"/>
      <c r="E25" s="768"/>
      <c r="F25" s="768"/>
      <c r="G25" s="768"/>
      <c r="H25" s="1"/>
    </row>
    <row r="26" spans="1:8" ht="12.75">
      <c r="A26" s="1"/>
      <c r="B26" s="768"/>
      <c r="C26" s="768"/>
      <c r="D26" s="768"/>
      <c r="E26" s="768"/>
      <c r="F26" s="768"/>
      <c r="G26" s="768"/>
      <c r="H26" s="1"/>
    </row>
    <row r="27" spans="1:8" ht="12.75">
      <c r="A27" s="1"/>
      <c r="B27" s="768"/>
      <c r="C27" s="768"/>
      <c r="D27" s="768"/>
      <c r="E27" s="768"/>
      <c r="F27" s="768"/>
      <c r="G27" s="768"/>
      <c r="H27" s="1"/>
    </row>
    <row r="28" spans="1:8" ht="12.75">
      <c r="A28" s="1"/>
      <c r="B28" s="768"/>
      <c r="C28" s="768"/>
      <c r="D28" s="768"/>
      <c r="E28" s="768"/>
      <c r="F28" s="768"/>
      <c r="G28" s="768"/>
      <c r="H28" s="1"/>
    </row>
    <row r="29" spans="1:8" ht="12.75">
      <c r="A29" s="1"/>
      <c r="B29" s="768"/>
      <c r="C29" s="768"/>
      <c r="D29" s="768"/>
      <c r="E29" s="768"/>
      <c r="F29" s="768"/>
      <c r="G29" s="768"/>
      <c r="H29" s="1"/>
    </row>
    <row r="30" spans="1:8" ht="12.75">
      <c r="A30" s="1"/>
      <c r="B30" s="768"/>
      <c r="C30" s="768"/>
      <c r="D30" s="768"/>
      <c r="E30" s="768"/>
      <c r="F30" s="768"/>
      <c r="G30" s="768"/>
      <c r="H30" s="1"/>
    </row>
    <row r="31" spans="1:8" ht="12.75">
      <c r="A31" s="1"/>
      <c r="B31" s="769"/>
      <c r="C31" s="769"/>
      <c r="D31" s="769"/>
      <c r="E31" s="769"/>
      <c r="F31" s="769"/>
      <c r="G31" s="769"/>
      <c r="H31" s="1"/>
    </row>
    <row r="32" spans="1:8" ht="12.75">
      <c r="A32" s="1"/>
      <c r="B32" s="769"/>
      <c r="C32" s="769"/>
      <c r="D32" s="769"/>
      <c r="E32" s="769"/>
      <c r="F32" s="769"/>
      <c r="G32" s="769"/>
      <c r="H32" s="1"/>
    </row>
    <row r="33" spans="1:8" ht="12.75">
      <c r="A33" s="1"/>
      <c r="B33" s="769"/>
      <c r="C33" s="769"/>
      <c r="D33" s="769"/>
      <c r="E33" s="769"/>
      <c r="F33" s="769"/>
      <c r="G33" s="769"/>
      <c r="H33" s="1"/>
    </row>
    <row r="34" spans="1:8" ht="12.75">
      <c r="A34" s="1"/>
      <c r="B34" s="1"/>
      <c r="C34" s="1"/>
      <c r="D34" s="1"/>
      <c r="E34" s="1"/>
      <c r="F34" s="1"/>
      <c r="G34" s="1"/>
      <c r="H34" s="1"/>
    </row>
    <row r="35" spans="1:8" ht="12.75">
      <c r="A35" s="25"/>
      <c r="B35" s="25"/>
      <c r="C35" s="25"/>
      <c r="D35" s="25"/>
      <c r="E35" s="25"/>
      <c r="F35" s="25"/>
      <c r="G35" s="25"/>
      <c r="H35" s="25"/>
    </row>
    <row r="36" spans="1:8" ht="12.75">
      <c r="A36" s="25"/>
      <c r="B36" s="25"/>
      <c r="C36" s="25"/>
      <c r="D36" s="25"/>
      <c r="E36" s="25"/>
      <c r="F36" s="25"/>
      <c r="G36" s="25"/>
      <c r="H36" s="25"/>
    </row>
    <row r="37" spans="1:8" ht="12.75">
      <c r="A37" s="25"/>
      <c r="B37" s="25"/>
      <c r="C37" s="25"/>
      <c r="D37" s="25"/>
      <c r="E37" s="25"/>
      <c r="F37" s="25"/>
      <c r="G37" s="25"/>
      <c r="H37" s="25"/>
    </row>
    <row r="38" spans="1:8" ht="12.75">
      <c r="A38" s="25"/>
      <c r="B38" s="25"/>
      <c r="C38" s="25"/>
      <c r="D38" s="25"/>
      <c r="E38" s="25"/>
      <c r="F38" s="25"/>
      <c r="G38" s="25"/>
      <c r="H38" s="25"/>
    </row>
    <row r="39" spans="1:8" ht="12.75">
      <c r="A39" s="25"/>
      <c r="B39" s="25"/>
      <c r="C39" s="25"/>
      <c r="D39" s="25"/>
      <c r="E39" s="25"/>
      <c r="F39" s="25"/>
      <c r="G39" s="25"/>
      <c r="H39" s="25"/>
    </row>
    <row r="40" spans="1:8" ht="12.75">
      <c r="A40" s="25"/>
      <c r="B40" s="25"/>
      <c r="C40" s="25"/>
      <c r="D40" s="25"/>
      <c r="E40" s="25"/>
      <c r="F40" s="25"/>
      <c r="G40" s="25"/>
      <c r="H40" s="25"/>
    </row>
    <row r="41" spans="1:8" ht="12.75">
      <c r="A41" s="25"/>
      <c r="B41" s="25"/>
      <c r="C41" s="25"/>
      <c r="D41" s="25"/>
      <c r="E41" s="25"/>
      <c r="F41" s="25"/>
      <c r="G41" s="25"/>
      <c r="H41" s="25"/>
    </row>
    <row r="42" spans="1:8" ht="12.75">
      <c r="A42" s="25"/>
      <c r="B42" s="25"/>
      <c r="C42" s="25"/>
      <c r="D42" s="25"/>
      <c r="E42" s="25"/>
      <c r="F42" s="25"/>
      <c r="G42" s="25"/>
      <c r="H42" s="25"/>
    </row>
    <row r="43" spans="1:8" ht="12.75">
      <c r="A43" s="25"/>
      <c r="B43" s="25"/>
      <c r="C43" s="25"/>
      <c r="D43" s="25"/>
      <c r="E43" s="25"/>
      <c r="F43" s="25"/>
      <c r="G43" s="25"/>
      <c r="H43" s="25"/>
    </row>
    <row r="44" spans="1:8" ht="12.75">
      <c r="A44" s="25"/>
      <c r="B44" s="25"/>
      <c r="C44" s="25"/>
      <c r="D44" s="25"/>
      <c r="E44" s="25"/>
      <c r="F44" s="25"/>
      <c r="G44" s="25"/>
      <c r="H44" s="25"/>
    </row>
    <row r="45" spans="1:8" ht="12.75">
      <c r="A45" s="25"/>
      <c r="B45" s="25"/>
      <c r="C45" s="25"/>
      <c r="D45" s="25"/>
      <c r="E45" s="25"/>
      <c r="F45" s="25"/>
      <c r="G45" s="25"/>
      <c r="H45" s="25"/>
    </row>
    <row r="46" spans="1:8" ht="12.75">
      <c r="A46" s="25"/>
      <c r="B46" s="25"/>
      <c r="C46" s="25"/>
      <c r="D46" s="25"/>
      <c r="E46" s="25"/>
      <c r="F46" s="25"/>
      <c r="G46" s="25"/>
      <c r="H46" s="25"/>
    </row>
    <row r="47" spans="1:8" ht="12.75">
      <c r="A47" s="25"/>
      <c r="B47" s="25"/>
      <c r="C47" s="25"/>
      <c r="D47" s="25"/>
      <c r="E47" s="25"/>
      <c r="F47" s="25"/>
      <c r="G47" s="25"/>
      <c r="H47" s="25"/>
    </row>
    <row r="48" spans="1:8" ht="12.75">
      <c r="A48" s="25"/>
      <c r="B48" s="25"/>
      <c r="C48" s="25"/>
      <c r="D48" s="25"/>
      <c r="E48" s="25"/>
      <c r="F48" s="25"/>
      <c r="G48" s="25"/>
      <c r="H48" s="25"/>
    </row>
    <row r="49" spans="1:8" ht="12.75">
      <c r="A49" s="25"/>
      <c r="B49" s="25"/>
      <c r="C49" s="25"/>
      <c r="D49" s="25"/>
      <c r="E49" s="25"/>
      <c r="F49" s="25"/>
      <c r="G49" s="25"/>
      <c r="H49" s="25"/>
    </row>
    <row r="50" spans="1:8" ht="12.75">
      <c r="A50" s="25"/>
      <c r="B50" s="25"/>
      <c r="C50" s="25"/>
      <c r="D50" s="25"/>
      <c r="E50" s="25"/>
      <c r="F50" s="25"/>
      <c r="G50" s="25"/>
      <c r="H50" s="25"/>
    </row>
    <row r="51" spans="1:8" ht="12.75">
      <c r="A51" s="25"/>
      <c r="B51" s="25"/>
      <c r="C51" s="25"/>
      <c r="D51" s="25"/>
      <c r="E51" s="25"/>
      <c r="F51" s="25"/>
      <c r="G51" s="25"/>
      <c r="H51" s="25"/>
    </row>
    <row r="52" spans="1:8" ht="12.75">
      <c r="A52" s="25"/>
      <c r="B52" s="25"/>
      <c r="C52" s="25"/>
      <c r="D52" s="25"/>
      <c r="E52" s="25"/>
      <c r="F52" s="25"/>
      <c r="G52" s="25"/>
      <c r="H52" s="25"/>
    </row>
    <row r="53" spans="1:8" ht="12.75">
      <c r="A53" s="25"/>
      <c r="B53" s="25"/>
      <c r="C53" s="25"/>
      <c r="D53" s="25"/>
      <c r="E53" s="25"/>
      <c r="F53" s="25"/>
      <c r="G53" s="25"/>
      <c r="H53" s="25"/>
    </row>
    <row r="54" spans="1:8" ht="12.75">
      <c r="A54" s="25"/>
      <c r="B54" s="25"/>
      <c r="C54" s="25"/>
      <c r="D54" s="25"/>
      <c r="E54" s="25"/>
      <c r="F54" s="25"/>
      <c r="G54" s="25"/>
      <c r="H54" s="25"/>
    </row>
    <row r="55" spans="1:8" ht="12.75">
      <c r="A55" s="25"/>
      <c r="B55" s="25"/>
      <c r="C55" s="25"/>
      <c r="D55" s="25"/>
      <c r="E55" s="25"/>
      <c r="F55" s="25"/>
      <c r="G55" s="25"/>
      <c r="H55" s="25"/>
    </row>
    <row r="56" spans="1:8" ht="12.75">
      <c r="A56" s="25"/>
      <c r="B56" s="25"/>
      <c r="C56" s="25"/>
      <c r="D56" s="25"/>
      <c r="E56" s="25"/>
      <c r="F56" s="25"/>
      <c r="G56" s="25"/>
      <c r="H56" s="25"/>
    </row>
    <row r="57" spans="1:8" ht="12.75">
      <c r="A57" s="25"/>
      <c r="B57" s="25"/>
      <c r="C57" s="25"/>
      <c r="D57" s="25"/>
      <c r="E57" s="25"/>
      <c r="F57" s="25"/>
      <c r="G57" s="25"/>
      <c r="H57" s="25"/>
    </row>
    <row r="58" spans="1:8" ht="12.75">
      <c r="A58" s="25"/>
      <c r="B58" s="25"/>
      <c r="C58" s="25"/>
      <c r="D58" s="25"/>
      <c r="E58" s="25"/>
      <c r="F58" s="25"/>
      <c r="G58" s="25"/>
      <c r="H58" s="25"/>
    </row>
    <row r="59" spans="1:8" ht="12.75">
      <c r="A59" s="25"/>
      <c r="B59" s="25"/>
      <c r="C59" s="25"/>
      <c r="D59" s="25"/>
      <c r="E59" s="25"/>
      <c r="F59" s="25"/>
      <c r="G59" s="25"/>
      <c r="H59" s="25"/>
    </row>
    <row r="60" spans="1:8" ht="12.75">
      <c r="A60" s="25"/>
      <c r="B60" s="25"/>
      <c r="C60" s="25"/>
      <c r="D60" s="25"/>
      <c r="E60" s="25"/>
      <c r="F60" s="25"/>
      <c r="G60" s="25"/>
      <c r="H60" s="25"/>
    </row>
    <row r="61" spans="1:8" ht="12.75">
      <c r="A61" s="25"/>
      <c r="B61" s="25"/>
      <c r="C61" s="25"/>
      <c r="D61" s="25"/>
      <c r="E61" s="25"/>
      <c r="F61" s="25"/>
      <c r="G61" s="25"/>
      <c r="H61" s="25"/>
    </row>
    <row r="62" spans="1:8" ht="12.75">
      <c r="A62" s="25"/>
      <c r="B62" s="25"/>
      <c r="C62" s="25"/>
      <c r="D62" s="25"/>
      <c r="E62" s="25"/>
      <c r="F62" s="25"/>
      <c r="G62" s="25"/>
      <c r="H62" s="25"/>
    </row>
    <row r="63" spans="1:8" ht="12.75">
      <c r="A63" s="25"/>
      <c r="B63" s="25"/>
      <c r="C63" s="25"/>
      <c r="D63" s="25"/>
      <c r="E63" s="25"/>
      <c r="F63" s="25"/>
      <c r="G63" s="25"/>
      <c r="H63" s="25"/>
    </row>
    <row r="64" spans="1:8" ht="12.75">
      <c r="A64" s="25"/>
      <c r="B64" s="25"/>
      <c r="C64" s="25"/>
      <c r="D64" s="25"/>
      <c r="E64" s="25"/>
      <c r="F64" s="25"/>
      <c r="G64" s="25"/>
      <c r="H64" s="25"/>
    </row>
    <row r="65" spans="1:8" ht="12.75">
      <c r="A65" s="25"/>
      <c r="B65" s="25"/>
      <c r="C65" s="25"/>
      <c r="D65" s="25"/>
      <c r="E65" s="25"/>
      <c r="F65" s="25"/>
      <c r="G65" s="25"/>
      <c r="H65" s="25"/>
    </row>
    <row r="66" spans="1:8" ht="12.75">
      <c r="A66" s="25"/>
      <c r="B66" s="25"/>
      <c r="C66" s="25"/>
      <c r="D66" s="25"/>
      <c r="E66" s="25"/>
      <c r="F66" s="25"/>
      <c r="G66" s="25"/>
      <c r="H66" s="25"/>
    </row>
    <row r="67" spans="1:8" ht="12.75">
      <c r="A67" s="25"/>
      <c r="B67" s="25"/>
      <c r="C67" s="25"/>
      <c r="D67" s="25"/>
      <c r="E67" s="25"/>
      <c r="F67" s="25"/>
      <c r="G67" s="25"/>
      <c r="H67" s="25"/>
    </row>
    <row r="68" spans="1:8" ht="12.75">
      <c r="A68" s="25"/>
      <c r="B68" s="25"/>
      <c r="C68" s="25"/>
      <c r="D68" s="25"/>
      <c r="E68" s="25"/>
      <c r="F68" s="25"/>
      <c r="G68" s="25"/>
      <c r="H68" s="25"/>
    </row>
    <row r="69" spans="1:8" ht="12.75">
      <c r="A69" s="25"/>
      <c r="B69" s="25"/>
      <c r="C69" s="25"/>
      <c r="D69" s="25"/>
      <c r="E69" s="25"/>
      <c r="F69" s="25"/>
      <c r="G69" s="25"/>
      <c r="H69" s="25"/>
    </row>
    <row r="70" spans="1:8" ht="12.75">
      <c r="A70" s="25"/>
      <c r="B70" s="25"/>
      <c r="C70" s="25"/>
      <c r="D70" s="25"/>
      <c r="E70" s="25"/>
      <c r="F70" s="25"/>
      <c r="G70" s="25"/>
      <c r="H70" s="25"/>
    </row>
    <row r="71" spans="1:8" ht="12.75">
      <c r="A71" s="25"/>
      <c r="B71" s="25"/>
      <c r="C71" s="25"/>
      <c r="D71" s="25"/>
      <c r="E71" s="25"/>
      <c r="F71" s="25"/>
      <c r="G71" s="25"/>
      <c r="H71" s="25"/>
    </row>
    <row r="72" spans="1:8" ht="12.75">
      <c r="A72" s="25"/>
      <c r="B72" s="25"/>
      <c r="C72" s="25"/>
      <c r="D72" s="25"/>
      <c r="E72" s="25"/>
      <c r="F72" s="25"/>
      <c r="G72" s="25"/>
      <c r="H72" s="25"/>
    </row>
    <row r="73" spans="1:8" ht="12.75">
      <c r="A73" s="25"/>
      <c r="B73" s="25"/>
      <c r="C73" s="25"/>
      <c r="D73" s="25"/>
      <c r="E73" s="25"/>
      <c r="F73" s="25"/>
      <c r="G73" s="25"/>
      <c r="H73" s="25"/>
    </row>
    <row r="74" spans="1:8" ht="12.75">
      <c r="A74" s="25"/>
      <c r="B74" s="25"/>
      <c r="C74" s="25"/>
      <c r="D74" s="25"/>
      <c r="E74" s="25"/>
      <c r="F74" s="25"/>
      <c r="G74" s="25"/>
      <c r="H74" s="25"/>
    </row>
    <row r="75" spans="1:8" ht="12.75">
      <c r="A75" s="25"/>
      <c r="B75" s="25"/>
      <c r="C75" s="25"/>
      <c r="D75" s="25"/>
      <c r="E75" s="25"/>
      <c r="F75" s="25"/>
      <c r="G75" s="25"/>
      <c r="H75" s="25"/>
    </row>
    <row r="76" spans="1:8" ht="12.75">
      <c r="A76" s="25"/>
      <c r="B76" s="25"/>
      <c r="C76" s="25"/>
      <c r="D76" s="25"/>
      <c r="E76" s="25"/>
      <c r="F76" s="25"/>
      <c r="G76" s="25"/>
      <c r="H76" s="25"/>
    </row>
    <row r="77" spans="1:8" ht="12.75">
      <c r="A77" s="25"/>
      <c r="B77" s="25"/>
      <c r="C77" s="25"/>
      <c r="D77" s="25"/>
      <c r="E77" s="25"/>
      <c r="F77" s="25"/>
      <c r="G77" s="25"/>
      <c r="H77" s="25"/>
    </row>
    <row r="78" spans="1:8" ht="12.75">
      <c r="A78" s="25"/>
      <c r="B78" s="25"/>
      <c r="C78" s="25"/>
      <c r="D78" s="25"/>
      <c r="E78" s="25"/>
      <c r="F78" s="25"/>
      <c r="G78" s="25"/>
      <c r="H78" s="25"/>
    </row>
    <row r="79" spans="1:8" ht="12.75">
      <c r="A79" s="25"/>
      <c r="B79" s="25"/>
      <c r="C79" s="25"/>
      <c r="D79" s="25"/>
      <c r="E79" s="25"/>
      <c r="F79" s="25"/>
      <c r="G79" s="25"/>
      <c r="H79" s="25"/>
    </row>
    <row r="80" spans="1:8" ht="12.75">
      <c r="A80" s="25"/>
      <c r="B80" s="25"/>
      <c r="C80" s="25"/>
      <c r="D80" s="25"/>
      <c r="E80" s="25"/>
      <c r="F80" s="25"/>
      <c r="G80" s="25"/>
      <c r="H80" s="25"/>
    </row>
    <row r="81" spans="1:8" ht="12.75">
      <c r="A81" s="25"/>
      <c r="B81" s="25"/>
      <c r="C81" s="25"/>
      <c r="D81" s="25"/>
      <c r="E81" s="25"/>
      <c r="F81" s="25"/>
      <c r="G81" s="25"/>
      <c r="H81" s="25"/>
    </row>
    <row r="82" spans="1:8" ht="12.75">
      <c r="A82" s="25"/>
      <c r="B82" s="25"/>
      <c r="C82" s="25"/>
      <c r="D82" s="25"/>
      <c r="E82" s="25"/>
      <c r="F82" s="25"/>
      <c r="G82" s="25"/>
      <c r="H82" s="25"/>
    </row>
  </sheetData>
  <sheetProtection/>
  <mergeCells count="10">
    <mergeCell ref="B22:G30"/>
    <mergeCell ref="B31:G33"/>
    <mergeCell ref="B1:G2"/>
    <mergeCell ref="B3:G3"/>
    <mergeCell ref="C5:G5"/>
    <mergeCell ref="C6:G6"/>
    <mergeCell ref="B12:G20"/>
    <mergeCell ref="C9:G9"/>
    <mergeCell ref="C7:G7"/>
    <mergeCell ref="C8:G8"/>
  </mergeCells>
  <printOptions/>
  <pageMargins left="0.37" right="0.31" top="0.44" bottom="1"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3:B17"/>
  <sheetViews>
    <sheetView zoomScalePageLayoutView="0" workbookViewId="0" topLeftCell="A1">
      <selection activeCell="E11" sqref="E11"/>
    </sheetView>
  </sheetViews>
  <sheetFormatPr defaultColWidth="11.421875" defaultRowHeight="12.75"/>
  <cols>
    <col min="1" max="1" width="32.57421875" style="0" customWidth="1"/>
    <col min="2" max="2" width="31.57421875" style="0" customWidth="1"/>
  </cols>
  <sheetData>
    <row r="3" ht="20.25">
      <c r="A3" s="282" t="s">
        <v>98</v>
      </c>
    </row>
    <row r="5" ht="18">
      <c r="A5" s="283" t="s">
        <v>99</v>
      </c>
    </row>
    <row r="6" ht="12.75">
      <c r="B6" s="74"/>
    </row>
    <row r="7" ht="12.75">
      <c r="B7" s="74"/>
    </row>
    <row r="8" spans="1:2" ht="25.5" customHeight="1">
      <c r="A8" s="283" t="s">
        <v>100</v>
      </c>
      <c r="B8" s="284">
        <f>+B9+3500000</f>
        <v>176433717.525</v>
      </c>
    </row>
    <row r="9" spans="1:2" ht="25.5" customHeight="1">
      <c r="A9" s="283" t="s">
        <v>101</v>
      </c>
      <c r="B9" s="284">
        <f>+(B15-B10-3500000)/2</f>
        <v>172933717.525</v>
      </c>
    </row>
    <row r="10" spans="1:2" ht="25.5" customHeight="1">
      <c r="A10" s="283" t="s">
        <v>102</v>
      </c>
      <c r="B10" s="284">
        <v>20205214</v>
      </c>
    </row>
    <row r="11" spans="1:2" ht="30.75" customHeight="1">
      <c r="A11" s="283" t="s">
        <v>328</v>
      </c>
      <c r="B11" s="284">
        <f>SUM(B8:B10)</f>
        <v>369572649.05</v>
      </c>
    </row>
    <row r="12" ht="20.25">
      <c r="B12" s="284"/>
    </row>
    <row r="13" ht="20.25">
      <c r="B13" s="284"/>
    </row>
    <row r="14" spans="1:2" ht="20.25">
      <c r="A14" s="283"/>
      <c r="B14" s="284"/>
    </row>
    <row r="15" spans="1:2" ht="20.25">
      <c r="A15" s="283" t="s">
        <v>104</v>
      </c>
      <c r="B15" s="284">
        <f>+'presupuesto 1000'!B38</f>
        <v>369572649.05</v>
      </c>
    </row>
    <row r="16" ht="12.75">
      <c r="B16" s="74"/>
    </row>
    <row r="17" ht="12.75">
      <c r="B17" s="74"/>
    </row>
  </sheetData>
  <sheetProtection/>
  <printOptions/>
  <pageMargins left="0.75" right="0.75" top="1" bottom="1"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7:E31"/>
  <sheetViews>
    <sheetView zoomScalePageLayoutView="0" workbookViewId="0" topLeftCell="A8">
      <selection activeCell="B33" sqref="B33"/>
    </sheetView>
  </sheetViews>
  <sheetFormatPr defaultColWidth="11.421875" defaultRowHeight="12.75"/>
  <cols>
    <col min="1" max="1" width="64.28125" style="285" customWidth="1"/>
    <col min="2" max="2" width="35.140625" style="285" customWidth="1"/>
    <col min="3" max="3" width="22.7109375" style="285" hidden="1" customWidth="1"/>
    <col min="4" max="4" width="14.7109375" style="285" hidden="1" customWidth="1"/>
    <col min="5" max="5" width="17.140625" style="285" bestFit="1" customWidth="1"/>
    <col min="6" max="16384" width="11.421875" style="285" customWidth="1"/>
  </cols>
  <sheetData>
    <row r="7" spans="1:2" ht="38.25" customHeight="1">
      <c r="A7" s="877" t="s">
        <v>783</v>
      </c>
      <c r="B7" s="877"/>
    </row>
    <row r="8" spans="1:2" ht="18">
      <c r="A8" s="877" t="s">
        <v>784</v>
      </c>
      <c r="B8" s="877"/>
    </row>
    <row r="9" ht="9" customHeight="1"/>
    <row r="10" spans="1:2" ht="18">
      <c r="A10" s="877" t="s">
        <v>785</v>
      </c>
      <c r="B10" s="877"/>
    </row>
    <row r="11" ht="18.75" thickBot="1"/>
    <row r="12" spans="1:2" ht="18.75" thickTop="1">
      <c r="A12" s="742" t="s">
        <v>786</v>
      </c>
      <c r="B12" s="743"/>
    </row>
    <row r="13" spans="1:4" ht="18">
      <c r="A13" s="744" t="s">
        <v>787</v>
      </c>
      <c r="B13" s="745">
        <f>+C13</f>
        <v>176433717.525</v>
      </c>
      <c r="C13" s="711">
        <f>+C14+3500000</f>
        <v>176433717.525</v>
      </c>
      <c r="D13" s="712">
        <f>+C13/C16*100</f>
        <v>47.739928259986044</v>
      </c>
    </row>
    <row r="14" spans="1:4" ht="18">
      <c r="A14" s="744" t="s">
        <v>788</v>
      </c>
      <c r="B14" s="745">
        <f>+C14</f>
        <v>172933717.525</v>
      </c>
      <c r="C14" s="711">
        <f>+(B25-B15-3500000)/2</f>
        <v>172933717.525</v>
      </c>
      <c r="D14" s="548">
        <f>+C14/C16*100</f>
        <v>46.79288848066339</v>
      </c>
    </row>
    <row r="15" spans="1:4" ht="18">
      <c r="A15" s="744" t="s">
        <v>789</v>
      </c>
      <c r="B15" s="745">
        <f>+'[2]subsidio'!$B$10</f>
        <v>20205214</v>
      </c>
      <c r="C15" s="548">
        <f>+B15</f>
        <v>20205214</v>
      </c>
      <c r="D15" s="548">
        <f>+C15/C16*100</f>
        <v>5.467183259350561</v>
      </c>
    </row>
    <row r="16" spans="1:4" ht="18.75" thickBot="1">
      <c r="A16" s="319" t="s">
        <v>324</v>
      </c>
      <c r="B16" s="746">
        <f>SUM(B13:B15)</f>
        <v>369572649.05</v>
      </c>
      <c r="C16" s="548">
        <f>SUM(C13:C15)</f>
        <v>369572649.05</v>
      </c>
      <c r="D16" s="712">
        <f>SUM(D13:D15)</f>
        <v>100</v>
      </c>
    </row>
    <row r="17" ht="18.75" thickTop="1">
      <c r="B17" s="547"/>
    </row>
    <row r="18" ht="18.75" thickBot="1">
      <c r="B18" s="547"/>
    </row>
    <row r="19" spans="1:2" ht="18.75" thickTop="1">
      <c r="A19" s="742" t="s">
        <v>790</v>
      </c>
      <c r="B19" s="747"/>
    </row>
    <row r="20" spans="1:5" ht="18">
      <c r="A20" s="744" t="s">
        <v>791</v>
      </c>
      <c r="B20" s="748">
        <f>+'presupuesto 1000'!B33</f>
        <v>259565079.12</v>
      </c>
      <c r="E20" s="548"/>
    </row>
    <row r="21" spans="1:2" ht="18">
      <c r="A21" s="744" t="s">
        <v>792</v>
      </c>
      <c r="B21" s="748">
        <f>+'presupuesto 1000'!B34</f>
        <v>23502138.3</v>
      </c>
    </row>
    <row r="22" spans="1:3" ht="18">
      <c r="A22" s="744" t="s">
        <v>793</v>
      </c>
      <c r="B22" s="748">
        <f>+'presupuesto 1000'!B35</f>
        <v>69094568.63</v>
      </c>
      <c r="C22" s="547"/>
    </row>
    <row r="23" spans="1:3" ht="18">
      <c r="A23" s="744" t="s">
        <v>794</v>
      </c>
      <c r="B23" s="748">
        <f>+'presupuesto 1000'!B36</f>
        <v>12275550</v>
      </c>
      <c r="C23" s="547"/>
    </row>
    <row r="24" spans="1:2" ht="18">
      <c r="A24" s="744" t="s">
        <v>273</v>
      </c>
      <c r="B24" s="748">
        <f>+'presupuesto 1000'!B37</f>
        <v>5135313</v>
      </c>
    </row>
    <row r="25" spans="1:5" ht="18.75" thickBot="1">
      <c r="A25" s="319" t="s">
        <v>796</v>
      </c>
      <c r="B25" s="749">
        <f>SUM(B20:B24)</f>
        <v>369572649.05</v>
      </c>
      <c r="C25" s="711"/>
      <c r="E25" s="711"/>
    </row>
    <row r="26" spans="1:5" s="717" customFormat="1" ht="19.5" thickBot="1" thickTop="1">
      <c r="A26" s="315"/>
      <c r="B26" s="715"/>
      <c r="C26" s="716"/>
      <c r="E26" s="716"/>
    </row>
    <row r="27" spans="1:5" s="717" customFormat="1" ht="18" hidden="1">
      <c r="A27" s="713" t="s">
        <v>797</v>
      </c>
      <c r="B27" s="718">
        <f>+B16-B25</f>
        <v>0</v>
      </c>
      <c r="C27" s="716"/>
      <c r="E27" s="716"/>
    </row>
    <row r="28" spans="1:5" s="717" customFormat="1" ht="18" hidden="1">
      <c r="A28" s="315"/>
      <c r="B28" s="719"/>
      <c r="C28" s="716"/>
      <c r="E28" s="716"/>
    </row>
    <row r="29" spans="1:5" s="717" customFormat="1" ht="18" hidden="1">
      <c r="A29" s="315"/>
      <c r="B29" s="719"/>
      <c r="C29" s="716"/>
      <c r="E29" s="716"/>
    </row>
    <row r="30" spans="1:3" ht="18.75" thickTop="1">
      <c r="A30" s="750" t="s">
        <v>798</v>
      </c>
      <c r="B30" s="751">
        <f>+'[3]presupuesto oscar mexia'!$B$30</f>
        <v>89303000</v>
      </c>
      <c r="C30" s="548"/>
    </row>
    <row r="31" spans="1:3" ht="18.75" thickBot="1">
      <c r="A31" s="752" t="s">
        <v>324</v>
      </c>
      <c r="B31" s="753">
        <f>+B30+B25</f>
        <v>458875649.05</v>
      </c>
      <c r="C31" s="548"/>
    </row>
    <row r="32" ht="18.75" thickTop="1"/>
  </sheetData>
  <sheetProtection/>
  <mergeCells count="3">
    <mergeCell ref="A7:B7"/>
    <mergeCell ref="A8:B8"/>
    <mergeCell ref="A10:B10"/>
  </mergeCells>
  <printOptions horizontalCentered="1"/>
  <pageMargins left="0.2362204724409449" right="0.31496062992125984" top="0.4724409448818898" bottom="0.7480314960629921" header="0.31496062992125984" footer="0.31496062992125984"/>
  <pageSetup horizontalDpi="600" verticalDpi="600" orientation="landscape" scale="95" r:id="rId2"/>
  <drawing r:id="rId1"/>
</worksheet>
</file>

<file path=xl/worksheets/sheet12.xml><?xml version="1.0" encoding="utf-8"?>
<worksheet xmlns="http://schemas.openxmlformats.org/spreadsheetml/2006/main" xmlns:r="http://schemas.openxmlformats.org/officeDocument/2006/relationships">
  <dimension ref="A5:J30"/>
  <sheetViews>
    <sheetView zoomScalePageLayoutView="0" workbookViewId="0" topLeftCell="A7">
      <selection activeCell="A7" sqref="A7:E7"/>
    </sheetView>
  </sheetViews>
  <sheetFormatPr defaultColWidth="11.421875" defaultRowHeight="12.75"/>
  <cols>
    <col min="1" max="1" width="45.421875" style="285" customWidth="1"/>
    <col min="2" max="2" width="23.421875" style="285" bestFit="1" customWidth="1"/>
    <col min="3" max="4" width="19.8515625" style="285" customWidth="1"/>
    <col min="5" max="5" width="14.421875" style="285" customWidth="1"/>
    <col min="6" max="6" width="22.7109375" style="285" hidden="1" customWidth="1"/>
    <col min="7" max="7" width="14.7109375" style="285" hidden="1" customWidth="1"/>
    <col min="8" max="8" width="17.140625" style="285" bestFit="1" customWidth="1"/>
    <col min="9" max="16384" width="11.421875" style="285" customWidth="1"/>
  </cols>
  <sheetData>
    <row r="5" spans="1:5" ht="18">
      <c r="A5" s="877"/>
      <c r="B5" s="877"/>
      <c r="C5" s="877"/>
      <c r="D5" s="877"/>
      <c r="E5" s="877"/>
    </row>
    <row r="6" spans="1:10" ht="21.75" customHeight="1">
      <c r="A6" s="883" t="s">
        <v>105</v>
      </c>
      <c r="B6" s="883"/>
      <c r="C6" s="883"/>
      <c r="D6" s="883"/>
      <c r="E6" s="883"/>
      <c r="F6" s="651"/>
      <c r="G6" s="651"/>
      <c r="H6" s="651"/>
      <c r="I6" s="651"/>
      <c r="J6" s="651"/>
    </row>
    <row r="7" spans="1:10" ht="26.25">
      <c r="A7" s="883" t="s">
        <v>809</v>
      </c>
      <c r="B7" s="883"/>
      <c r="C7" s="883"/>
      <c r="D7" s="883"/>
      <c r="E7" s="883"/>
      <c r="F7" s="651"/>
      <c r="G7" s="651"/>
      <c r="H7" s="651"/>
      <c r="I7" s="651"/>
      <c r="J7" s="651"/>
    </row>
    <row r="9" ht="18.75" thickBot="1"/>
    <row r="10" spans="1:5" ht="19.5" customHeight="1" thickTop="1">
      <c r="A10" s="878" t="s">
        <v>786</v>
      </c>
      <c r="B10" s="880" t="s">
        <v>801</v>
      </c>
      <c r="C10" s="881"/>
      <c r="D10" s="881"/>
      <c r="E10" s="882"/>
    </row>
    <row r="11" spans="1:5" ht="18">
      <c r="A11" s="879"/>
      <c r="B11" s="720">
        <v>2007</v>
      </c>
      <c r="C11" s="713">
        <v>2008</v>
      </c>
      <c r="D11" s="713" t="s">
        <v>802</v>
      </c>
      <c r="E11" s="754" t="s">
        <v>106</v>
      </c>
    </row>
    <row r="12" spans="1:7" ht="18">
      <c r="A12" s="744" t="s">
        <v>787</v>
      </c>
      <c r="B12" s="287">
        <f>+B13+3500000</f>
        <v>169115493.5</v>
      </c>
      <c r="C12" s="287">
        <f>+C13+3500000</f>
        <v>176433717.525</v>
      </c>
      <c r="D12" s="287">
        <f>+C12-B12</f>
        <v>7318224.025000006</v>
      </c>
      <c r="E12" s="755">
        <f>+D12/B12</f>
        <v>0.04327352789234539</v>
      </c>
      <c r="F12" s="711">
        <f>+F13+3500000</f>
        <v>1749999.9485820055</v>
      </c>
      <c r="G12" s="712">
        <f>+F12/F15*100</f>
        <v>3563092426.5955887</v>
      </c>
    </row>
    <row r="13" spans="1:7" ht="18">
      <c r="A13" s="744" t="s">
        <v>788</v>
      </c>
      <c r="B13" s="287">
        <f>(B24-B14-3500000)/2</f>
        <v>165615493.5</v>
      </c>
      <c r="C13" s="287">
        <f>(C24-C14-3500000)/2</f>
        <v>172933717.525</v>
      </c>
      <c r="D13" s="287">
        <f>+C13-B13</f>
        <v>7318224.025000006</v>
      </c>
      <c r="E13" s="755">
        <f>+D13/B13</f>
        <v>0.044188039840608304</v>
      </c>
      <c r="F13" s="711">
        <f>+(E24-E14-3500000)/2</f>
        <v>-1750000.0514179945</v>
      </c>
      <c r="G13" s="548">
        <f>+F13/F15*100</f>
        <v>-3563092635.9751</v>
      </c>
    </row>
    <row r="14" spans="1:9" ht="18">
      <c r="A14" s="744" t="s">
        <v>789</v>
      </c>
      <c r="B14" s="287">
        <v>17540000</v>
      </c>
      <c r="C14" s="287">
        <f>+'[2]subsidio'!$B$10</f>
        <v>20205214</v>
      </c>
      <c r="D14" s="287">
        <f>+C14-B14</f>
        <v>2665214</v>
      </c>
      <c r="E14" s="755">
        <f>+D14/B14</f>
        <v>0.15195062713797036</v>
      </c>
      <c r="F14" s="548">
        <f>+E14</f>
        <v>0.15195062713797036</v>
      </c>
      <c r="G14" s="548">
        <f>+F14/F15*100</f>
        <v>309.3795112453865</v>
      </c>
      <c r="I14" s="285">
        <f>26256321/172633922</f>
        <v>0.15209247809361592</v>
      </c>
    </row>
    <row r="15" spans="1:7" ht="18.75" thickBot="1">
      <c r="A15" s="319" t="s">
        <v>324</v>
      </c>
      <c r="B15" s="756">
        <f>SUM(B12:B14)</f>
        <v>352270987</v>
      </c>
      <c r="C15" s="756">
        <f>SUM(C12:C14)</f>
        <v>369572649.05</v>
      </c>
      <c r="D15" s="756">
        <f>+C15-B15</f>
        <v>17301662.050000012</v>
      </c>
      <c r="E15" s="325">
        <f>+D15/B15</f>
        <v>0.04911463812942396</v>
      </c>
      <c r="F15" s="548">
        <f>SUM(F12:F14)</f>
        <v>0.04911463804642502</v>
      </c>
      <c r="G15" s="712">
        <f>SUM(G12:G14)</f>
        <v>99.99999988903272</v>
      </c>
    </row>
    <row r="16" spans="3:5" ht="18.75" thickTop="1">
      <c r="C16" s="547"/>
      <c r="D16" s="547"/>
      <c r="E16" s="547"/>
    </row>
    <row r="17" spans="3:5" ht="18.75" thickBot="1">
      <c r="C17" s="547"/>
      <c r="D17" s="547"/>
      <c r="E17" s="547"/>
    </row>
    <row r="18" spans="1:5" ht="18.75" thickTop="1">
      <c r="A18" s="742" t="s">
        <v>790</v>
      </c>
      <c r="B18" s="757"/>
      <c r="C18" s="758"/>
      <c r="D18" s="758"/>
      <c r="E18" s="747"/>
    </row>
    <row r="19" spans="1:8" ht="18">
      <c r="A19" s="744" t="s">
        <v>791</v>
      </c>
      <c r="B19" s="714">
        <v>252100896</v>
      </c>
      <c r="C19" s="714">
        <f>+'presentacion 1 jd'!B20</f>
        <v>259565079.12</v>
      </c>
      <c r="D19" s="714">
        <f>+C19-B19</f>
        <v>7464183.120000005</v>
      </c>
      <c r="E19" s="755">
        <f aca="true" t="shared" si="0" ref="E19:E24">+D19/B19</f>
        <v>0.02960791983857132</v>
      </c>
      <c r="H19" s="548"/>
    </row>
    <row r="20" spans="1:5" ht="18">
      <c r="A20" s="744" t="s">
        <v>792</v>
      </c>
      <c r="B20" s="714">
        <v>18800040</v>
      </c>
      <c r="C20" s="714">
        <f>+'presentacion 1 jd'!B21</f>
        <v>23502138.3</v>
      </c>
      <c r="D20" s="714">
        <f>+C20-B20</f>
        <v>4702098.300000001</v>
      </c>
      <c r="E20" s="755">
        <f t="shared" si="0"/>
        <v>0.2501110795508946</v>
      </c>
    </row>
    <row r="21" spans="1:6" ht="18">
      <c r="A21" s="744" t="s">
        <v>793</v>
      </c>
      <c r="B21" s="714">
        <v>60708959</v>
      </c>
      <c r="C21" s="714">
        <f>+'presentacion 1 jd'!B22</f>
        <v>69094568.63</v>
      </c>
      <c r="D21" s="714">
        <f>+C21-B21</f>
        <v>8385609.629999995</v>
      </c>
      <c r="E21" s="755">
        <f t="shared" si="0"/>
        <v>0.13812804185952185</v>
      </c>
      <c r="F21" s="547"/>
    </row>
    <row r="22" spans="1:6" ht="18">
      <c r="A22" s="744" t="s">
        <v>794</v>
      </c>
      <c r="B22" s="714">
        <v>16773949</v>
      </c>
      <c r="C22" s="714">
        <f>+'presentacion 1 jd'!B23</f>
        <v>12275550</v>
      </c>
      <c r="D22" s="714">
        <f>+C22-B22</f>
        <v>-4498399</v>
      </c>
      <c r="E22" s="755">
        <f t="shared" si="0"/>
        <v>-0.26817769625983723</v>
      </c>
      <c r="F22" s="547"/>
    </row>
    <row r="23" spans="1:5" ht="18">
      <c r="A23" s="744" t="s">
        <v>795</v>
      </c>
      <c r="B23" s="714">
        <v>3887143</v>
      </c>
      <c r="C23" s="714">
        <f>+'presentacion 1 jd'!B24</f>
        <v>5135313</v>
      </c>
      <c r="D23" s="714">
        <f>+C23-B23</f>
        <v>1248170</v>
      </c>
      <c r="E23" s="755">
        <f t="shared" si="0"/>
        <v>0.3211021565195826</v>
      </c>
    </row>
    <row r="24" spans="1:8" ht="18.75" thickBot="1">
      <c r="A24" s="319" t="s">
        <v>796</v>
      </c>
      <c r="B24" s="759">
        <f>SUM(B19:B23)</f>
        <v>352270987</v>
      </c>
      <c r="C24" s="759">
        <f>SUM(C19:C23)</f>
        <v>369572649.05</v>
      </c>
      <c r="D24" s="759">
        <f>SUM(D19:D23)</f>
        <v>17301662.05</v>
      </c>
      <c r="E24" s="325">
        <f t="shared" si="0"/>
        <v>0.049114638129423925</v>
      </c>
      <c r="F24" s="711"/>
      <c r="H24" s="711"/>
    </row>
    <row r="25" spans="1:8" s="717" customFormat="1" ht="19.5" thickBot="1" thickTop="1">
      <c r="A25" s="315"/>
      <c r="B25" s="315"/>
      <c r="C25" s="715"/>
      <c r="D25" s="715"/>
      <c r="E25" s="715"/>
      <c r="F25" s="716"/>
      <c r="H25" s="716"/>
    </row>
    <row r="26" spans="1:8" s="717" customFormat="1" ht="18" hidden="1">
      <c r="A26" s="713" t="s">
        <v>797</v>
      </c>
      <c r="B26" s="713"/>
      <c r="C26" s="718">
        <f>+C15-C24</f>
        <v>0</v>
      </c>
      <c r="D26" s="718"/>
      <c r="E26" s="718">
        <f>+E15-E24</f>
        <v>0</v>
      </c>
      <c r="F26" s="716"/>
      <c r="H26" s="716"/>
    </row>
    <row r="27" spans="1:8" s="717" customFormat="1" ht="18" hidden="1">
      <c r="A27" s="315"/>
      <c r="B27" s="315"/>
      <c r="C27" s="719"/>
      <c r="D27" s="719"/>
      <c r="E27" s="719"/>
      <c r="F27" s="716"/>
      <c r="H27" s="716"/>
    </row>
    <row r="28" spans="1:8" s="717" customFormat="1" ht="18" hidden="1">
      <c r="A28" s="315"/>
      <c r="B28" s="315"/>
      <c r="C28" s="719"/>
      <c r="D28" s="719"/>
      <c r="E28" s="719"/>
      <c r="F28" s="716"/>
      <c r="H28" s="716"/>
    </row>
    <row r="29" spans="1:6" ht="18.75" thickTop="1">
      <c r="A29" s="750" t="s">
        <v>798</v>
      </c>
      <c r="B29" s="760">
        <v>224279000</v>
      </c>
      <c r="C29" s="760">
        <f>+'[3]presupuesto oscar mexia'!$B$30</f>
        <v>89303000</v>
      </c>
      <c r="D29" s="760">
        <f>+C29-B29</f>
        <v>-134976000</v>
      </c>
      <c r="E29" s="761">
        <f>+D29/B29</f>
        <v>-0.6018218379785891</v>
      </c>
      <c r="F29" s="548"/>
    </row>
    <row r="30" spans="1:6" ht="18.75" thickBot="1">
      <c r="A30" s="752" t="s">
        <v>324</v>
      </c>
      <c r="B30" s="762">
        <f>+B29+B24</f>
        <v>576549987</v>
      </c>
      <c r="C30" s="763">
        <f>+C29+C24</f>
        <v>458875649.05</v>
      </c>
      <c r="D30" s="763">
        <f>+C30-B30</f>
        <v>-117674337.94999999</v>
      </c>
      <c r="E30" s="764">
        <f>+E29+E24</f>
        <v>-0.5527071998491652</v>
      </c>
      <c r="F30" s="548"/>
    </row>
    <row r="31" ht="18.75" thickTop="1"/>
  </sheetData>
  <sheetProtection/>
  <mergeCells count="5">
    <mergeCell ref="A10:A11"/>
    <mergeCell ref="B10:E10"/>
    <mergeCell ref="A7:E7"/>
    <mergeCell ref="A5:E5"/>
    <mergeCell ref="A6:E6"/>
  </mergeCells>
  <printOptions horizontalCentered="1"/>
  <pageMargins left="0.2362204724409449" right="0.31496062992125984" top="0.4724409448818898" bottom="0.7480314960629921" header="0.31496062992125984" footer="0.31496062992125984"/>
  <pageSetup horizontalDpi="600" verticalDpi="600" orientation="landscape" scale="95" r:id="rId2"/>
  <drawing r:id="rId1"/>
</worksheet>
</file>

<file path=xl/worksheets/sheet13.xml><?xml version="1.0" encoding="utf-8"?>
<worksheet xmlns="http://schemas.openxmlformats.org/spreadsheetml/2006/main" xmlns:r="http://schemas.openxmlformats.org/officeDocument/2006/relationships">
  <dimension ref="A5:J30"/>
  <sheetViews>
    <sheetView zoomScalePageLayoutView="0" workbookViewId="0" topLeftCell="A7">
      <selection activeCell="A10" sqref="A10:E30"/>
    </sheetView>
  </sheetViews>
  <sheetFormatPr defaultColWidth="11.421875" defaultRowHeight="12.75"/>
  <cols>
    <col min="1" max="1" width="45.421875" style="285" customWidth="1"/>
    <col min="2" max="2" width="23.421875" style="285" bestFit="1" customWidth="1"/>
    <col min="3" max="4" width="19.8515625" style="285" customWidth="1"/>
    <col min="5" max="5" width="14.421875" style="285" customWidth="1"/>
    <col min="6" max="6" width="22.7109375" style="285" hidden="1" customWidth="1"/>
    <col min="7" max="7" width="14.7109375" style="285" hidden="1" customWidth="1"/>
    <col min="8" max="8" width="17.140625" style="285" bestFit="1" customWidth="1"/>
    <col min="9" max="16384" width="11.421875" style="285" customWidth="1"/>
  </cols>
  <sheetData>
    <row r="5" spans="1:5" ht="18">
      <c r="A5" s="877"/>
      <c r="B5" s="877"/>
      <c r="C5" s="877"/>
      <c r="D5" s="877"/>
      <c r="E5" s="877"/>
    </row>
    <row r="6" spans="1:10" ht="21.75" customHeight="1">
      <c r="A6" s="883" t="s">
        <v>810</v>
      </c>
      <c r="B6" s="883"/>
      <c r="C6" s="883"/>
      <c r="D6" s="883"/>
      <c r="E6" s="883"/>
      <c r="F6" s="651"/>
      <c r="G6" s="651"/>
      <c r="H6" s="651"/>
      <c r="I6" s="651"/>
      <c r="J6" s="651"/>
    </row>
    <row r="7" spans="1:10" ht="26.25">
      <c r="A7" s="883" t="s">
        <v>816</v>
      </c>
      <c r="B7" s="883"/>
      <c r="C7" s="883"/>
      <c r="D7" s="883"/>
      <c r="E7" s="883"/>
      <c r="F7" s="651"/>
      <c r="G7" s="651"/>
      <c r="H7" s="651"/>
      <c r="I7" s="651"/>
      <c r="J7" s="651"/>
    </row>
    <row r="9" ht="18.75" thickBot="1"/>
    <row r="10" spans="1:5" ht="19.5" customHeight="1" thickTop="1">
      <c r="A10" s="884" t="s">
        <v>803</v>
      </c>
      <c r="B10" s="886" t="s">
        <v>815</v>
      </c>
      <c r="C10" s="886" t="s">
        <v>804</v>
      </c>
      <c r="D10" s="888" t="s">
        <v>802</v>
      </c>
      <c r="E10" s="890" t="s">
        <v>106</v>
      </c>
    </row>
    <row r="11" spans="1:5" ht="18">
      <c r="A11" s="885"/>
      <c r="B11" s="887"/>
      <c r="C11" s="887"/>
      <c r="D11" s="889"/>
      <c r="E11" s="891"/>
    </row>
    <row r="12" spans="1:7" ht="18">
      <c r="A12" s="744" t="s">
        <v>787</v>
      </c>
      <c r="B12" s="721">
        <v>136517510</v>
      </c>
      <c r="C12" s="287">
        <f>+C13+3500000</f>
        <v>176433717.525</v>
      </c>
      <c r="D12" s="287">
        <f>+C12-B12</f>
        <v>39916207.525000006</v>
      </c>
      <c r="E12" s="755">
        <f>+D12/B12</f>
        <v>0.2923889215749687</v>
      </c>
      <c r="F12" s="711">
        <f>+F13+3500000</f>
        <v>1750000.2632901475</v>
      </c>
      <c r="G12" s="712">
        <f>+F12/F15*100</f>
        <v>511253567.4477915</v>
      </c>
    </row>
    <row r="13" spans="1:7" ht="18">
      <c r="A13" s="744" t="s">
        <v>788</v>
      </c>
      <c r="B13" s="721">
        <v>114041304</v>
      </c>
      <c r="C13" s="287">
        <f>(C23-C14-3500000)/2</f>
        <v>172933717.525</v>
      </c>
      <c r="D13" s="287">
        <f>+C13-B13</f>
        <v>58892413.525000006</v>
      </c>
      <c r="E13" s="755">
        <f>+D13/B13</f>
        <v>0.5164130140514703</v>
      </c>
      <c r="F13" s="711">
        <f>+(E23-E14-3500000)/2</f>
        <v>-1749999.7367098525</v>
      </c>
      <c r="G13" s="548">
        <f>+F13/F15*100</f>
        <v>-511253413.61006933</v>
      </c>
    </row>
    <row r="14" spans="1:9" ht="18">
      <c r="A14" s="744" t="s">
        <v>789</v>
      </c>
      <c r="B14" s="721">
        <v>24769923</v>
      </c>
      <c r="C14" s="287">
        <f>+'[2]subsidio'!$B$10</f>
        <v>20205214</v>
      </c>
      <c r="D14" s="287">
        <f>+C14-B14</f>
        <v>-4564709</v>
      </c>
      <c r="E14" s="755">
        <f>+D14/B14</f>
        <v>-0.18428434355649795</v>
      </c>
      <c r="F14" s="548">
        <f>+E14</f>
        <v>-0.18428434355649795</v>
      </c>
      <c r="G14" s="548">
        <f>+F14/F15*100</f>
        <v>-53.83772222462411</v>
      </c>
      <c r="I14" s="285">
        <f>26256321/172633922</f>
        <v>0.15209247809361592</v>
      </c>
    </row>
    <row r="15" spans="1:7" ht="18.75" thickBot="1">
      <c r="A15" s="319" t="s">
        <v>324</v>
      </c>
      <c r="B15" s="765">
        <f>SUM(B12:B14)</f>
        <v>275328737</v>
      </c>
      <c r="C15" s="756">
        <f>SUM(C12:C14)</f>
        <v>369572649.05</v>
      </c>
      <c r="D15" s="756">
        <f>+C15-B15</f>
        <v>94243912.05000001</v>
      </c>
      <c r="E15" s="325">
        <f>+D15/B15</f>
        <v>0.3422959516572366</v>
      </c>
      <c r="F15" s="548">
        <f>SUM(F12:F14)</f>
        <v>0.34229595150333203</v>
      </c>
      <c r="G15" s="712">
        <f>SUM(G12:G14)</f>
        <v>99.99999995764975</v>
      </c>
    </row>
    <row r="16" spans="2:5" ht="19.5" thickBot="1" thickTop="1">
      <c r="B16" s="548"/>
      <c r="C16" s="547"/>
      <c r="D16" s="547"/>
      <c r="E16" s="547"/>
    </row>
    <row r="17" spans="1:5" ht="18.75" thickTop="1">
      <c r="A17" s="742" t="s">
        <v>790</v>
      </c>
      <c r="B17" s="766"/>
      <c r="C17" s="758"/>
      <c r="D17" s="758"/>
      <c r="E17" s="747"/>
    </row>
    <row r="18" spans="1:8" ht="18">
      <c r="A18" s="744" t="s">
        <v>791</v>
      </c>
      <c r="B18" s="721">
        <v>215980030</v>
      </c>
      <c r="C18" s="714">
        <f>+'presentacion 1 jd'!B20</f>
        <v>259565079.12</v>
      </c>
      <c r="D18" s="714">
        <f>+C18-B18</f>
        <v>43585049.120000005</v>
      </c>
      <c r="E18" s="755">
        <f aca="true" t="shared" si="0" ref="E18:E23">+D18/B18</f>
        <v>0.2018012920916809</v>
      </c>
      <c r="H18" s="548"/>
    </row>
    <row r="19" spans="1:5" ht="18">
      <c r="A19" s="744" t="s">
        <v>792</v>
      </c>
      <c r="B19" s="721">
        <v>13920773</v>
      </c>
      <c r="C19" s="714">
        <f>+'presentacion 1 jd'!B21</f>
        <v>23502138.3</v>
      </c>
      <c r="D19" s="714">
        <f>+C19-B19</f>
        <v>9581365.3</v>
      </c>
      <c r="E19" s="755">
        <f t="shared" si="0"/>
        <v>0.6882782515022694</v>
      </c>
    </row>
    <row r="20" spans="1:6" ht="18">
      <c r="A20" s="744" t="s">
        <v>793</v>
      </c>
      <c r="B20" s="721">
        <v>37930666</v>
      </c>
      <c r="C20" s="714">
        <f>+'presentacion 1 jd'!B22</f>
        <v>69094568.63</v>
      </c>
      <c r="D20" s="714">
        <f>+C20-B20</f>
        <v>31163902.629999995</v>
      </c>
      <c r="E20" s="755">
        <f t="shared" si="0"/>
        <v>0.8216017780969096</v>
      </c>
      <c r="F20" s="547"/>
    </row>
    <row r="21" spans="1:6" ht="18">
      <c r="A21" s="744" t="s">
        <v>794</v>
      </c>
      <c r="B21" s="721">
        <v>3610125</v>
      </c>
      <c r="C21" s="714">
        <f>+'presentacion 1 jd'!B23</f>
        <v>12275550</v>
      </c>
      <c r="D21" s="714">
        <f>+C21-B21</f>
        <v>8665425</v>
      </c>
      <c r="E21" s="755">
        <f t="shared" si="0"/>
        <v>2.400311623558741</v>
      </c>
      <c r="F21" s="547"/>
    </row>
    <row r="22" spans="1:5" ht="18">
      <c r="A22" s="744" t="s">
        <v>273</v>
      </c>
      <c r="B22" s="721">
        <f>+'[4]presupuesto oscar mexia'!B24</f>
        <v>3887143</v>
      </c>
      <c r="C22" s="714">
        <f>+'presentacion 1 jd'!B24</f>
        <v>5135313</v>
      </c>
      <c r="D22" s="714">
        <f>+C22-B22</f>
        <v>1248170</v>
      </c>
      <c r="E22" s="755">
        <f t="shared" si="0"/>
        <v>0.3211021565195826</v>
      </c>
    </row>
    <row r="23" spans="1:8" ht="18.75" thickBot="1">
      <c r="A23" s="319" t="s">
        <v>796</v>
      </c>
      <c r="B23" s="726">
        <f>SUM(B18:B22)</f>
        <v>275328737</v>
      </c>
      <c r="C23" s="759">
        <f>SUM(C18:C22)</f>
        <v>369572649.05</v>
      </c>
      <c r="D23" s="759">
        <f>SUM(D18:D22)</f>
        <v>94243912.05</v>
      </c>
      <c r="E23" s="325">
        <f t="shared" si="0"/>
        <v>0.34229595165723653</v>
      </c>
      <c r="F23" s="711"/>
      <c r="H23" s="711"/>
    </row>
    <row r="24" spans="1:8" s="717" customFormat="1" ht="18.75" thickTop="1">
      <c r="A24" s="315"/>
      <c r="B24" s="722"/>
      <c r="C24" s="715"/>
      <c r="D24" s="715"/>
      <c r="E24" s="715"/>
      <c r="F24" s="716"/>
      <c r="H24" s="716"/>
    </row>
    <row r="25" spans="1:8" s="717" customFormat="1" ht="18" hidden="1">
      <c r="A25" s="713" t="s">
        <v>797</v>
      </c>
      <c r="B25" s="723">
        <f>+B15-B23</f>
        <v>0</v>
      </c>
      <c r="C25" s="718">
        <f>+C15-C23</f>
        <v>0</v>
      </c>
      <c r="D25" s="718"/>
      <c r="E25" s="718">
        <f>+E15-E23</f>
        <v>0</v>
      </c>
      <c r="F25" s="716"/>
      <c r="H25" s="716"/>
    </row>
    <row r="26" spans="1:8" s="717" customFormat="1" ht="18" hidden="1">
      <c r="A26" s="315"/>
      <c r="B26" s="722"/>
      <c r="C26" s="719"/>
      <c r="D26" s="719"/>
      <c r="E26" s="719"/>
      <c r="F26" s="716"/>
      <c r="H26" s="716"/>
    </row>
    <row r="27" spans="1:8" s="717" customFormat="1" ht="18" hidden="1">
      <c r="A27" s="315"/>
      <c r="B27" s="722"/>
      <c r="C27" s="719"/>
      <c r="D27" s="719"/>
      <c r="E27" s="719"/>
      <c r="F27" s="716"/>
      <c r="H27" s="716"/>
    </row>
    <row r="28" spans="1:8" s="717" customFormat="1" ht="18.75" thickBot="1">
      <c r="A28" s="315"/>
      <c r="B28" s="722"/>
      <c r="C28" s="719"/>
      <c r="D28" s="719"/>
      <c r="E28" s="719"/>
      <c r="F28" s="716"/>
      <c r="H28" s="716"/>
    </row>
    <row r="29" spans="1:6" ht="18.75" thickTop="1">
      <c r="A29" s="750" t="s">
        <v>798</v>
      </c>
      <c r="B29" s="760">
        <v>224279000</v>
      </c>
      <c r="C29" s="760">
        <v>89303000</v>
      </c>
      <c r="D29" s="760">
        <f>+C29-B29</f>
        <v>-134976000</v>
      </c>
      <c r="E29" s="755">
        <f>+D29/B29</f>
        <v>-0.6018218379785891</v>
      </c>
      <c r="F29" s="548"/>
    </row>
    <row r="30" spans="1:6" ht="18.75" thickBot="1">
      <c r="A30" s="752" t="s">
        <v>324</v>
      </c>
      <c r="B30" s="762">
        <f>+B29+B23</f>
        <v>499607737</v>
      </c>
      <c r="C30" s="763">
        <f>+C29+C23</f>
        <v>458875649.05</v>
      </c>
      <c r="D30" s="763">
        <f>+C30-B30</f>
        <v>-40732087.94999999</v>
      </c>
      <c r="E30" s="325">
        <f>+E29+E23</f>
        <v>-0.2595258863213526</v>
      </c>
      <c r="F30" s="548"/>
    </row>
    <row r="31" ht="18.75" thickTop="1"/>
  </sheetData>
  <sheetProtection/>
  <mergeCells count="8">
    <mergeCell ref="A5:E5"/>
    <mergeCell ref="A6:E6"/>
    <mergeCell ref="A7:E7"/>
    <mergeCell ref="A10:A11"/>
    <mergeCell ref="B10:B11"/>
    <mergeCell ref="C10:C11"/>
    <mergeCell ref="D10:D11"/>
    <mergeCell ref="E10:E11"/>
  </mergeCells>
  <printOptions horizontalCentered="1"/>
  <pageMargins left="0.2362204724409449" right="0.31496062992125984" top="0.4724409448818898" bottom="0.7480314960629921" header="0.31496062992125984" footer="0.31496062992125984"/>
  <pageSetup horizontalDpi="600" verticalDpi="600" orientation="landscape" scale="9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4:I33"/>
  <sheetViews>
    <sheetView zoomScalePageLayoutView="0" workbookViewId="0" topLeftCell="B16">
      <selection activeCell="C9" sqref="C9:H30"/>
    </sheetView>
  </sheetViews>
  <sheetFormatPr defaultColWidth="11.421875" defaultRowHeight="12.75"/>
  <cols>
    <col min="1" max="1" width="0" style="0" hidden="1" customWidth="1"/>
    <col min="3" max="3" width="45.7109375" style="0" customWidth="1"/>
    <col min="4" max="4" width="10.57421875" style="0" customWidth="1"/>
    <col min="5" max="5" width="19.7109375" style="0" customWidth="1"/>
    <col min="6" max="6" width="19.421875" style="0" customWidth="1"/>
    <col min="7" max="7" width="19.00390625" style="0" customWidth="1"/>
    <col min="8" max="8" width="25.140625" style="0" bestFit="1" customWidth="1"/>
    <col min="9" max="9" width="22.7109375" style="0" bestFit="1" customWidth="1"/>
  </cols>
  <sheetData>
    <row r="1" s="285" customFormat="1" ht="18"/>
    <row r="2" s="285" customFormat="1" ht="18"/>
    <row r="3" s="285" customFormat="1" ht="18"/>
    <row r="4" spans="3:4" s="285" customFormat="1" ht="15" customHeight="1">
      <c r="C4" s="286"/>
      <c r="D4" s="286"/>
    </row>
    <row r="5" spans="3:8" s="285" customFormat="1" ht="26.25">
      <c r="C5" s="873" t="s">
        <v>314</v>
      </c>
      <c r="D5" s="873"/>
      <c r="E5" s="873"/>
      <c r="F5" s="873"/>
      <c r="G5" s="873"/>
      <c r="H5" s="873"/>
    </row>
    <row r="6" spans="3:8" s="285" customFormat="1" ht="26.25">
      <c r="C6" s="873" t="s">
        <v>814</v>
      </c>
      <c r="D6" s="873"/>
      <c r="E6" s="873"/>
      <c r="F6" s="873"/>
      <c r="G6" s="873"/>
      <c r="H6" s="873"/>
    </row>
    <row r="7" spans="3:8" s="285" customFormat="1" ht="26.25">
      <c r="C7" s="873"/>
      <c r="D7" s="873"/>
      <c r="E7" s="873"/>
      <c r="F7" s="873"/>
      <c r="G7" s="873"/>
      <c r="H7" s="873"/>
    </row>
    <row r="8" s="285" customFormat="1" ht="18.75" thickBot="1"/>
    <row r="9" spans="3:8" s="285" customFormat="1" ht="20.25" customHeight="1" thickTop="1">
      <c r="C9" s="895" t="s">
        <v>169</v>
      </c>
      <c r="D9" s="897" t="s">
        <v>808</v>
      </c>
      <c r="E9" s="892" t="s">
        <v>261</v>
      </c>
      <c r="F9" s="893"/>
      <c r="G9" s="893"/>
      <c r="H9" s="894"/>
    </row>
    <row r="10" spans="3:8" s="285" customFormat="1" ht="31.5">
      <c r="C10" s="896"/>
      <c r="D10" s="898"/>
      <c r="E10" s="729" t="s">
        <v>268</v>
      </c>
      <c r="F10" s="729" t="s">
        <v>806</v>
      </c>
      <c r="G10" s="729" t="s">
        <v>328</v>
      </c>
      <c r="H10" s="730" t="s">
        <v>106</v>
      </c>
    </row>
    <row r="11" spans="3:9" s="285" customFormat="1" ht="36">
      <c r="C11" s="724" t="s">
        <v>805</v>
      </c>
      <c r="D11" s="362">
        <v>1</v>
      </c>
      <c r="E11" s="441">
        <f>214397233.51+10383200.8</f>
        <v>224780434.31</v>
      </c>
      <c r="F11" s="441">
        <f>+'analisis reduccion areas'!G24</f>
        <v>70669476.8</v>
      </c>
      <c r="G11" s="441">
        <f>+E11+F11</f>
        <v>295449911.11</v>
      </c>
      <c r="H11" s="728">
        <f aca="true" t="shared" si="0" ref="H11:H22">+G11/$G$26*100</f>
        <v>79.94366248838956</v>
      </c>
      <c r="I11" s="548"/>
    </row>
    <row r="12" spans="1:9" s="285" customFormat="1" ht="18">
      <c r="A12" s="285">
        <v>1</v>
      </c>
      <c r="C12" s="293" t="s">
        <v>564</v>
      </c>
      <c r="D12" s="362">
        <v>31</v>
      </c>
      <c r="E12" s="441">
        <v>6201517.29</v>
      </c>
      <c r="F12" s="441">
        <f>+'analisis reduccion areas'!F12</f>
        <v>4620291.5</v>
      </c>
      <c r="G12" s="441">
        <f aca="true" t="shared" si="1" ref="G12:G22">+E12+F12</f>
        <v>10821808.79</v>
      </c>
      <c r="H12" s="728">
        <f t="shared" si="0"/>
        <v>2.9281952604803654</v>
      </c>
      <c r="I12" s="548"/>
    </row>
    <row r="13" spans="1:8" s="285" customFormat="1" ht="18">
      <c r="A13" s="285">
        <v>2</v>
      </c>
      <c r="C13" s="294" t="s">
        <v>639</v>
      </c>
      <c r="D13" s="363">
        <v>17</v>
      </c>
      <c r="E13" s="441">
        <v>3206310.52</v>
      </c>
      <c r="F13" s="441">
        <f>+'analisis reduccion areas'!F13</f>
        <v>708970</v>
      </c>
      <c r="G13" s="441">
        <f t="shared" si="1"/>
        <v>3915280.52</v>
      </c>
      <c r="H13" s="728">
        <f t="shared" si="0"/>
        <v>1.0594075431002974</v>
      </c>
    </row>
    <row r="14" spans="1:9" s="285" customFormat="1" ht="18">
      <c r="A14" s="285">
        <v>4</v>
      </c>
      <c r="C14" s="294" t="s">
        <v>66</v>
      </c>
      <c r="D14" s="363">
        <v>13</v>
      </c>
      <c r="E14" s="441">
        <v>3360112.93</v>
      </c>
      <c r="F14" s="441">
        <f>+'analisis reduccion areas'!F14</f>
        <v>396623</v>
      </c>
      <c r="G14" s="441">
        <f t="shared" si="1"/>
        <v>3756735.93</v>
      </c>
      <c r="H14" s="728">
        <f t="shared" si="0"/>
        <v>1.0165081049359679</v>
      </c>
      <c r="I14" s="547"/>
    </row>
    <row r="15" spans="1:8" s="285" customFormat="1" ht="18">
      <c r="A15" s="285">
        <v>5</v>
      </c>
      <c r="C15" s="294" t="s">
        <v>597</v>
      </c>
      <c r="D15" s="363">
        <v>12</v>
      </c>
      <c r="E15" s="441">
        <v>6947624.79</v>
      </c>
      <c r="F15" s="441">
        <f>+'analisis reduccion areas'!F15</f>
        <v>22335079</v>
      </c>
      <c r="G15" s="441">
        <f t="shared" si="1"/>
        <v>29282703.79</v>
      </c>
      <c r="H15" s="728">
        <f t="shared" si="0"/>
        <v>7.923395812644777</v>
      </c>
    </row>
    <row r="16" spans="1:8" s="285" customFormat="1" ht="18">
      <c r="A16" s="285">
        <v>6</v>
      </c>
      <c r="C16" s="294" t="s">
        <v>669</v>
      </c>
      <c r="D16" s="363">
        <v>11</v>
      </c>
      <c r="E16" s="441">
        <v>3893646.2</v>
      </c>
      <c r="F16" s="441">
        <f>+'analisis reduccion areas'!F16-'analisis reduccion areas'!E23</f>
        <v>4234095.5</v>
      </c>
      <c r="G16" s="441">
        <f t="shared" si="1"/>
        <v>8127741.7</v>
      </c>
      <c r="H16" s="728">
        <f t="shared" si="0"/>
        <v>2.199227059559665</v>
      </c>
    </row>
    <row r="17" spans="1:8" s="285" customFormat="1" ht="18">
      <c r="A17" s="285">
        <v>7</v>
      </c>
      <c r="C17" s="294" t="s">
        <v>110</v>
      </c>
      <c r="D17" s="363">
        <v>3</v>
      </c>
      <c r="E17" s="441">
        <v>1424200.26</v>
      </c>
      <c r="F17" s="441">
        <f>+'analisis reduccion areas'!F17</f>
        <v>1380244</v>
      </c>
      <c r="G17" s="441">
        <f t="shared" si="1"/>
        <v>2804444.26</v>
      </c>
      <c r="H17" s="728">
        <f t="shared" si="0"/>
        <v>0.7588343639929871</v>
      </c>
    </row>
    <row r="18" spans="3:8" s="285" customFormat="1" ht="18">
      <c r="C18" s="294" t="s">
        <v>812</v>
      </c>
      <c r="D18" s="363">
        <v>4</v>
      </c>
      <c r="E18" s="441">
        <v>2252115.17</v>
      </c>
      <c r="F18" s="441">
        <f>+'analisis reduccion areas'!F21</f>
        <v>219979</v>
      </c>
      <c r="G18" s="441">
        <f>+E18+F18</f>
        <v>2472094.17</v>
      </c>
      <c r="H18" s="728">
        <f t="shared" si="0"/>
        <v>0.6689061479947978</v>
      </c>
    </row>
    <row r="19" spans="1:8" s="285" customFormat="1" ht="18">
      <c r="A19" s="285">
        <v>9</v>
      </c>
      <c r="C19" s="294" t="s">
        <v>813</v>
      </c>
      <c r="D19" s="363">
        <v>2</v>
      </c>
      <c r="E19" s="441">
        <v>851005.04</v>
      </c>
      <c r="F19" s="441">
        <f>+'analisis reduccion areas'!F19</f>
        <v>100890</v>
      </c>
      <c r="G19" s="441">
        <f t="shared" si="1"/>
        <v>951895.04</v>
      </c>
      <c r="H19" s="728">
        <f t="shared" si="0"/>
        <v>0.2575664196893252</v>
      </c>
    </row>
    <row r="20" spans="1:8" s="285" customFormat="1" ht="18">
      <c r="A20" s="285">
        <v>8</v>
      </c>
      <c r="C20" s="294" t="s">
        <v>629</v>
      </c>
      <c r="D20" s="363">
        <v>2</v>
      </c>
      <c r="E20" s="441">
        <v>1844368.1</v>
      </c>
      <c r="F20" s="441">
        <f>+'analisis reduccion areas'!F18</f>
        <v>201450</v>
      </c>
      <c r="G20" s="441">
        <f>+E20+F20</f>
        <v>2045818.1</v>
      </c>
      <c r="H20" s="728">
        <f t="shared" si="0"/>
        <v>0.5535631778821096</v>
      </c>
    </row>
    <row r="21" spans="1:8" s="285" customFormat="1" ht="18">
      <c r="A21" s="285">
        <v>10</v>
      </c>
      <c r="C21" s="294" t="s">
        <v>603</v>
      </c>
      <c r="D21" s="363">
        <v>1</v>
      </c>
      <c r="E21" s="642">
        <v>1303744.52</v>
      </c>
      <c r="F21" s="441">
        <f>+'analisis reduccion areas'!F20</f>
        <v>5158</v>
      </c>
      <c r="G21" s="441">
        <f t="shared" si="1"/>
        <v>1308902.52</v>
      </c>
      <c r="H21" s="728">
        <f t="shared" si="0"/>
        <v>0.35416650117090154</v>
      </c>
    </row>
    <row r="22" spans="1:8" s="285" customFormat="1" ht="18.75" thickBot="1">
      <c r="A22" s="285">
        <v>11</v>
      </c>
      <c r="C22" s="295" t="s">
        <v>271</v>
      </c>
      <c r="D22" s="364"/>
      <c r="E22" s="442"/>
      <c r="F22" s="442">
        <f>+'analisis reduccion areas'!E23</f>
        <v>5135313</v>
      </c>
      <c r="G22" s="441">
        <f t="shared" si="1"/>
        <v>5135313</v>
      </c>
      <c r="H22" s="728">
        <f t="shared" si="0"/>
        <v>1.3895273405291066</v>
      </c>
    </row>
    <row r="23" spans="3:8" s="285" customFormat="1" ht="19.5" thickBot="1" thickTop="1">
      <c r="C23" s="303" t="s">
        <v>807</v>
      </c>
      <c r="D23" s="361">
        <f>SUM(D11:D22)</f>
        <v>97</v>
      </c>
      <c r="E23" s="443">
        <f>SUM(E11:E22)</f>
        <v>256065079.12999997</v>
      </c>
      <c r="F23" s="443">
        <f>SUM(F11:F22)</f>
        <v>110007569.8</v>
      </c>
      <c r="G23" s="443">
        <f>+E23+F23</f>
        <v>366072648.92999995</v>
      </c>
      <c r="H23" s="767">
        <f>SUM(H11:H22)</f>
        <v>99.05296022036988</v>
      </c>
    </row>
    <row r="24" spans="5:9" ht="14.25" thickBot="1" thickTop="1">
      <c r="E24" s="550"/>
      <c r="F24" s="550"/>
      <c r="G24" s="550"/>
      <c r="H24" s="731"/>
      <c r="I24" s="549"/>
    </row>
    <row r="25" spans="3:8" s="285" customFormat="1" ht="18.75" thickTop="1">
      <c r="C25" s="300" t="s">
        <v>651</v>
      </c>
      <c r="D25" s="732"/>
      <c r="E25" s="444">
        <v>3500000</v>
      </c>
      <c r="F25" s="596"/>
      <c r="G25" s="733">
        <f>+E25+F25</f>
        <v>3500000</v>
      </c>
      <c r="H25" s="734">
        <f>+G25/$G$26*100</f>
        <v>0.9470397796301556</v>
      </c>
    </row>
    <row r="26" spans="3:8" s="283" customFormat="1" ht="18.75" thickBot="1">
      <c r="C26" s="319" t="s">
        <v>807</v>
      </c>
      <c r="D26" s="366">
        <f>+D23</f>
        <v>97</v>
      </c>
      <c r="E26" s="307">
        <f>+E23+E25</f>
        <v>259565079.12999997</v>
      </c>
      <c r="F26" s="307">
        <f>+F23+F25</f>
        <v>110007569.8</v>
      </c>
      <c r="G26" s="307">
        <f>+G23+G25</f>
        <v>369572648.92999995</v>
      </c>
      <c r="H26" s="767">
        <f>+H25+H23</f>
        <v>100.00000000000004</v>
      </c>
    </row>
    <row r="27" spans="3:8" s="725" customFormat="1" ht="19.5" thickBot="1" thickTop="1">
      <c r="C27" s="315"/>
      <c r="D27" s="315"/>
      <c r="E27" s="316"/>
      <c r="F27" s="316"/>
      <c r="G27" s="316"/>
      <c r="H27" s="316"/>
    </row>
    <row r="28" spans="1:8" s="285" customFormat="1" ht="19.5" thickBot="1" thickTop="1">
      <c r="A28" s="735"/>
      <c r="B28" s="717"/>
      <c r="C28" s="737" t="s">
        <v>811</v>
      </c>
      <c r="D28" s="738"/>
      <c r="E28" s="739"/>
      <c r="F28" s="740">
        <f>+'presentacion 2 jd  (2)'!C29</f>
        <v>89303000</v>
      </c>
      <c r="G28" s="741">
        <f>+F28</f>
        <v>89303000</v>
      </c>
      <c r="H28" s="736"/>
    </row>
    <row r="29" spans="3:8" s="285" customFormat="1" ht="19.5" thickBot="1" thickTop="1">
      <c r="C29" s="297"/>
      <c r="D29" s="297"/>
      <c r="E29" s="298"/>
      <c r="F29" s="298"/>
      <c r="G29" s="298"/>
      <c r="H29" s="298"/>
    </row>
    <row r="30" spans="3:8" s="283" customFormat="1" ht="32.25" customHeight="1" thickBot="1" thickTop="1">
      <c r="C30" s="303" t="s">
        <v>655</v>
      </c>
      <c r="D30" s="361">
        <f>+D23</f>
        <v>97</v>
      </c>
      <c r="E30" s="304">
        <f>+E26+E28</f>
        <v>259565079.12999997</v>
      </c>
      <c r="F30" s="304">
        <f>+F26+F28</f>
        <v>199310569.8</v>
      </c>
      <c r="G30" s="304">
        <f>+G26+G28</f>
        <v>458875648.92999995</v>
      </c>
      <c r="H30" s="727"/>
    </row>
    <row r="31" ht="13.5" thickTop="1">
      <c r="H31" s="296"/>
    </row>
    <row r="33" ht="12.75">
      <c r="H33" s="549"/>
    </row>
  </sheetData>
  <sheetProtection/>
  <mergeCells count="6">
    <mergeCell ref="E9:H9"/>
    <mergeCell ref="C5:H5"/>
    <mergeCell ref="C7:H7"/>
    <mergeCell ref="C6:H6"/>
    <mergeCell ref="C9:C10"/>
    <mergeCell ref="D9:D10"/>
  </mergeCells>
  <printOptions/>
  <pageMargins left="0.67" right="0.2362204724409449" top="0.31496062992125984" bottom="0.3937007874015748" header="0" footer="0"/>
  <pageSetup fitToHeight="1" fitToWidth="1" horizontalDpi="600" verticalDpi="600" orientation="landscape" scale="8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4:I34"/>
  <sheetViews>
    <sheetView zoomScalePageLayoutView="0" workbookViewId="0" topLeftCell="C16">
      <selection activeCell="C14" sqref="C14"/>
    </sheetView>
  </sheetViews>
  <sheetFormatPr defaultColWidth="11.421875" defaultRowHeight="12.75"/>
  <cols>
    <col min="1" max="1" width="0" style="0" hidden="1" customWidth="1"/>
    <col min="2" max="2" width="45.7109375" style="0" customWidth="1"/>
    <col min="3" max="4" width="10.57421875" style="0" customWidth="1"/>
    <col min="5" max="7" width="19.7109375" style="0" customWidth="1"/>
    <col min="8" max="8" width="25.140625" style="0" bestFit="1" customWidth="1"/>
    <col min="9" max="9" width="17.140625" style="0" bestFit="1" customWidth="1"/>
  </cols>
  <sheetData>
    <row r="1" s="285" customFormat="1" ht="18"/>
    <row r="2" s="285" customFormat="1" ht="18"/>
    <row r="3" s="285" customFormat="1" ht="18"/>
    <row r="4" spans="2:4" s="285" customFormat="1" ht="15" customHeight="1">
      <c r="B4" s="286"/>
      <c r="C4" s="286"/>
      <c r="D4" s="286"/>
    </row>
    <row r="5" spans="2:8" s="285" customFormat="1" ht="26.25">
      <c r="B5" s="873" t="s">
        <v>799</v>
      </c>
      <c r="C5" s="873"/>
      <c r="D5" s="873"/>
      <c r="E5" s="873"/>
      <c r="F5" s="873"/>
      <c r="G5" s="873"/>
      <c r="H5" s="873"/>
    </row>
    <row r="6" spans="2:8" s="285" customFormat="1" ht="26.25">
      <c r="B6" s="873" t="s">
        <v>800</v>
      </c>
      <c r="C6" s="873"/>
      <c r="D6" s="873"/>
      <c r="E6" s="873"/>
      <c r="F6" s="873"/>
      <c r="G6" s="873"/>
      <c r="H6" s="873"/>
    </row>
    <row r="7" spans="2:8" s="285" customFormat="1" ht="26.25">
      <c r="B7" s="873"/>
      <c r="C7" s="873"/>
      <c r="D7" s="873"/>
      <c r="E7" s="873"/>
      <c r="F7" s="873"/>
      <c r="G7" s="873"/>
      <c r="H7" s="873"/>
    </row>
    <row r="8" s="285" customFormat="1" ht="18.75" thickBot="1"/>
    <row r="9" spans="2:8" s="285" customFormat="1" ht="21" thickTop="1">
      <c r="B9" s="899" t="s">
        <v>169</v>
      </c>
      <c r="C9" s="902" t="s">
        <v>636</v>
      </c>
      <c r="D9" s="903"/>
      <c r="E9" s="902" t="s">
        <v>261</v>
      </c>
      <c r="F9" s="902"/>
      <c r="G9" s="902"/>
      <c r="H9" s="904"/>
    </row>
    <row r="10" spans="2:8" s="285" customFormat="1" ht="20.25">
      <c r="B10" s="900"/>
      <c r="C10" s="609"/>
      <c r="D10" s="608"/>
      <c r="E10" s="905" t="s">
        <v>262</v>
      </c>
      <c r="F10" s="907" t="s">
        <v>263</v>
      </c>
      <c r="G10" s="908"/>
      <c r="H10" s="909"/>
    </row>
    <row r="11" spans="2:8" s="285" customFormat="1" ht="31.5">
      <c r="B11" s="901"/>
      <c r="C11" s="649" t="s">
        <v>259</v>
      </c>
      <c r="D11" s="649" t="s">
        <v>260</v>
      </c>
      <c r="E11" s="906"/>
      <c r="F11" s="650" t="s">
        <v>264</v>
      </c>
      <c r="G11" s="650" t="s">
        <v>265</v>
      </c>
      <c r="H11" s="646" t="s">
        <v>328</v>
      </c>
    </row>
    <row r="12" spans="1:9" s="285" customFormat="1" ht="18">
      <c r="A12" s="285">
        <v>1</v>
      </c>
      <c r="B12" s="293" t="s">
        <v>564</v>
      </c>
      <c r="C12" s="362">
        <v>33</v>
      </c>
      <c r="D12" s="362">
        <v>31</v>
      </c>
      <c r="E12" s="441">
        <v>41152367.02</v>
      </c>
      <c r="F12" s="441">
        <v>4620291.5</v>
      </c>
      <c r="G12" s="441">
        <v>25787244.8</v>
      </c>
      <c r="H12" s="640">
        <f aca="true" t="shared" si="0" ref="H12:H23">+F12+G12</f>
        <v>30407536.3</v>
      </c>
      <c r="I12" s="548"/>
    </row>
    <row r="13" spans="1:8" s="285" customFormat="1" ht="18">
      <c r="A13" s="285">
        <v>2</v>
      </c>
      <c r="B13" s="294" t="s">
        <v>639</v>
      </c>
      <c r="C13" s="363">
        <v>21</v>
      </c>
      <c r="D13" s="363">
        <v>17</v>
      </c>
      <c r="E13" s="441">
        <f>+'4. PRESUPUESTO  CECYTES  modif.'!D26</f>
        <v>7582100</v>
      </c>
      <c r="F13" s="441">
        <v>708970</v>
      </c>
      <c r="G13" s="441">
        <v>5245460</v>
      </c>
      <c r="H13" s="640">
        <f t="shared" si="0"/>
        <v>5954430</v>
      </c>
    </row>
    <row r="14" spans="1:9" s="285" customFormat="1" ht="18">
      <c r="A14" s="285">
        <v>4</v>
      </c>
      <c r="B14" s="294" t="s">
        <v>66</v>
      </c>
      <c r="C14" s="363">
        <v>13</v>
      </c>
      <c r="D14" s="363">
        <v>13</v>
      </c>
      <c r="E14" s="441">
        <f>+'4. PRESUPUESTO  CECYTES  modif.'!D672</f>
        <v>1104153</v>
      </c>
      <c r="F14" s="441">
        <v>396623</v>
      </c>
      <c r="G14" s="441">
        <v>422830</v>
      </c>
      <c r="H14" s="640">
        <f t="shared" si="0"/>
        <v>819453</v>
      </c>
      <c r="I14" s="547"/>
    </row>
    <row r="15" spans="1:8" s="285" customFormat="1" ht="18">
      <c r="A15" s="285">
        <v>5</v>
      </c>
      <c r="B15" s="294" t="s">
        <v>597</v>
      </c>
      <c r="C15" s="363">
        <v>12</v>
      </c>
      <c r="D15" s="363">
        <v>12</v>
      </c>
      <c r="E15" s="441">
        <f>+'4. PRESUPUESTO  CECYTES  modif.'!D474</f>
        <v>24967579.25</v>
      </c>
      <c r="F15" s="441">
        <v>22335079</v>
      </c>
      <c r="G15" s="441">
        <v>33211594</v>
      </c>
      <c r="H15" s="640">
        <f t="shared" si="0"/>
        <v>55546673</v>
      </c>
    </row>
    <row r="16" spans="1:8" s="285" customFormat="1" ht="18">
      <c r="A16" s="285">
        <v>6</v>
      </c>
      <c r="B16" s="294" t="s">
        <v>669</v>
      </c>
      <c r="C16" s="363">
        <v>11</v>
      </c>
      <c r="D16" s="363">
        <v>11</v>
      </c>
      <c r="E16" s="441">
        <f>+'4. PRESUPUESTO  CECYTES  modif.'!D250-E23</f>
        <v>4682164.5</v>
      </c>
      <c r="F16" s="441">
        <f>7369408.5+200000+1800000</f>
        <v>9369408.5</v>
      </c>
      <c r="G16" s="441">
        <f>618069+2000000</f>
        <v>2618069</v>
      </c>
      <c r="H16" s="640">
        <f t="shared" si="0"/>
        <v>11987477.5</v>
      </c>
    </row>
    <row r="17" spans="1:8" s="285" customFormat="1" ht="18">
      <c r="A17" s="285">
        <v>7</v>
      </c>
      <c r="B17" s="294" t="s">
        <v>110</v>
      </c>
      <c r="C17" s="363">
        <v>15</v>
      </c>
      <c r="D17" s="363">
        <v>3</v>
      </c>
      <c r="E17" s="441">
        <f>+'4. PRESUPUESTO  CECYTES  modif.'!D313</f>
        <v>5974651</v>
      </c>
      <c r="F17" s="441">
        <f>1380244</f>
        <v>1380244</v>
      </c>
      <c r="G17" s="441">
        <v>341047</v>
      </c>
      <c r="H17" s="640">
        <f t="shared" si="0"/>
        <v>1721291</v>
      </c>
    </row>
    <row r="18" spans="1:8" s="285" customFormat="1" ht="18">
      <c r="A18" s="285">
        <v>8</v>
      </c>
      <c r="B18" s="294" t="s">
        <v>629</v>
      </c>
      <c r="C18" s="363">
        <v>2</v>
      </c>
      <c r="D18" s="363">
        <v>2</v>
      </c>
      <c r="E18" s="441">
        <f>+'4. PRESUPUESTO  CECYTES  modif.'!D6</f>
        <v>201450</v>
      </c>
      <c r="F18" s="441">
        <v>201450</v>
      </c>
      <c r="G18" s="441">
        <v>0</v>
      </c>
      <c r="H18" s="640">
        <f t="shared" si="0"/>
        <v>201450</v>
      </c>
    </row>
    <row r="19" spans="1:8" s="285" customFormat="1" ht="18">
      <c r="A19" s="285">
        <v>9</v>
      </c>
      <c r="B19" s="294" t="s">
        <v>662</v>
      </c>
      <c r="C19" s="363">
        <v>3</v>
      </c>
      <c r="D19" s="363">
        <v>2</v>
      </c>
      <c r="E19" s="441">
        <f>+'4. PRESUPUESTO  CECYTES  modif.'!D451</f>
        <v>135000</v>
      </c>
      <c r="F19" s="441">
        <v>100890</v>
      </c>
      <c r="G19" s="441">
        <v>0</v>
      </c>
      <c r="H19" s="640">
        <f t="shared" si="0"/>
        <v>100890</v>
      </c>
    </row>
    <row r="20" spans="1:8" s="285" customFormat="1" ht="18">
      <c r="A20" s="285">
        <v>10</v>
      </c>
      <c r="B20" s="294" t="s">
        <v>603</v>
      </c>
      <c r="C20" s="363">
        <v>1</v>
      </c>
      <c r="D20" s="363">
        <v>1</v>
      </c>
      <c r="E20" s="441">
        <f>+'4. PRESUPUESTO  CECYTES  modif.'!D1066</f>
        <v>151800</v>
      </c>
      <c r="F20" s="441">
        <v>5158</v>
      </c>
      <c r="G20" s="441">
        <v>443766</v>
      </c>
      <c r="H20" s="640">
        <f t="shared" si="0"/>
        <v>448924</v>
      </c>
    </row>
    <row r="21" spans="2:8" s="285" customFormat="1" ht="18">
      <c r="B21" s="294" t="s">
        <v>80</v>
      </c>
      <c r="C21" s="363"/>
      <c r="D21" s="363">
        <v>4</v>
      </c>
      <c r="E21" s="441"/>
      <c r="F21" s="441">
        <v>219979</v>
      </c>
      <c r="G21" s="441">
        <v>2599466</v>
      </c>
      <c r="H21" s="640">
        <f t="shared" si="0"/>
        <v>2819445</v>
      </c>
    </row>
    <row r="22" spans="1:8" s="285" customFormat="1" ht="18">
      <c r="A22" s="285">
        <v>3</v>
      </c>
      <c r="B22" s="294" t="s">
        <v>600</v>
      </c>
      <c r="C22" s="363">
        <v>1</v>
      </c>
      <c r="D22" s="363">
        <v>1</v>
      </c>
      <c r="E22" s="441">
        <f>+'4. PRESUPUESTO  CECYTES  modif.'!D607</f>
        <v>36480094</v>
      </c>
      <c r="F22" s="441"/>
      <c r="G22" s="441"/>
      <c r="H22" s="640">
        <f t="shared" si="0"/>
        <v>0</v>
      </c>
    </row>
    <row r="23" spans="1:8" s="285" customFormat="1" ht="18.75" thickBot="1">
      <c r="A23" s="285">
        <v>11</v>
      </c>
      <c r="B23" s="295" t="s">
        <v>271</v>
      </c>
      <c r="C23" s="364"/>
      <c r="D23" s="364"/>
      <c r="E23" s="442">
        <f>+'4. PRESUPUESTO  CECYTES  modif.'!D269</f>
        <v>5135313</v>
      </c>
      <c r="F23" s="442"/>
      <c r="G23" s="442"/>
      <c r="H23" s="640">
        <f t="shared" si="0"/>
        <v>0</v>
      </c>
    </row>
    <row r="24" spans="2:8" s="285" customFormat="1" ht="19.5" thickBot="1" thickTop="1">
      <c r="B24" s="303" t="s">
        <v>654</v>
      </c>
      <c r="C24" s="361">
        <f aca="true" t="shared" si="1" ref="C24:H24">SUM(C12:C23)</f>
        <v>112</v>
      </c>
      <c r="D24" s="361">
        <f t="shared" si="1"/>
        <v>97</v>
      </c>
      <c r="E24" s="443">
        <f t="shared" si="1"/>
        <v>127566671.77000001</v>
      </c>
      <c r="F24" s="443">
        <f t="shared" si="1"/>
        <v>39338093</v>
      </c>
      <c r="G24" s="443">
        <f t="shared" si="1"/>
        <v>70669476.8</v>
      </c>
      <c r="H24" s="641">
        <f t="shared" si="1"/>
        <v>110007569.8</v>
      </c>
    </row>
    <row r="25" spans="5:9" ht="14.25" thickBot="1" thickTop="1">
      <c r="E25" s="550"/>
      <c r="F25" s="550"/>
      <c r="G25" s="550"/>
      <c r="H25" s="552"/>
      <c r="I25" s="549"/>
    </row>
    <row r="26" spans="2:8" s="285" customFormat="1" ht="18.75" thickTop="1">
      <c r="B26" s="300" t="s">
        <v>650</v>
      </c>
      <c r="C26" s="365"/>
      <c r="D26" s="365"/>
      <c r="E26" s="444">
        <v>284193130.99</v>
      </c>
      <c r="F26" s="444">
        <v>31663542.97</v>
      </c>
      <c r="G26" s="596">
        <v>214018335.35</v>
      </c>
      <c r="H26" s="640">
        <f>+F26+G26</f>
        <v>245681878.32</v>
      </c>
    </row>
    <row r="27" spans="2:8" s="285" customFormat="1" ht="18">
      <c r="B27" s="294" t="s">
        <v>651</v>
      </c>
      <c r="C27" s="363">
        <v>1</v>
      </c>
      <c r="D27" s="363">
        <v>1</v>
      </c>
      <c r="E27" s="441">
        <f>+'presupuesto 1000'!B11</f>
        <v>3500000</v>
      </c>
      <c r="F27" s="441"/>
      <c r="G27" s="597">
        <v>3500000</v>
      </c>
      <c r="H27" s="640">
        <f>+G27+F27</f>
        <v>3500000</v>
      </c>
    </row>
    <row r="28" spans="2:8" s="285" customFormat="1" ht="18">
      <c r="B28" s="294" t="s">
        <v>266</v>
      </c>
      <c r="C28" s="363"/>
      <c r="D28" s="363"/>
      <c r="E28" s="441">
        <v>10383201</v>
      </c>
      <c r="F28" s="441"/>
      <c r="G28" s="597">
        <v>10383200.8</v>
      </c>
      <c r="H28" s="640">
        <f>+F28+G28</f>
        <v>10383200.8</v>
      </c>
    </row>
    <row r="29" spans="2:8" s="283" customFormat="1" ht="18.75" thickBot="1">
      <c r="B29" s="319" t="s">
        <v>653</v>
      </c>
      <c r="C29" s="366">
        <f>SUM(C27:C28)</f>
        <v>1</v>
      </c>
      <c r="D29" s="366">
        <f>SUM(D27:D28)</f>
        <v>1</v>
      </c>
      <c r="E29" s="307">
        <f>SUM(E26:E28)</f>
        <v>298076331.99</v>
      </c>
      <c r="F29" s="307">
        <f>SUM(F26:F28)</f>
        <v>31663542.97</v>
      </c>
      <c r="G29" s="307">
        <f>SUM(G26:G28)</f>
        <v>227901536.15</v>
      </c>
      <c r="H29" s="307">
        <f>SUM(H26:H28)</f>
        <v>259565079.12</v>
      </c>
    </row>
    <row r="30" spans="2:8" s="285" customFormat="1" ht="19.5" thickBot="1" thickTop="1">
      <c r="B30" s="297"/>
      <c r="C30" s="297"/>
      <c r="D30" s="297"/>
      <c r="E30" s="298"/>
      <c r="F30" s="298"/>
      <c r="G30" s="298"/>
      <c r="H30" s="551"/>
    </row>
    <row r="31" spans="2:8" s="283" customFormat="1" ht="32.25" customHeight="1" thickBot="1" thickTop="1">
      <c r="B31" s="303" t="s">
        <v>655</v>
      </c>
      <c r="C31" s="361">
        <f>+C24</f>
        <v>112</v>
      </c>
      <c r="D31" s="361">
        <f>+D24</f>
        <v>97</v>
      </c>
      <c r="E31" s="304">
        <f>+E24+E29</f>
        <v>425643003.76</v>
      </c>
      <c r="F31" s="304">
        <f>+F24+F29</f>
        <v>71001635.97</v>
      </c>
      <c r="G31" s="304">
        <f>+G24+G29</f>
        <v>298571012.95</v>
      </c>
      <c r="H31" s="304">
        <f>+H24+H29</f>
        <v>369572648.92</v>
      </c>
    </row>
    <row r="32" ht="13.5" thickTop="1">
      <c r="H32" s="296"/>
    </row>
    <row r="34" ht="12.75">
      <c r="H34" s="549"/>
    </row>
  </sheetData>
  <sheetProtection/>
  <mergeCells count="8">
    <mergeCell ref="B5:H5"/>
    <mergeCell ref="B6:H6"/>
    <mergeCell ref="B7:H7"/>
    <mergeCell ref="B9:B11"/>
    <mergeCell ref="C9:D9"/>
    <mergeCell ref="E9:H9"/>
    <mergeCell ref="E10:E11"/>
    <mergeCell ref="F10:H10"/>
  </mergeCells>
  <printOptions/>
  <pageMargins left="0.3937007874015748" right="0.2362204724409449" top="0.31496062992125984" bottom="0.3937007874015748" header="0" footer="0"/>
  <pageSetup fitToHeight="1" fitToWidth="1" horizontalDpi="600" verticalDpi="600" orientation="landscape" scale="8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4:F14"/>
  <sheetViews>
    <sheetView zoomScalePageLayoutView="0" workbookViewId="0" topLeftCell="B1">
      <selection activeCell="B6" sqref="B6:E6"/>
    </sheetView>
  </sheetViews>
  <sheetFormatPr defaultColWidth="11.421875" defaultRowHeight="12.75"/>
  <cols>
    <col min="1" max="1" width="0" style="0" hidden="1" customWidth="1"/>
    <col min="2" max="2" width="45.7109375" style="0" customWidth="1"/>
    <col min="3" max="3" width="19.7109375" style="0" customWidth="1"/>
    <col min="4" max="4" width="20.7109375" style="0" customWidth="1"/>
    <col min="5" max="5" width="25.140625" style="0" bestFit="1" customWidth="1"/>
    <col min="6" max="6" width="17.140625" style="0" bestFit="1" customWidth="1"/>
  </cols>
  <sheetData>
    <row r="1" s="285" customFormat="1" ht="18"/>
    <row r="2" s="285" customFormat="1" ht="18"/>
    <row r="3" s="285" customFormat="1" ht="18"/>
    <row r="4" s="285" customFormat="1" ht="15" customHeight="1">
      <c r="B4" s="286"/>
    </row>
    <row r="5" spans="2:5" s="285" customFormat="1" ht="26.25">
      <c r="B5" s="873" t="s">
        <v>314</v>
      </c>
      <c r="C5" s="873"/>
      <c r="D5" s="873"/>
      <c r="E5" s="873"/>
    </row>
    <row r="6" spans="2:5" s="285" customFormat="1" ht="26.25">
      <c r="B6" s="873"/>
      <c r="C6" s="873"/>
      <c r="D6" s="873"/>
      <c r="E6" s="873"/>
    </row>
    <row r="7" spans="2:5" s="285" customFormat="1" ht="26.25">
      <c r="B7" s="873"/>
      <c r="C7" s="873"/>
      <c r="D7" s="873"/>
      <c r="E7" s="873"/>
    </row>
    <row r="8" s="285" customFormat="1" ht="18.75" thickBot="1"/>
    <row r="9" spans="2:5" s="285" customFormat="1" ht="21" thickTop="1">
      <c r="B9" s="913" t="s">
        <v>107</v>
      </c>
      <c r="C9" s="910" t="s">
        <v>261</v>
      </c>
      <c r="D9" s="911"/>
      <c r="E9" s="912"/>
    </row>
    <row r="10" spans="2:5" s="285" customFormat="1" ht="18" customHeight="1">
      <c r="B10" s="914"/>
      <c r="C10" s="915" t="s">
        <v>268</v>
      </c>
      <c r="D10" s="915" t="s">
        <v>269</v>
      </c>
      <c r="E10" s="647"/>
    </row>
    <row r="11" spans="2:5" s="285" customFormat="1" ht="18">
      <c r="B11" s="914"/>
      <c r="C11" s="916"/>
      <c r="D11" s="916"/>
      <c r="E11" s="648" t="s">
        <v>328</v>
      </c>
    </row>
    <row r="12" spans="1:6" s="285" customFormat="1" ht="34.5" customHeight="1">
      <c r="A12" s="285">
        <v>1</v>
      </c>
      <c r="B12" s="293" t="s">
        <v>600</v>
      </c>
      <c r="C12" s="642" t="e">
        <f>+'present jd'!#REF!+'present jd'!F25+'present jd'!#REF!</f>
        <v>#REF!</v>
      </c>
      <c r="D12" s="642">
        <f>+'present jd'!F23</f>
        <v>110007569.8</v>
      </c>
      <c r="E12" s="643" t="e">
        <f>+D12+C12</f>
        <v>#REF!</v>
      </c>
      <c r="F12" s="548"/>
    </row>
    <row r="13" spans="1:5" s="285" customFormat="1" ht="34.5" customHeight="1">
      <c r="A13" s="285">
        <v>2</v>
      </c>
      <c r="B13" s="293" t="s">
        <v>267</v>
      </c>
      <c r="C13" s="642" t="e">
        <f>+'present jd'!#REF!</f>
        <v>#REF!</v>
      </c>
      <c r="D13" s="642">
        <f>+'present jd'!E23</f>
        <v>256065079.12999997</v>
      </c>
      <c r="E13" s="643" t="e">
        <f>+D13+C13</f>
        <v>#REF!</v>
      </c>
    </row>
    <row r="14" spans="2:5" ht="39" customHeight="1">
      <c r="B14" s="644" t="s">
        <v>270</v>
      </c>
      <c r="C14" s="645" t="e">
        <f>SUM(C12:C13)</f>
        <v>#REF!</v>
      </c>
      <c r="D14" s="645">
        <f>SUM(D12:D13)</f>
        <v>366072648.92999995</v>
      </c>
      <c r="E14" s="645" t="e">
        <f>SUM(E12:E13)</f>
        <v>#REF!</v>
      </c>
    </row>
  </sheetData>
  <sheetProtection/>
  <mergeCells count="7">
    <mergeCell ref="B5:E5"/>
    <mergeCell ref="B7:E7"/>
    <mergeCell ref="C9:E9"/>
    <mergeCell ref="B6:E6"/>
    <mergeCell ref="B9:B11"/>
    <mergeCell ref="C10:C11"/>
    <mergeCell ref="D10:D11"/>
  </mergeCells>
  <printOptions horizontalCentered="1"/>
  <pageMargins left="0.3937007874015748" right="0.2362204724409449" top="0.31496062992125984" bottom="0.3937007874015748" header="0" footer="0"/>
  <pageSetup fitToHeight="1" fitToWidth="1" horizontalDpi="600" verticalDpi="600" orientation="landscape"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4:D38"/>
  <sheetViews>
    <sheetView zoomScalePageLayoutView="0" workbookViewId="0" topLeftCell="A1">
      <selection activeCell="C11" sqref="C11"/>
    </sheetView>
  </sheetViews>
  <sheetFormatPr defaultColWidth="11.421875" defaultRowHeight="12.75"/>
  <cols>
    <col min="1" max="1" width="43.28125" style="0" customWidth="1"/>
    <col min="2" max="2" width="23.421875" style="0" customWidth="1"/>
    <col min="3" max="3" width="27.140625" style="0" customWidth="1"/>
    <col min="4" max="4" width="22.28125" style="0" customWidth="1"/>
  </cols>
  <sheetData>
    <row r="1" s="285" customFormat="1" ht="18"/>
    <row r="2" s="285" customFormat="1" ht="18"/>
    <row r="3" s="285" customFormat="1" ht="18"/>
    <row r="4" spans="1:2" s="285" customFormat="1" ht="15" customHeight="1">
      <c r="A4" s="286"/>
      <c r="B4" s="286"/>
    </row>
    <row r="5" spans="1:4" s="285" customFormat="1" ht="26.25">
      <c r="A5" s="873" t="s">
        <v>105</v>
      </c>
      <c r="B5" s="873"/>
      <c r="C5" s="873"/>
      <c r="D5" s="873"/>
    </row>
    <row r="6" spans="1:4" s="285" customFormat="1" ht="26.25">
      <c r="A6" s="873" t="s">
        <v>108</v>
      </c>
      <c r="B6" s="873"/>
      <c r="C6" s="873"/>
      <c r="D6" s="873"/>
    </row>
    <row r="7" spans="1:4" s="285" customFormat="1" ht="26.25">
      <c r="A7" s="873" t="s">
        <v>109</v>
      </c>
      <c r="B7" s="873"/>
      <c r="C7" s="873"/>
      <c r="D7" s="873"/>
    </row>
    <row r="8" s="285" customFormat="1" ht="18.75" thickBot="1"/>
    <row r="9" spans="1:4" s="285" customFormat="1" ht="21" thickTop="1">
      <c r="A9" s="917" t="s">
        <v>107</v>
      </c>
      <c r="B9" s="919"/>
      <c r="C9" s="919"/>
      <c r="D9" s="904"/>
    </row>
    <row r="10" spans="1:4" s="285" customFormat="1" ht="21" thickBot="1">
      <c r="A10" s="918"/>
      <c r="B10" s="290">
        <v>2007</v>
      </c>
      <c r="C10" s="290">
        <v>2008</v>
      </c>
      <c r="D10" s="291" t="s">
        <v>106</v>
      </c>
    </row>
    <row r="11" spans="1:4" s="285" customFormat="1" ht="21" thickTop="1">
      <c r="A11" s="293" t="s">
        <v>564</v>
      </c>
      <c r="B11" s="288">
        <v>14336628</v>
      </c>
      <c r="C11" s="288" t="e">
        <f>+'present jd'!#REF!</f>
        <v>#REF!</v>
      </c>
      <c r="D11" s="289" t="e">
        <f>C11/B11-1</f>
        <v>#REF!</v>
      </c>
    </row>
    <row r="12" spans="1:4" s="285" customFormat="1" ht="20.25">
      <c r="A12" s="294" t="s">
        <v>639</v>
      </c>
      <c r="B12" s="287">
        <v>1895000</v>
      </c>
      <c r="C12" s="287" t="e">
        <f>+'present jd'!#REF!</f>
        <v>#REF!</v>
      </c>
      <c r="D12" s="289" t="e">
        <f>C12/B12-1</f>
        <v>#REF!</v>
      </c>
    </row>
    <row r="13" spans="1:4" s="285" customFormat="1" ht="20.25">
      <c r="A13" s="294" t="s">
        <v>600</v>
      </c>
      <c r="B13" s="287">
        <v>28600784.72</v>
      </c>
      <c r="C13" s="287" t="e">
        <f>+'present jd'!#REF!</f>
        <v>#REF!</v>
      </c>
      <c r="D13" s="289" t="e">
        <f>C13/B13-1</f>
        <v>#REF!</v>
      </c>
    </row>
    <row r="14" spans="1:4" s="285" customFormat="1" ht="20.25">
      <c r="A14" s="311" t="s">
        <v>329</v>
      </c>
      <c r="B14" s="312">
        <f>SUM(B11:B13)</f>
        <v>44832412.72</v>
      </c>
      <c r="C14" s="312" t="e">
        <f>SUM(C11:C13)</f>
        <v>#REF!</v>
      </c>
      <c r="D14" s="313" t="e">
        <f>C14/B14-1</f>
        <v>#REF!</v>
      </c>
    </row>
    <row r="15" spans="1:4" s="285" customFormat="1" ht="20.25">
      <c r="A15" s="294"/>
      <c r="B15" s="287"/>
      <c r="C15" s="287"/>
      <c r="D15" s="289"/>
    </row>
    <row r="16" spans="1:4" s="285" customFormat="1" ht="20.25">
      <c r="A16" s="294" t="s">
        <v>66</v>
      </c>
      <c r="B16" s="287">
        <v>608058.1</v>
      </c>
      <c r="C16" s="287" t="e">
        <f>+'present jd'!#REF!</f>
        <v>#REF!</v>
      </c>
      <c r="D16" s="289" t="e">
        <f aca="true" t="shared" si="0" ref="D16:D25">C16/B16-1</f>
        <v>#REF!</v>
      </c>
    </row>
    <row r="17" spans="1:4" s="285" customFormat="1" ht="20.25">
      <c r="A17" s="294" t="s">
        <v>597</v>
      </c>
      <c r="B17" s="287">
        <v>22161484.17</v>
      </c>
      <c r="C17" s="287" t="e">
        <f>+'present jd'!#REF!</f>
        <v>#REF!</v>
      </c>
      <c r="D17" s="289" t="e">
        <f t="shared" si="0"/>
        <v>#REF!</v>
      </c>
    </row>
    <row r="18" spans="1:4" s="285" customFormat="1" ht="20.25">
      <c r="A18" s="294" t="s">
        <v>669</v>
      </c>
      <c r="B18" s="287">
        <f>7064283-3887143</f>
        <v>3177140</v>
      </c>
      <c r="C18" s="287" t="e">
        <f>+'present jd'!#REF!</f>
        <v>#REF!</v>
      </c>
      <c r="D18" s="289" t="e">
        <f t="shared" si="0"/>
        <v>#REF!</v>
      </c>
    </row>
    <row r="19" spans="1:4" s="285" customFormat="1" ht="20.25">
      <c r="A19" s="294" t="s">
        <v>110</v>
      </c>
      <c r="B19" s="287">
        <f>3202750.8-50000</f>
        <v>3152750.8</v>
      </c>
      <c r="C19" s="287" t="e">
        <f>+'present jd'!#REF!</f>
        <v>#REF!</v>
      </c>
      <c r="D19" s="289" t="e">
        <f t="shared" si="0"/>
        <v>#REF!</v>
      </c>
    </row>
    <row r="20" spans="1:4" s="285" customFormat="1" ht="20.25">
      <c r="A20" s="294" t="s">
        <v>629</v>
      </c>
      <c r="B20" s="287">
        <v>161100</v>
      </c>
      <c r="C20" s="287" t="e">
        <f>+'present jd'!#REF!</f>
        <v>#REF!</v>
      </c>
      <c r="D20" s="289" t="e">
        <f t="shared" si="0"/>
        <v>#REF!</v>
      </c>
    </row>
    <row r="21" spans="1:4" s="285" customFormat="1" ht="20.25">
      <c r="A21" s="294" t="s">
        <v>662</v>
      </c>
      <c r="B21" s="287">
        <v>50000</v>
      </c>
      <c r="C21" s="287" t="e">
        <f>+'present jd'!#REF!</f>
        <v>#REF!</v>
      </c>
      <c r="D21" s="289" t="e">
        <f t="shared" si="0"/>
        <v>#REF!</v>
      </c>
    </row>
    <row r="22" spans="1:4" s="285" customFormat="1" ht="20.25">
      <c r="A22" s="294" t="s">
        <v>603</v>
      </c>
      <c r="B22" s="287">
        <v>138000</v>
      </c>
      <c r="C22" s="287" t="e">
        <f>+'present jd'!#REF!</f>
        <v>#REF!</v>
      </c>
      <c r="D22" s="289" t="e">
        <f t="shared" si="0"/>
        <v>#REF!</v>
      </c>
    </row>
    <row r="23" spans="1:4" s="285" customFormat="1" ht="20.25">
      <c r="A23" s="295" t="s">
        <v>103</v>
      </c>
      <c r="B23" s="292">
        <v>3887143</v>
      </c>
      <c r="C23" s="292" t="e">
        <f>+'present jd'!#REF!</f>
        <v>#REF!</v>
      </c>
      <c r="D23" s="289" t="e">
        <f t="shared" si="0"/>
        <v>#REF!</v>
      </c>
    </row>
    <row r="24" spans="1:4" s="285" customFormat="1" ht="21" thickBot="1">
      <c r="A24" s="311" t="s">
        <v>330</v>
      </c>
      <c r="B24" s="312">
        <f>SUM(B16:B23)</f>
        <v>33335676.070000004</v>
      </c>
      <c r="C24" s="312" t="e">
        <f>SUM(C16:C23)</f>
        <v>#REF!</v>
      </c>
      <c r="D24" s="313" t="e">
        <f t="shared" si="0"/>
        <v>#REF!</v>
      </c>
    </row>
    <row r="25" spans="1:4" s="285" customFormat="1" ht="21.75" thickBot="1" thickTop="1">
      <c r="A25" s="303" t="s">
        <v>654</v>
      </c>
      <c r="B25" s="304">
        <f>+B14+B24</f>
        <v>78168088.79</v>
      </c>
      <c r="C25" s="304" t="e">
        <f>+C14+C24</f>
        <v>#REF!</v>
      </c>
      <c r="D25" s="305" t="e">
        <f t="shared" si="0"/>
        <v>#REF!</v>
      </c>
    </row>
    <row r="26" spans="1:4" s="314" customFormat="1" ht="21" thickTop="1">
      <c r="A26" s="315"/>
      <c r="B26" s="316"/>
      <c r="C26" s="316"/>
      <c r="D26" s="299"/>
    </row>
    <row r="27" ht="13.5" thickBot="1">
      <c r="C27" s="296"/>
    </row>
    <row r="28" spans="1:4" s="285" customFormat="1" ht="21" thickTop="1">
      <c r="A28" s="300" t="s">
        <v>650</v>
      </c>
      <c r="B28" s="301">
        <f>198541849.98-3500000</f>
        <v>195041849.98</v>
      </c>
      <c r="C28" s="301">
        <f>+'presupuesto 1000'!D10+'presupuesto 1000'!D12</f>
        <v>256065079.12</v>
      </c>
      <c r="D28" s="302">
        <f>C28/B28-1</f>
        <v>0.3128724893978265</v>
      </c>
    </row>
    <row r="29" spans="1:4" s="285" customFormat="1" ht="20.25">
      <c r="A29" s="294" t="s">
        <v>651</v>
      </c>
      <c r="B29" s="287">
        <v>3500000</v>
      </c>
      <c r="C29" s="287">
        <v>3500000</v>
      </c>
      <c r="D29" s="289">
        <f>C29/B29-1</f>
        <v>0</v>
      </c>
    </row>
    <row r="30" spans="1:4" s="285" customFormat="1" ht="20.25">
      <c r="A30" s="294" t="s">
        <v>652</v>
      </c>
      <c r="B30" s="287">
        <v>10964000</v>
      </c>
      <c r="C30" s="287">
        <v>0</v>
      </c>
      <c r="D30" s="289">
        <f>C30/B30-1</f>
        <v>-1</v>
      </c>
    </row>
    <row r="31" spans="1:4" s="283" customFormat="1" ht="21" thickBot="1">
      <c r="A31" s="306" t="s">
        <v>653</v>
      </c>
      <c r="B31" s="307">
        <f>SUM(B28:B30)</f>
        <v>209505849.98</v>
      </c>
      <c r="C31" s="307">
        <f>SUM(C28:C30)</f>
        <v>259565079.12</v>
      </c>
      <c r="D31" s="308">
        <f>C31/B31-1</f>
        <v>0.2389395291099452</v>
      </c>
    </row>
    <row r="32" spans="1:4" s="285" customFormat="1" ht="21.75" thickBot="1" thickTop="1">
      <c r="A32" s="297"/>
      <c r="B32" s="298"/>
      <c r="C32" s="298"/>
      <c r="D32" s="299"/>
    </row>
    <row r="33" spans="1:4" s="283" customFormat="1" ht="32.25" customHeight="1" thickBot="1" thickTop="1">
      <c r="A33" s="309" t="s">
        <v>655</v>
      </c>
      <c r="B33" s="304">
        <f>+B25+B31</f>
        <v>287673938.77</v>
      </c>
      <c r="C33" s="304" t="e">
        <f>+C25+C31</f>
        <v>#REF!</v>
      </c>
      <c r="D33" s="310" t="e">
        <f>C33/B33-1</f>
        <v>#REF!</v>
      </c>
    </row>
    <row r="34" ht="13.5" thickTop="1"/>
    <row r="35" ht="13.5" thickBot="1"/>
    <row r="36" spans="1:3" ht="18.75" thickTop="1">
      <c r="A36" s="317" t="s">
        <v>331</v>
      </c>
      <c r="B36" s="320">
        <f>+B14/B25</f>
        <v>0.5735385553616782</v>
      </c>
      <c r="C36" s="323" t="e">
        <f>+C14/C25</f>
        <v>#REF!</v>
      </c>
    </row>
    <row r="37" spans="1:3" ht="18">
      <c r="A37" s="318" t="s">
        <v>332</v>
      </c>
      <c r="B37" s="321">
        <f>+B24/B25</f>
        <v>0.4264614446383217</v>
      </c>
      <c r="C37" s="324" t="e">
        <f>+C24/C25</f>
        <v>#REF!</v>
      </c>
    </row>
    <row r="38" spans="1:3" ht="18.75" thickBot="1">
      <c r="A38" s="319" t="s">
        <v>328</v>
      </c>
      <c r="B38" s="322">
        <f>SUM(B36:B37)</f>
        <v>0.9999999999999999</v>
      </c>
      <c r="C38" s="325" t="e">
        <f>SUM(C36:C37)</f>
        <v>#REF!</v>
      </c>
    </row>
    <row r="39" ht="13.5" thickTop="1"/>
  </sheetData>
  <sheetProtection/>
  <mergeCells count="5">
    <mergeCell ref="A5:D5"/>
    <mergeCell ref="A7:D7"/>
    <mergeCell ref="A9:A10"/>
    <mergeCell ref="B9:D9"/>
    <mergeCell ref="A6:D6"/>
  </mergeCells>
  <printOptions/>
  <pageMargins left="1.94" right="0.5" top="0.45" bottom="0.4" header="0" footer="0"/>
  <pageSetup fitToHeight="1" fitToWidth="1" horizontalDpi="600" verticalDpi="600" orientation="landscape"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998"/>
  <sheetViews>
    <sheetView zoomScalePageLayoutView="0" workbookViewId="0" topLeftCell="A22">
      <selection activeCell="J13" sqref="J13"/>
    </sheetView>
  </sheetViews>
  <sheetFormatPr defaultColWidth="11.421875" defaultRowHeight="12.75"/>
  <cols>
    <col min="1" max="1" width="8.421875" style="0" customWidth="1"/>
    <col min="12" max="19" width="11.421875" style="25" customWidth="1"/>
  </cols>
  <sheetData>
    <row r="1" spans="1:11" ht="12.75">
      <c r="A1" s="2"/>
      <c r="B1" s="770" t="s">
        <v>166</v>
      </c>
      <c r="C1" s="770"/>
      <c r="D1" s="770"/>
      <c r="E1" s="770"/>
      <c r="F1" s="770"/>
      <c r="G1" s="770"/>
      <c r="H1" s="1"/>
      <c r="I1" s="1"/>
      <c r="J1" s="1"/>
      <c r="K1" s="1"/>
    </row>
    <row r="2" spans="1:11" ht="12.75">
      <c r="A2" s="2"/>
      <c r="B2" s="770"/>
      <c r="C2" s="770"/>
      <c r="D2" s="770"/>
      <c r="E2" s="770"/>
      <c r="F2" s="770"/>
      <c r="G2" s="770"/>
      <c r="H2" s="1"/>
      <c r="I2" s="1"/>
      <c r="J2" s="1"/>
      <c r="K2" s="1"/>
    </row>
    <row r="3" spans="1:11" ht="12.75">
      <c r="A3" s="2"/>
      <c r="B3" s="770" t="s">
        <v>627</v>
      </c>
      <c r="C3" s="770"/>
      <c r="D3" s="770"/>
      <c r="E3" s="770"/>
      <c r="F3" s="770"/>
      <c r="G3" s="770"/>
      <c r="H3" s="1"/>
      <c r="I3" s="1"/>
      <c r="J3" s="1"/>
      <c r="K3" s="1"/>
    </row>
    <row r="4" spans="1:11" ht="13.5" thickBot="1">
      <c r="A4" s="11"/>
      <c r="B4" s="804" t="s">
        <v>193</v>
      </c>
      <c r="C4" s="804"/>
      <c r="D4" s="804"/>
      <c r="E4" s="804"/>
      <c r="F4" s="804"/>
      <c r="G4" s="804"/>
      <c r="H4" s="804"/>
      <c r="I4" s="804"/>
      <c r="J4" s="804"/>
      <c r="K4" s="12"/>
    </row>
    <row r="5" spans="1:11" ht="32.25" customHeight="1" thickBot="1">
      <c r="A5" s="807" t="s">
        <v>194</v>
      </c>
      <c r="B5" s="807"/>
      <c r="C5" s="807"/>
      <c r="D5" s="808"/>
      <c r="E5" s="774" t="s">
        <v>209</v>
      </c>
      <c r="F5" s="805"/>
      <c r="G5" s="805"/>
      <c r="H5" s="805"/>
      <c r="I5" s="805"/>
      <c r="J5" s="806"/>
      <c r="K5" s="1"/>
    </row>
    <row r="6" spans="1:11" ht="38.25" customHeight="1" thickBot="1">
      <c r="A6" s="807" t="s">
        <v>195</v>
      </c>
      <c r="B6" s="807"/>
      <c r="C6" s="807"/>
      <c r="D6" s="808"/>
      <c r="E6" s="774" t="s">
        <v>210</v>
      </c>
      <c r="F6" s="775"/>
      <c r="G6" s="775"/>
      <c r="H6" s="775"/>
      <c r="I6" s="775"/>
      <c r="J6" s="776"/>
      <c r="K6" s="1"/>
    </row>
    <row r="7" spans="1:11" ht="13.5" thickBot="1">
      <c r="A7" s="2"/>
      <c r="B7" s="2" t="s">
        <v>155</v>
      </c>
      <c r="C7" s="2"/>
      <c r="D7" s="2"/>
      <c r="E7" s="2"/>
      <c r="F7" s="2"/>
      <c r="G7" s="2"/>
      <c r="H7" s="2"/>
      <c r="I7" s="1"/>
      <c r="J7" s="1"/>
      <c r="K7" s="1"/>
    </row>
    <row r="8" spans="1:11" ht="12.75">
      <c r="A8" s="1"/>
      <c r="B8" s="786" t="s">
        <v>213</v>
      </c>
      <c r="C8" s="787"/>
      <c r="D8" s="787"/>
      <c r="E8" s="787"/>
      <c r="F8" s="787"/>
      <c r="G8" s="787"/>
      <c r="H8" s="787"/>
      <c r="I8" s="788"/>
      <c r="J8" s="1"/>
      <c r="K8" s="1"/>
    </row>
    <row r="9" spans="1:11" ht="12.75">
      <c r="A9" s="1"/>
      <c r="B9" s="789"/>
      <c r="C9" s="790"/>
      <c r="D9" s="790"/>
      <c r="E9" s="790"/>
      <c r="F9" s="790"/>
      <c r="G9" s="790"/>
      <c r="H9" s="790"/>
      <c r="I9" s="791"/>
      <c r="J9" s="1"/>
      <c r="K9" s="1"/>
    </row>
    <row r="10" spans="1:11" ht="12.75">
      <c r="A10" s="1"/>
      <c r="B10" s="789"/>
      <c r="C10" s="790"/>
      <c r="D10" s="790"/>
      <c r="E10" s="790"/>
      <c r="F10" s="790"/>
      <c r="G10" s="790"/>
      <c r="H10" s="790"/>
      <c r="I10" s="791"/>
      <c r="J10" s="1"/>
      <c r="K10" s="1"/>
    </row>
    <row r="11" spans="1:11" ht="12.75">
      <c r="A11" s="1"/>
      <c r="B11" s="789"/>
      <c r="C11" s="790"/>
      <c r="D11" s="790"/>
      <c r="E11" s="790"/>
      <c r="F11" s="790"/>
      <c r="G11" s="790"/>
      <c r="H11" s="790"/>
      <c r="I11" s="791"/>
      <c r="J11" s="1"/>
      <c r="K11" s="1"/>
    </row>
    <row r="12" spans="1:11" ht="13.5" thickBot="1">
      <c r="A12" s="1"/>
      <c r="B12" s="792"/>
      <c r="C12" s="793"/>
      <c r="D12" s="793"/>
      <c r="E12" s="793"/>
      <c r="F12" s="793"/>
      <c r="G12" s="793"/>
      <c r="H12" s="793"/>
      <c r="I12" s="794"/>
      <c r="J12" s="1"/>
      <c r="K12" s="1"/>
    </row>
    <row r="13" spans="1:11" ht="12.75">
      <c r="A13" s="1"/>
      <c r="B13" s="1"/>
      <c r="C13" s="1"/>
      <c r="D13" s="1"/>
      <c r="E13" s="1"/>
      <c r="F13" s="1"/>
      <c r="G13" s="1"/>
      <c r="H13" s="1"/>
      <c r="I13" s="1"/>
      <c r="J13" s="1"/>
      <c r="K13" s="1"/>
    </row>
    <row r="14" spans="1:11" ht="13.5" thickBot="1">
      <c r="A14" s="1"/>
      <c r="B14" s="2" t="s">
        <v>174</v>
      </c>
      <c r="C14" s="2"/>
      <c r="D14" s="2"/>
      <c r="E14" s="1"/>
      <c r="F14" s="2" t="s">
        <v>191</v>
      </c>
      <c r="G14" s="1"/>
      <c r="H14" s="1"/>
      <c r="I14" s="1"/>
      <c r="J14" s="1"/>
      <c r="K14" s="1"/>
    </row>
    <row r="15" spans="1:11" ht="12.75">
      <c r="A15" s="786" t="s">
        <v>211</v>
      </c>
      <c r="B15" s="787"/>
      <c r="C15" s="787"/>
      <c r="D15" s="788"/>
      <c r="E15" s="1"/>
      <c r="F15" s="795" t="s">
        <v>212</v>
      </c>
      <c r="G15" s="796"/>
      <c r="H15" s="796"/>
      <c r="I15" s="796"/>
      <c r="J15" s="797"/>
      <c r="K15" s="1"/>
    </row>
    <row r="16" spans="1:11" ht="12.75">
      <c r="A16" s="789"/>
      <c r="B16" s="790"/>
      <c r="C16" s="790"/>
      <c r="D16" s="791"/>
      <c r="E16" s="1"/>
      <c r="F16" s="798"/>
      <c r="G16" s="799"/>
      <c r="H16" s="799"/>
      <c r="I16" s="799"/>
      <c r="J16" s="800"/>
      <c r="K16" s="1"/>
    </row>
    <row r="17" spans="1:11" ht="12.75">
      <c r="A17" s="789"/>
      <c r="B17" s="790"/>
      <c r="C17" s="790"/>
      <c r="D17" s="791"/>
      <c r="E17" s="1"/>
      <c r="F17" s="798"/>
      <c r="G17" s="799"/>
      <c r="H17" s="799"/>
      <c r="I17" s="799"/>
      <c r="J17" s="800"/>
      <c r="K17" s="1"/>
    </row>
    <row r="18" spans="1:11" ht="12.75">
      <c r="A18" s="789"/>
      <c r="B18" s="790"/>
      <c r="C18" s="790"/>
      <c r="D18" s="791"/>
      <c r="E18" s="1"/>
      <c r="F18" s="798"/>
      <c r="G18" s="799"/>
      <c r="H18" s="799"/>
      <c r="I18" s="799"/>
      <c r="J18" s="800"/>
      <c r="K18" s="1"/>
    </row>
    <row r="19" spans="1:11" ht="12.75">
      <c r="A19" s="789"/>
      <c r="B19" s="790"/>
      <c r="C19" s="790"/>
      <c r="D19" s="791"/>
      <c r="E19" s="1"/>
      <c r="F19" s="798"/>
      <c r="G19" s="799"/>
      <c r="H19" s="799"/>
      <c r="I19" s="799"/>
      <c r="J19" s="800"/>
      <c r="K19" s="1"/>
    </row>
    <row r="20" spans="1:11" ht="12.75">
      <c r="A20" s="789"/>
      <c r="B20" s="790"/>
      <c r="C20" s="790"/>
      <c r="D20" s="791"/>
      <c r="E20" s="1"/>
      <c r="F20" s="798"/>
      <c r="G20" s="799"/>
      <c r="H20" s="799"/>
      <c r="I20" s="799"/>
      <c r="J20" s="800"/>
      <c r="K20" s="1"/>
    </row>
    <row r="21" spans="1:11" ht="12.75">
      <c r="A21" s="789"/>
      <c r="B21" s="790"/>
      <c r="C21" s="790"/>
      <c r="D21" s="791"/>
      <c r="E21" s="1"/>
      <c r="F21" s="798"/>
      <c r="G21" s="799"/>
      <c r="H21" s="799"/>
      <c r="I21" s="799"/>
      <c r="J21" s="800"/>
      <c r="K21" s="1"/>
    </row>
    <row r="22" spans="1:11" ht="12.75">
      <c r="A22" s="789"/>
      <c r="B22" s="790"/>
      <c r="C22" s="790"/>
      <c r="D22" s="791"/>
      <c r="E22" s="1"/>
      <c r="F22" s="798"/>
      <c r="G22" s="799"/>
      <c r="H22" s="799"/>
      <c r="I22" s="799"/>
      <c r="J22" s="800"/>
      <c r="K22" s="1"/>
    </row>
    <row r="23" spans="1:11" ht="12.75">
      <c r="A23" s="789"/>
      <c r="B23" s="790"/>
      <c r="C23" s="790"/>
      <c r="D23" s="791"/>
      <c r="E23" s="1"/>
      <c r="F23" s="798"/>
      <c r="G23" s="799"/>
      <c r="H23" s="799"/>
      <c r="I23" s="799"/>
      <c r="J23" s="800"/>
      <c r="K23" s="1"/>
    </row>
    <row r="24" spans="1:11" ht="12.75">
      <c r="A24" s="789"/>
      <c r="B24" s="790"/>
      <c r="C24" s="790"/>
      <c r="D24" s="791"/>
      <c r="E24" s="1"/>
      <c r="F24" s="798"/>
      <c r="G24" s="799"/>
      <c r="H24" s="799"/>
      <c r="I24" s="799"/>
      <c r="J24" s="800"/>
      <c r="K24" s="1"/>
    </row>
    <row r="25" spans="1:11" ht="13.5" thickBot="1">
      <c r="A25" s="789"/>
      <c r="B25" s="790"/>
      <c r="C25" s="790"/>
      <c r="D25" s="791"/>
      <c r="E25" s="1"/>
      <c r="F25" s="801"/>
      <c r="G25" s="802"/>
      <c r="H25" s="802"/>
      <c r="I25" s="802"/>
      <c r="J25" s="803"/>
      <c r="K25" s="1"/>
    </row>
    <row r="26" spans="1:11" ht="12.75">
      <c r="A26" s="789"/>
      <c r="B26" s="790"/>
      <c r="C26" s="790"/>
      <c r="D26" s="791"/>
      <c r="E26" s="1"/>
      <c r="F26" s="1"/>
      <c r="G26" s="1"/>
      <c r="H26" s="1"/>
      <c r="I26" s="1"/>
      <c r="J26" s="1"/>
      <c r="K26" s="1"/>
    </row>
    <row r="27" spans="1:11" ht="13.5" thickBot="1">
      <c r="A27" s="789"/>
      <c r="B27" s="790"/>
      <c r="C27" s="790"/>
      <c r="D27" s="791"/>
      <c r="E27" s="1"/>
      <c r="F27" s="1"/>
      <c r="G27" s="1"/>
      <c r="H27" s="1"/>
      <c r="I27" s="2" t="s">
        <v>190</v>
      </c>
      <c r="J27" s="1"/>
      <c r="K27" s="1"/>
    </row>
    <row r="28" spans="1:11" ht="12.75">
      <c r="A28" s="789"/>
      <c r="B28" s="790"/>
      <c r="C28" s="790"/>
      <c r="D28" s="791"/>
      <c r="E28" s="5"/>
      <c r="F28" s="4"/>
      <c r="G28" s="4"/>
      <c r="H28" s="777" t="s">
        <v>214</v>
      </c>
      <c r="I28" s="778"/>
      <c r="J28" s="779"/>
      <c r="K28" s="1"/>
    </row>
    <row r="29" spans="1:11" ht="12.75">
      <c r="A29" s="789"/>
      <c r="B29" s="790"/>
      <c r="C29" s="790"/>
      <c r="D29" s="791"/>
      <c r="E29" s="5"/>
      <c r="F29" s="4"/>
      <c r="G29" s="4"/>
      <c r="H29" s="780"/>
      <c r="I29" s="781"/>
      <c r="J29" s="782"/>
      <c r="K29" s="1"/>
    </row>
    <row r="30" spans="1:11" ht="12.75">
      <c r="A30" s="789"/>
      <c r="B30" s="790"/>
      <c r="C30" s="790"/>
      <c r="D30" s="791"/>
      <c r="E30" s="5"/>
      <c r="F30" s="4"/>
      <c r="G30" s="4"/>
      <c r="H30" s="780"/>
      <c r="I30" s="781"/>
      <c r="J30" s="782"/>
      <c r="K30" s="1"/>
    </row>
    <row r="31" spans="1:11" ht="12.75">
      <c r="A31" s="789"/>
      <c r="B31" s="790"/>
      <c r="C31" s="790"/>
      <c r="D31" s="791"/>
      <c r="E31" s="5"/>
      <c r="F31" s="4"/>
      <c r="G31" s="4"/>
      <c r="H31" s="780"/>
      <c r="I31" s="781"/>
      <c r="J31" s="782"/>
      <c r="K31" s="1"/>
    </row>
    <row r="32" spans="1:11" ht="12.75">
      <c r="A32" s="789"/>
      <c r="B32" s="790"/>
      <c r="C32" s="790"/>
      <c r="D32" s="791"/>
      <c r="E32" s="5"/>
      <c r="F32" s="4"/>
      <c r="G32" s="4"/>
      <c r="H32" s="780"/>
      <c r="I32" s="781"/>
      <c r="J32" s="782"/>
      <c r="K32" s="1"/>
    </row>
    <row r="33" spans="1:11" ht="12.75">
      <c r="A33" s="789"/>
      <c r="B33" s="790"/>
      <c r="C33" s="790"/>
      <c r="D33" s="791"/>
      <c r="E33" s="5"/>
      <c r="F33" s="4"/>
      <c r="G33" s="4"/>
      <c r="H33" s="780"/>
      <c r="I33" s="781"/>
      <c r="J33" s="782"/>
      <c r="K33" s="1"/>
    </row>
    <row r="34" spans="1:11" ht="12.75">
      <c r="A34" s="789"/>
      <c r="B34" s="790"/>
      <c r="C34" s="790"/>
      <c r="D34" s="791"/>
      <c r="E34" s="5"/>
      <c r="F34" s="4"/>
      <c r="G34" s="4"/>
      <c r="H34" s="780"/>
      <c r="I34" s="781"/>
      <c r="J34" s="782"/>
      <c r="K34" s="1"/>
    </row>
    <row r="35" spans="1:11" ht="12.75">
      <c r="A35" s="789"/>
      <c r="B35" s="790"/>
      <c r="C35" s="790"/>
      <c r="D35" s="791"/>
      <c r="E35" s="5"/>
      <c r="F35" s="4"/>
      <c r="G35" s="4"/>
      <c r="H35" s="780"/>
      <c r="I35" s="781"/>
      <c r="J35" s="782"/>
      <c r="K35" s="1"/>
    </row>
    <row r="36" spans="1:11" ht="12.75">
      <c r="A36" s="789"/>
      <c r="B36" s="790"/>
      <c r="C36" s="790"/>
      <c r="D36" s="791"/>
      <c r="E36" s="5"/>
      <c r="F36" s="4"/>
      <c r="G36" s="4"/>
      <c r="H36" s="780"/>
      <c r="I36" s="781"/>
      <c r="J36" s="782"/>
      <c r="K36" s="1"/>
    </row>
    <row r="37" spans="1:11" ht="12.75">
      <c r="A37" s="789"/>
      <c r="B37" s="790"/>
      <c r="C37" s="790"/>
      <c r="D37" s="791"/>
      <c r="E37" s="5"/>
      <c r="F37" s="4"/>
      <c r="G37" s="4"/>
      <c r="H37" s="780"/>
      <c r="I37" s="781"/>
      <c r="J37" s="782"/>
      <c r="K37" s="1"/>
    </row>
    <row r="38" spans="1:11" ht="12.75">
      <c r="A38" s="789"/>
      <c r="B38" s="790"/>
      <c r="C38" s="790"/>
      <c r="D38" s="791"/>
      <c r="E38" s="5"/>
      <c r="F38" s="4"/>
      <c r="G38" s="4"/>
      <c r="H38" s="780"/>
      <c r="I38" s="781"/>
      <c r="J38" s="782"/>
      <c r="K38" s="1"/>
    </row>
    <row r="39" spans="1:11" ht="13.5" thickBot="1">
      <c r="A39" s="789"/>
      <c r="B39" s="790"/>
      <c r="C39" s="790"/>
      <c r="D39" s="791"/>
      <c r="E39" s="5"/>
      <c r="F39" s="4"/>
      <c r="G39" s="4"/>
      <c r="H39" s="783"/>
      <c r="I39" s="784"/>
      <c r="J39" s="785"/>
      <c r="K39" s="1"/>
    </row>
    <row r="40" spans="1:11" ht="13.5" thickBot="1">
      <c r="A40" s="789"/>
      <c r="B40" s="790"/>
      <c r="C40" s="790"/>
      <c r="D40" s="791"/>
      <c r="E40" s="5"/>
      <c r="F40" s="5"/>
      <c r="G40" s="5"/>
      <c r="H40" s="6"/>
      <c r="I40" s="7" t="s">
        <v>175</v>
      </c>
      <c r="J40" s="6"/>
      <c r="K40" s="1"/>
    </row>
    <row r="41" spans="1:11" ht="12.75">
      <c r="A41" s="789"/>
      <c r="B41" s="790"/>
      <c r="C41" s="790"/>
      <c r="D41" s="791"/>
      <c r="E41" s="5"/>
      <c r="F41" s="777" t="s">
        <v>215</v>
      </c>
      <c r="G41" s="778"/>
      <c r="H41" s="778"/>
      <c r="I41" s="778"/>
      <c r="J41" s="779"/>
      <c r="K41" s="1"/>
    </row>
    <row r="42" spans="1:11" ht="12.75">
      <c r="A42" s="789"/>
      <c r="B42" s="790"/>
      <c r="C42" s="790"/>
      <c r="D42" s="791"/>
      <c r="E42" s="1"/>
      <c r="F42" s="780"/>
      <c r="G42" s="781"/>
      <c r="H42" s="781"/>
      <c r="I42" s="781"/>
      <c r="J42" s="782"/>
      <c r="K42" s="1"/>
    </row>
    <row r="43" spans="1:11" ht="12.75">
      <c r="A43" s="789"/>
      <c r="B43" s="790"/>
      <c r="C43" s="790"/>
      <c r="D43" s="791"/>
      <c r="E43" s="1"/>
      <c r="F43" s="780"/>
      <c r="G43" s="781"/>
      <c r="H43" s="781"/>
      <c r="I43" s="781"/>
      <c r="J43" s="782"/>
      <c r="K43" s="1"/>
    </row>
    <row r="44" spans="1:11" ht="12.75">
      <c r="A44" s="789"/>
      <c r="B44" s="790"/>
      <c r="C44" s="790"/>
      <c r="D44" s="791"/>
      <c r="E44" s="1"/>
      <c r="F44" s="780"/>
      <c r="G44" s="781"/>
      <c r="H44" s="781"/>
      <c r="I44" s="781"/>
      <c r="J44" s="782"/>
      <c r="K44" s="1"/>
    </row>
    <row r="45" spans="1:11" ht="13.5" thickBot="1">
      <c r="A45" s="792"/>
      <c r="B45" s="793"/>
      <c r="C45" s="793"/>
      <c r="D45" s="794"/>
      <c r="E45" s="1"/>
      <c r="F45" s="783"/>
      <c r="G45" s="784"/>
      <c r="H45" s="784"/>
      <c r="I45" s="784"/>
      <c r="J45" s="785"/>
      <c r="K45" s="1"/>
    </row>
    <row r="46" spans="1:11" ht="12.75">
      <c r="A46" s="1"/>
      <c r="B46" s="1"/>
      <c r="C46" s="1"/>
      <c r="D46" s="1"/>
      <c r="E46" s="1"/>
      <c r="F46" s="1"/>
      <c r="G46" s="1"/>
      <c r="H46" s="1"/>
      <c r="I46" s="1"/>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1"/>
      <c r="D50" s="1"/>
      <c r="E50" s="1"/>
      <c r="F50" s="1"/>
      <c r="G50" s="1"/>
      <c r="H50" s="1"/>
      <c r="I50" s="1"/>
      <c r="J50" s="1"/>
      <c r="K50" s="1"/>
    </row>
    <row r="51" spans="1:11" ht="12.75">
      <c r="A51" s="1"/>
      <c r="B51" s="1"/>
      <c r="C51" s="1"/>
      <c r="D51" s="1"/>
      <c r="E51" s="1"/>
      <c r="F51" s="1"/>
      <c r="G51" s="1"/>
      <c r="H51" s="1"/>
      <c r="I51" s="1"/>
      <c r="J51" s="1"/>
      <c r="K51" s="1"/>
    </row>
    <row r="52" spans="1:11" ht="12.75">
      <c r="A52" s="1"/>
      <c r="B52" s="1"/>
      <c r="C52" s="1"/>
      <c r="D52" s="1"/>
      <c r="E52" s="1"/>
      <c r="F52" s="1"/>
      <c r="G52" s="1"/>
      <c r="H52" s="1"/>
      <c r="I52" s="1"/>
      <c r="J52" s="1"/>
      <c r="K52" s="1"/>
    </row>
    <row r="53" spans="1:11" ht="12.75">
      <c r="A53" s="1"/>
      <c r="B53" s="1"/>
      <c r="C53" s="1"/>
      <c r="D53" s="1"/>
      <c r="E53" s="1"/>
      <c r="F53" s="1"/>
      <c r="G53" s="1"/>
      <c r="H53" s="1"/>
      <c r="I53" s="1"/>
      <c r="J53" s="1"/>
      <c r="K53" s="1"/>
    </row>
    <row r="54" spans="1:11" ht="12.75">
      <c r="A54" s="1"/>
      <c r="B54" s="1"/>
      <c r="C54" s="1"/>
      <c r="D54" s="1"/>
      <c r="E54" s="1"/>
      <c r="F54" s="1"/>
      <c r="G54" s="1"/>
      <c r="H54" s="1"/>
      <c r="I54" s="1"/>
      <c r="J54" s="1"/>
      <c r="K54" s="1"/>
    </row>
    <row r="55" spans="1:11" ht="12.75">
      <c r="A55" s="1"/>
      <c r="B55" s="1"/>
      <c r="C55" s="1"/>
      <c r="D55" s="1"/>
      <c r="E55" s="1"/>
      <c r="F55" s="1"/>
      <c r="G55" s="1"/>
      <c r="H55" s="1"/>
      <c r="I55" s="1"/>
      <c r="J55" s="1"/>
      <c r="K55" s="1"/>
    </row>
    <row r="56" spans="1:11" ht="12.75">
      <c r="A56" s="1"/>
      <c r="B56" s="1"/>
      <c r="C56" s="1"/>
      <c r="D56" s="1"/>
      <c r="E56" s="1"/>
      <c r="F56" s="1"/>
      <c r="G56" s="1"/>
      <c r="H56" s="1"/>
      <c r="I56" s="1"/>
      <c r="J56" s="1"/>
      <c r="K56" s="1"/>
    </row>
    <row r="57" spans="1:11" ht="12.75">
      <c r="A57" s="1"/>
      <c r="B57" s="1"/>
      <c r="C57" s="1"/>
      <c r="D57" s="1"/>
      <c r="E57" s="1"/>
      <c r="F57" s="1"/>
      <c r="G57" s="1"/>
      <c r="H57" s="1"/>
      <c r="I57" s="1"/>
      <c r="J57" s="1"/>
      <c r="K57" s="1"/>
    </row>
    <row r="58" spans="1:11" ht="12.75">
      <c r="A58" s="1"/>
      <c r="B58" s="1"/>
      <c r="C58" s="1"/>
      <c r="D58" s="1"/>
      <c r="E58" s="1"/>
      <c r="F58" s="1"/>
      <c r="G58" s="1"/>
      <c r="H58" s="1"/>
      <c r="I58" s="1"/>
      <c r="J58" s="1"/>
      <c r="K58" s="1"/>
    </row>
    <row r="59" spans="1:11" ht="12.75">
      <c r="A59" s="1"/>
      <c r="B59" s="1"/>
      <c r="C59" s="1"/>
      <c r="D59" s="1"/>
      <c r="E59" s="1"/>
      <c r="F59" s="1"/>
      <c r="G59" s="1"/>
      <c r="H59" s="1"/>
      <c r="I59" s="1"/>
      <c r="J59" s="1"/>
      <c r="K59" s="1"/>
    </row>
    <row r="60" spans="1:11" ht="12.75">
      <c r="A60" s="1"/>
      <c r="B60" s="1"/>
      <c r="C60" s="1"/>
      <c r="D60" s="1"/>
      <c r="E60" s="1"/>
      <c r="F60" s="1"/>
      <c r="G60" s="1"/>
      <c r="H60" s="1"/>
      <c r="I60" s="1"/>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25"/>
      <c r="B64" s="25"/>
      <c r="C64" s="25"/>
      <c r="D64" s="25"/>
      <c r="E64" s="25"/>
      <c r="F64" s="25"/>
      <c r="G64" s="25"/>
      <c r="H64" s="25"/>
      <c r="I64" s="25"/>
      <c r="J64" s="25"/>
      <c r="K64" s="25"/>
    </row>
    <row r="65" spans="1:11" ht="12.75">
      <c r="A65" s="25"/>
      <c r="B65" s="25"/>
      <c r="C65" s="25"/>
      <c r="D65" s="25"/>
      <c r="E65" s="25"/>
      <c r="F65" s="25"/>
      <c r="G65" s="25"/>
      <c r="H65" s="25"/>
      <c r="I65" s="25"/>
      <c r="J65" s="25"/>
      <c r="K65" s="25"/>
    </row>
    <row r="66" spans="1:11" ht="12.75">
      <c r="A66" s="25"/>
      <c r="B66" s="25"/>
      <c r="C66" s="25"/>
      <c r="D66" s="25"/>
      <c r="E66" s="25"/>
      <c r="F66" s="25"/>
      <c r="G66" s="25"/>
      <c r="H66" s="25"/>
      <c r="I66" s="25"/>
      <c r="J66" s="25"/>
      <c r="K66" s="25"/>
    </row>
    <row r="67" spans="1:11" ht="12.75">
      <c r="A67" s="25"/>
      <c r="B67" s="25"/>
      <c r="C67" s="25"/>
      <c r="D67" s="25"/>
      <c r="E67" s="25"/>
      <c r="F67" s="25"/>
      <c r="G67" s="25"/>
      <c r="H67" s="25"/>
      <c r="I67" s="25"/>
      <c r="J67" s="25"/>
      <c r="K67" s="25"/>
    </row>
    <row r="68" spans="1:11" ht="12.75">
      <c r="A68" s="25"/>
      <c r="B68" s="25"/>
      <c r="C68" s="25"/>
      <c r="D68" s="25"/>
      <c r="E68" s="25"/>
      <c r="F68" s="25"/>
      <c r="G68" s="25"/>
      <c r="H68" s="25"/>
      <c r="I68" s="25"/>
      <c r="J68" s="25"/>
      <c r="K68" s="25"/>
    </row>
    <row r="69" spans="1:11" ht="12.75">
      <c r="A69" s="25"/>
      <c r="B69" s="25"/>
      <c r="C69" s="25"/>
      <c r="D69" s="25"/>
      <c r="E69" s="25"/>
      <c r="F69" s="25"/>
      <c r="G69" s="25"/>
      <c r="H69" s="25"/>
      <c r="I69" s="25"/>
      <c r="J69" s="25"/>
      <c r="K69" s="25"/>
    </row>
    <row r="70" spans="1:11" ht="12.75">
      <c r="A70" s="25"/>
      <c r="B70" s="25"/>
      <c r="C70" s="25"/>
      <c r="D70" s="25"/>
      <c r="E70" s="25"/>
      <c r="F70" s="25"/>
      <c r="G70" s="25"/>
      <c r="H70" s="25"/>
      <c r="I70" s="25"/>
      <c r="J70" s="25"/>
      <c r="K70" s="25"/>
    </row>
    <row r="71" spans="1:11" ht="12.75">
      <c r="A71" s="25"/>
      <c r="B71" s="25"/>
      <c r="C71" s="25"/>
      <c r="D71" s="25"/>
      <c r="E71" s="25"/>
      <c r="F71" s="25"/>
      <c r="G71" s="25"/>
      <c r="H71" s="25"/>
      <c r="I71" s="25"/>
      <c r="J71" s="25"/>
      <c r="K71" s="25"/>
    </row>
    <row r="72" spans="1:11" ht="12.75">
      <c r="A72" s="25"/>
      <c r="B72" s="25"/>
      <c r="C72" s="25"/>
      <c r="D72" s="25"/>
      <c r="E72" s="25"/>
      <c r="F72" s="25"/>
      <c r="G72" s="25"/>
      <c r="H72" s="25"/>
      <c r="I72" s="25"/>
      <c r="J72" s="25"/>
      <c r="K72" s="25"/>
    </row>
    <row r="73" spans="1:11" ht="12.75">
      <c r="A73" s="25"/>
      <c r="B73" s="25"/>
      <c r="C73" s="25"/>
      <c r="D73" s="25"/>
      <c r="E73" s="25"/>
      <c r="F73" s="25"/>
      <c r="G73" s="25"/>
      <c r="H73" s="25"/>
      <c r="I73" s="25"/>
      <c r="J73" s="25"/>
      <c r="K73" s="25"/>
    </row>
    <row r="74" spans="1:11" ht="12.75">
      <c r="A74" s="25"/>
      <c r="B74" s="25"/>
      <c r="C74" s="25"/>
      <c r="D74" s="25"/>
      <c r="E74" s="25"/>
      <c r="F74" s="25"/>
      <c r="G74" s="25"/>
      <c r="H74" s="25"/>
      <c r="I74" s="25"/>
      <c r="J74" s="25"/>
      <c r="K74" s="25"/>
    </row>
    <row r="75" spans="1:11" ht="12.75">
      <c r="A75" s="25"/>
      <c r="B75" s="25"/>
      <c r="C75" s="25"/>
      <c r="D75" s="25"/>
      <c r="E75" s="25"/>
      <c r="F75" s="25"/>
      <c r="G75" s="25"/>
      <c r="H75" s="25"/>
      <c r="I75" s="25"/>
      <c r="J75" s="25"/>
      <c r="K75" s="25"/>
    </row>
    <row r="76" spans="1:11" ht="12.75">
      <c r="A76" s="25"/>
      <c r="B76" s="25"/>
      <c r="C76" s="25"/>
      <c r="D76" s="25"/>
      <c r="E76" s="25"/>
      <c r="F76" s="25"/>
      <c r="G76" s="25"/>
      <c r="H76" s="25"/>
      <c r="I76" s="25"/>
      <c r="J76" s="25"/>
      <c r="K76" s="25"/>
    </row>
    <row r="77" spans="1:11" ht="12.75">
      <c r="A77" s="25"/>
      <c r="B77" s="25"/>
      <c r="C77" s="25"/>
      <c r="D77" s="25"/>
      <c r="E77" s="25"/>
      <c r="F77" s="25"/>
      <c r="G77" s="25"/>
      <c r="H77" s="25"/>
      <c r="I77" s="25"/>
      <c r="J77" s="25"/>
      <c r="K77" s="25"/>
    </row>
    <row r="78" spans="1:11" ht="12.75">
      <c r="A78" s="25"/>
      <c r="B78" s="25"/>
      <c r="C78" s="25"/>
      <c r="D78" s="25"/>
      <c r="E78" s="25"/>
      <c r="F78" s="25"/>
      <c r="G78" s="25"/>
      <c r="H78" s="25"/>
      <c r="I78" s="25"/>
      <c r="J78" s="25"/>
      <c r="K78" s="25"/>
    </row>
    <row r="79" spans="1:11" ht="12.75">
      <c r="A79" s="25"/>
      <c r="B79" s="25"/>
      <c r="C79" s="25"/>
      <c r="D79" s="25"/>
      <c r="E79" s="25"/>
      <c r="F79" s="25"/>
      <c r="G79" s="25"/>
      <c r="H79" s="25"/>
      <c r="I79" s="25"/>
      <c r="J79" s="25"/>
      <c r="K79" s="25"/>
    </row>
    <row r="80" spans="1:11" ht="12.75">
      <c r="A80" s="25"/>
      <c r="B80" s="25"/>
      <c r="C80" s="25"/>
      <c r="D80" s="25"/>
      <c r="E80" s="25"/>
      <c r="F80" s="25"/>
      <c r="G80" s="25"/>
      <c r="H80" s="25"/>
      <c r="I80" s="25"/>
      <c r="J80" s="25"/>
      <c r="K80" s="25"/>
    </row>
    <row r="81" spans="1:11" ht="12.75">
      <c r="A81" s="25"/>
      <c r="B81" s="25"/>
      <c r="C81" s="25"/>
      <c r="D81" s="25"/>
      <c r="E81" s="25"/>
      <c r="F81" s="25"/>
      <c r="G81" s="25"/>
      <c r="H81" s="25"/>
      <c r="I81" s="25"/>
      <c r="J81" s="25"/>
      <c r="K81" s="25"/>
    </row>
    <row r="82" spans="1:11" ht="12.75">
      <c r="A82" s="25"/>
      <c r="B82" s="25"/>
      <c r="C82" s="25"/>
      <c r="D82" s="25"/>
      <c r="E82" s="25"/>
      <c r="F82" s="25"/>
      <c r="G82" s="25"/>
      <c r="H82" s="25"/>
      <c r="I82" s="25"/>
      <c r="J82" s="25"/>
      <c r="K82" s="25"/>
    </row>
    <row r="83" spans="1:11" ht="12.75">
      <c r="A83" s="25"/>
      <c r="B83" s="25"/>
      <c r="C83" s="25"/>
      <c r="D83" s="25"/>
      <c r="E83" s="25"/>
      <c r="F83" s="25"/>
      <c r="G83" s="25"/>
      <c r="H83" s="25"/>
      <c r="I83" s="25"/>
      <c r="J83" s="25"/>
      <c r="K83" s="25"/>
    </row>
    <row r="84" spans="1:11" ht="12.75">
      <c r="A84" s="25"/>
      <c r="B84" s="25"/>
      <c r="C84" s="25"/>
      <c r="D84" s="25"/>
      <c r="E84" s="25"/>
      <c r="F84" s="25"/>
      <c r="G84" s="25"/>
      <c r="H84" s="25"/>
      <c r="I84" s="25"/>
      <c r="J84" s="25"/>
      <c r="K84" s="25"/>
    </row>
    <row r="85" spans="1:11" ht="12.75">
      <c r="A85" s="25"/>
      <c r="B85" s="25"/>
      <c r="C85" s="25"/>
      <c r="D85" s="25"/>
      <c r="E85" s="25"/>
      <c r="F85" s="25"/>
      <c r="G85" s="25"/>
      <c r="H85" s="25"/>
      <c r="I85" s="25"/>
      <c r="J85" s="25"/>
      <c r="K85" s="25"/>
    </row>
    <row r="86" spans="1:11" ht="12.75">
      <c r="A86" s="25"/>
      <c r="B86" s="25"/>
      <c r="C86" s="25"/>
      <c r="D86" s="25"/>
      <c r="E86" s="25"/>
      <c r="F86" s="25"/>
      <c r="G86" s="25"/>
      <c r="H86" s="25"/>
      <c r="I86" s="25"/>
      <c r="J86" s="25"/>
      <c r="K86" s="25"/>
    </row>
    <row r="87" spans="1:11" ht="12.75">
      <c r="A87" s="25"/>
      <c r="B87" s="25"/>
      <c r="C87" s="25"/>
      <c r="D87" s="25"/>
      <c r="E87" s="25"/>
      <c r="F87" s="25"/>
      <c r="G87" s="25"/>
      <c r="H87" s="25"/>
      <c r="I87" s="25"/>
      <c r="J87" s="25"/>
      <c r="K87" s="25"/>
    </row>
    <row r="88" spans="1:11" ht="12.75">
      <c r="A88" s="25"/>
      <c r="B88" s="25"/>
      <c r="C88" s="25"/>
      <c r="D88" s="25"/>
      <c r="E88" s="25"/>
      <c r="F88" s="25"/>
      <c r="G88" s="25"/>
      <c r="H88" s="25"/>
      <c r="I88" s="25"/>
      <c r="J88" s="25"/>
      <c r="K88" s="25"/>
    </row>
    <row r="89" spans="1:11" ht="12.75">
      <c r="A89" s="25"/>
      <c r="B89" s="25"/>
      <c r="C89" s="25"/>
      <c r="D89" s="25"/>
      <c r="E89" s="25"/>
      <c r="F89" s="25"/>
      <c r="G89" s="25"/>
      <c r="H89" s="25"/>
      <c r="I89" s="25"/>
      <c r="J89" s="25"/>
      <c r="K89" s="25"/>
    </row>
    <row r="90" spans="1:11" ht="12.75">
      <c r="A90" s="25"/>
      <c r="B90" s="25"/>
      <c r="C90" s="25"/>
      <c r="D90" s="25"/>
      <c r="E90" s="25"/>
      <c r="F90" s="25"/>
      <c r="G90" s="25"/>
      <c r="H90" s="25"/>
      <c r="I90" s="25"/>
      <c r="J90" s="25"/>
      <c r="K90" s="25"/>
    </row>
    <row r="91" spans="1:11" ht="12.75">
      <c r="A91" s="25"/>
      <c r="B91" s="25"/>
      <c r="C91" s="25"/>
      <c r="D91" s="25"/>
      <c r="E91" s="25"/>
      <c r="F91" s="25"/>
      <c r="G91" s="25"/>
      <c r="H91" s="25"/>
      <c r="I91" s="25"/>
      <c r="J91" s="25"/>
      <c r="K91" s="25"/>
    </row>
    <row r="92" spans="1:11" ht="12.75">
      <c r="A92" s="25"/>
      <c r="B92" s="25"/>
      <c r="C92" s="25"/>
      <c r="D92" s="25"/>
      <c r="E92" s="25"/>
      <c r="F92" s="25"/>
      <c r="G92" s="25"/>
      <c r="H92" s="25"/>
      <c r="I92" s="25"/>
      <c r="J92" s="25"/>
      <c r="K92" s="25"/>
    </row>
    <row r="93" spans="1:11" ht="12.75">
      <c r="A93" s="25"/>
      <c r="B93" s="25"/>
      <c r="C93" s="25"/>
      <c r="D93" s="25"/>
      <c r="E93" s="25"/>
      <c r="F93" s="25"/>
      <c r="G93" s="25"/>
      <c r="H93" s="25"/>
      <c r="I93" s="25"/>
      <c r="J93" s="25"/>
      <c r="K93" s="25"/>
    </row>
    <row r="94" spans="1:11" ht="12.75">
      <c r="A94" s="25"/>
      <c r="B94" s="25"/>
      <c r="C94" s="25"/>
      <c r="D94" s="25"/>
      <c r="E94" s="25"/>
      <c r="F94" s="25"/>
      <c r="G94" s="25"/>
      <c r="H94" s="25"/>
      <c r="I94" s="25"/>
      <c r="J94" s="25"/>
      <c r="K94" s="25"/>
    </row>
    <row r="95" spans="1:11" ht="12.75">
      <c r="A95" s="25"/>
      <c r="B95" s="25"/>
      <c r="C95" s="25"/>
      <c r="D95" s="25"/>
      <c r="E95" s="25"/>
      <c r="F95" s="25"/>
      <c r="G95" s="25"/>
      <c r="H95" s="25"/>
      <c r="I95" s="25"/>
      <c r="J95" s="25"/>
      <c r="K95" s="25"/>
    </row>
    <row r="96" spans="1:11" ht="12.75">
      <c r="A96" s="25"/>
      <c r="B96" s="25"/>
      <c r="C96" s="25"/>
      <c r="D96" s="25"/>
      <c r="E96" s="25"/>
      <c r="F96" s="25"/>
      <c r="G96" s="25"/>
      <c r="H96" s="25"/>
      <c r="I96" s="25"/>
      <c r="J96" s="25"/>
      <c r="K96" s="25"/>
    </row>
    <row r="97" spans="1:11" ht="12.75">
      <c r="A97" s="25"/>
      <c r="B97" s="25"/>
      <c r="C97" s="25"/>
      <c r="D97" s="25"/>
      <c r="E97" s="25"/>
      <c r="F97" s="25"/>
      <c r="G97" s="25"/>
      <c r="H97" s="25"/>
      <c r="I97" s="25"/>
      <c r="J97" s="25"/>
      <c r="K97" s="25"/>
    </row>
    <row r="98" spans="1:11" ht="12.75">
      <c r="A98" s="25"/>
      <c r="B98" s="25"/>
      <c r="C98" s="25"/>
      <c r="D98" s="25"/>
      <c r="E98" s="25"/>
      <c r="F98" s="25"/>
      <c r="G98" s="25"/>
      <c r="H98" s="25"/>
      <c r="I98" s="25"/>
      <c r="J98" s="25"/>
      <c r="K98" s="25"/>
    </row>
    <row r="99" spans="1:11" ht="12.75">
      <c r="A99" s="25"/>
      <c r="B99" s="25"/>
      <c r="C99" s="25"/>
      <c r="D99" s="25"/>
      <c r="E99" s="25"/>
      <c r="F99" s="25"/>
      <c r="G99" s="25"/>
      <c r="H99" s="25"/>
      <c r="I99" s="25"/>
      <c r="J99" s="25"/>
      <c r="K99" s="25"/>
    </row>
    <row r="100" spans="1:11" ht="12.75">
      <c r="A100" s="25"/>
      <c r="B100" s="25"/>
      <c r="C100" s="25"/>
      <c r="D100" s="25"/>
      <c r="E100" s="25"/>
      <c r="F100" s="25"/>
      <c r="G100" s="25"/>
      <c r="H100" s="25"/>
      <c r="I100" s="25"/>
      <c r="J100" s="25"/>
      <c r="K100" s="25"/>
    </row>
    <row r="101" spans="1:11" ht="12.75">
      <c r="A101" s="25"/>
      <c r="B101" s="25"/>
      <c r="C101" s="25"/>
      <c r="D101" s="25"/>
      <c r="E101" s="25"/>
      <c r="F101" s="25"/>
      <c r="G101" s="25"/>
      <c r="H101" s="25"/>
      <c r="I101" s="25"/>
      <c r="J101" s="25"/>
      <c r="K101" s="25"/>
    </row>
    <row r="102" spans="1:11" ht="12.75">
      <c r="A102" s="25"/>
      <c r="B102" s="25"/>
      <c r="C102" s="25"/>
      <c r="D102" s="25"/>
      <c r="E102" s="25"/>
      <c r="F102" s="25"/>
      <c r="G102" s="25"/>
      <c r="H102" s="25"/>
      <c r="I102" s="25"/>
      <c r="J102" s="25"/>
      <c r="K102" s="25"/>
    </row>
    <row r="103" spans="1:11" ht="12.75">
      <c r="A103" s="25"/>
      <c r="B103" s="25"/>
      <c r="C103" s="25"/>
      <c r="D103" s="25"/>
      <c r="E103" s="25"/>
      <c r="F103" s="25"/>
      <c r="G103" s="25"/>
      <c r="H103" s="25"/>
      <c r="I103" s="25"/>
      <c r="J103" s="25"/>
      <c r="K103" s="25"/>
    </row>
    <row r="104" spans="1:11" ht="12.75">
      <c r="A104" s="25"/>
      <c r="B104" s="25"/>
      <c r="C104" s="25"/>
      <c r="D104" s="25"/>
      <c r="E104" s="25"/>
      <c r="F104" s="25"/>
      <c r="G104" s="25"/>
      <c r="H104" s="25"/>
      <c r="I104" s="25"/>
      <c r="J104" s="25"/>
      <c r="K104" s="25"/>
    </row>
    <row r="105" spans="1:11" ht="12.75">
      <c r="A105" s="25"/>
      <c r="B105" s="25"/>
      <c r="C105" s="25"/>
      <c r="D105" s="25"/>
      <c r="E105" s="25"/>
      <c r="F105" s="25"/>
      <c r="G105" s="25"/>
      <c r="H105" s="25"/>
      <c r="I105" s="25"/>
      <c r="J105" s="25"/>
      <c r="K105" s="25"/>
    </row>
    <row r="106" spans="1:11" ht="12.75">
      <c r="A106" s="25"/>
      <c r="B106" s="25"/>
      <c r="C106" s="25"/>
      <c r="D106" s="25"/>
      <c r="E106" s="25"/>
      <c r="F106" s="25"/>
      <c r="G106" s="25"/>
      <c r="H106" s="25"/>
      <c r="I106" s="25"/>
      <c r="J106" s="25"/>
      <c r="K106" s="25"/>
    </row>
    <row r="107" spans="1:11" ht="12.75">
      <c r="A107" s="25"/>
      <c r="B107" s="25"/>
      <c r="C107" s="25"/>
      <c r="D107" s="25"/>
      <c r="E107" s="25"/>
      <c r="F107" s="25"/>
      <c r="G107" s="25"/>
      <c r="H107" s="25"/>
      <c r="I107" s="25"/>
      <c r="J107" s="25"/>
      <c r="K107" s="25"/>
    </row>
    <row r="108" spans="1:11" ht="12.75">
      <c r="A108" s="25"/>
      <c r="B108" s="25"/>
      <c r="C108" s="25"/>
      <c r="D108" s="25"/>
      <c r="E108" s="25"/>
      <c r="F108" s="25"/>
      <c r="G108" s="25"/>
      <c r="H108" s="25"/>
      <c r="I108" s="25"/>
      <c r="J108" s="25"/>
      <c r="K108" s="25"/>
    </row>
    <row r="109" spans="1:11" ht="12.75">
      <c r="A109" s="25"/>
      <c r="B109" s="25"/>
      <c r="C109" s="25"/>
      <c r="D109" s="25"/>
      <c r="E109" s="25"/>
      <c r="F109" s="25"/>
      <c r="G109" s="25"/>
      <c r="H109" s="25"/>
      <c r="I109" s="25"/>
      <c r="J109" s="25"/>
      <c r="K109" s="25"/>
    </row>
    <row r="110" spans="1:11" ht="12.75">
      <c r="A110" s="25"/>
      <c r="B110" s="25"/>
      <c r="C110" s="25"/>
      <c r="D110" s="25"/>
      <c r="E110" s="25"/>
      <c r="F110" s="25"/>
      <c r="G110" s="25"/>
      <c r="H110" s="25"/>
      <c r="I110" s="25"/>
      <c r="J110" s="25"/>
      <c r="K110" s="25"/>
    </row>
    <row r="111" spans="1:11" ht="12.75">
      <c r="A111" s="25"/>
      <c r="B111" s="25"/>
      <c r="C111" s="25"/>
      <c r="D111" s="25"/>
      <c r="E111" s="25"/>
      <c r="F111" s="25"/>
      <c r="G111" s="25"/>
      <c r="H111" s="25"/>
      <c r="I111" s="25"/>
      <c r="J111" s="25"/>
      <c r="K111" s="25"/>
    </row>
    <row r="112" spans="1:11" ht="12.75">
      <c r="A112" s="25"/>
      <c r="B112" s="25"/>
      <c r="C112" s="25"/>
      <c r="D112" s="25"/>
      <c r="E112" s="25"/>
      <c r="F112" s="25"/>
      <c r="G112" s="25"/>
      <c r="H112" s="25"/>
      <c r="I112" s="25"/>
      <c r="J112" s="25"/>
      <c r="K112" s="25"/>
    </row>
    <row r="113" spans="1:11" ht="12.75">
      <c r="A113" s="25"/>
      <c r="B113" s="25"/>
      <c r="C113" s="25"/>
      <c r="D113" s="25"/>
      <c r="E113" s="25"/>
      <c r="F113" s="25"/>
      <c r="G113" s="25"/>
      <c r="H113" s="25"/>
      <c r="I113" s="25"/>
      <c r="J113" s="25"/>
      <c r="K113" s="25"/>
    </row>
    <row r="114" spans="1:11" ht="12.75">
      <c r="A114" s="25"/>
      <c r="B114" s="25"/>
      <c r="C114" s="25"/>
      <c r="D114" s="25"/>
      <c r="E114" s="25"/>
      <c r="F114" s="25"/>
      <c r="G114" s="25"/>
      <c r="H114" s="25"/>
      <c r="I114" s="25"/>
      <c r="J114" s="25"/>
      <c r="K114" s="25"/>
    </row>
    <row r="115" spans="1:11" ht="12.75">
      <c r="A115" s="25"/>
      <c r="B115" s="25"/>
      <c r="C115" s="25"/>
      <c r="D115" s="25"/>
      <c r="E115" s="25"/>
      <c r="F115" s="25"/>
      <c r="G115" s="25"/>
      <c r="H115" s="25"/>
      <c r="I115" s="25"/>
      <c r="J115" s="25"/>
      <c r="K115" s="25"/>
    </row>
    <row r="116" spans="1:11" ht="12.75">
      <c r="A116" s="25"/>
      <c r="B116" s="25"/>
      <c r="C116" s="25"/>
      <c r="D116" s="25"/>
      <c r="E116" s="25"/>
      <c r="F116" s="25"/>
      <c r="G116" s="25"/>
      <c r="H116" s="25"/>
      <c r="I116" s="25"/>
      <c r="J116" s="25"/>
      <c r="K116" s="25"/>
    </row>
    <row r="117" spans="1:11" ht="12.75">
      <c r="A117" s="25"/>
      <c r="B117" s="25"/>
      <c r="C117" s="25"/>
      <c r="D117" s="25"/>
      <c r="E117" s="25"/>
      <c r="F117" s="25"/>
      <c r="G117" s="25"/>
      <c r="H117" s="25"/>
      <c r="I117" s="25"/>
      <c r="J117" s="25"/>
      <c r="K117" s="25"/>
    </row>
    <row r="118" spans="1:11" ht="12.75">
      <c r="A118" s="25"/>
      <c r="B118" s="25"/>
      <c r="C118" s="25"/>
      <c r="D118" s="25"/>
      <c r="E118" s="25"/>
      <c r="F118" s="25"/>
      <c r="G118" s="25"/>
      <c r="H118" s="25"/>
      <c r="I118" s="25"/>
      <c r="J118" s="25"/>
      <c r="K118" s="25"/>
    </row>
    <row r="119" spans="1:11" ht="12.75">
      <c r="A119" s="25"/>
      <c r="B119" s="25"/>
      <c r="C119" s="25"/>
      <c r="D119" s="25"/>
      <c r="E119" s="25"/>
      <c r="F119" s="25"/>
      <c r="G119" s="25"/>
      <c r="H119" s="25"/>
      <c r="I119" s="25"/>
      <c r="J119" s="25"/>
      <c r="K119" s="25"/>
    </row>
    <row r="120" spans="1:11" ht="12.75">
      <c r="A120" s="25"/>
      <c r="B120" s="25"/>
      <c r="C120" s="25"/>
      <c r="D120" s="25"/>
      <c r="E120" s="25"/>
      <c r="F120" s="25"/>
      <c r="G120" s="25"/>
      <c r="H120" s="25"/>
      <c r="I120" s="25"/>
      <c r="J120" s="25"/>
      <c r="K120" s="25"/>
    </row>
    <row r="121" spans="1:11" ht="12.75">
      <c r="A121" s="25"/>
      <c r="B121" s="25"/>
      <c r="C121" s="25"/>
      <c r="D121" s="25"/>
      <c r="E121" s="25"/>
      <c r="F121" s="25"/>
      <c r="G121" s="25"/>
      <c r="H121" s="25"/>
      <c r="I121" s="25"/>
      <c r="J121" s="25"/>
      <c r="K121" s="25"/>
    </row>
    <row r="122" spans="1:11" ht="12.75">
      <c r="A122" s="25"/>
      <c r="B122" s="25"/>
      <c r="C122" s="25"/>
      <c r="D122" s="25"/>
      <c r="E122" s="25"/>
      <c r="F122" s="25"/>
      <c r="G122" s="25"/>
      <c r="H122" s="25"/>
      <c r="I122" s="25"/>
      <c r="J122" s="25"/>
      <c r="K122" s="25"/>
    </row>
    <row r="123" spans="1:11" ht="12.75">
      <c r="A123" s="25"/>
      <c r="B123" s="25"/>
      <c r="C123" s="25"/>
      <c r="D123" s="25"/>
      <c r="E123" s="25"/>
      <c r="F123" s="25"/>
      <c r="G123" s="25"/>
      <c r="H123" s="25"/>
      <c r="I123" s="25"/>
      <c r="J123" s="25"/>
      <c r="K123" s="25"/>
    </row>
    <row r="124" spans="1:11" ht="12.75">
      <c r="A124" s="25"/>
      <c r="B124" s="25"/>
      <c r="C124" s="25"/>
      <c r="D124" s="25"/>
      <c r="E124" s="25"/>
      <c r="F124" s="25"/>
      <c r="G124" s="25"/>
      <c r="H124" s="25"/>
      <c r="I124" s="25"/>
      <c r="J124" s="25"/>
      <c r="K124" s="25"/>
    </row>
    <row r="125" spans="1:11" ht="12.75">
      <c r="A125" s="25"/>
      <c r="B125" s="25"/>
      <c r="C125" s="25"/>
      <c r="D125" s="25"/>
      <c r="E125" s="25"/>
      <c r="F125" s="25"/>
      <c r="G125" s="25"/>
      <c r="H125" s="25"/>
      <c r="I125" s="25"/>
      <c r="J125" s="25"/>
      <c r="K125" s="25"/>
    </row>
    <row r="126" spans="1:11" ht="12.75">
      <c r="A126" s="25"/>
      <c r="B126" s="25"/>
      <c r="C126" s="25"/>
      <c r="D126" s="25"/>
      <c r="E126" s="25"/>
      <c r="F126" s="25"/>
      <c r="G126" s="25"/>
      <c r="H126" s="25"/>
      <c r="I126" s="25"/>
      <c r="J126" s="25"/>
      <c r="K126" s="25"/>
    </row>
    <row r="127" spans="1:11" ht="12.75">
      <c r="A127" s="25"/>
      <c r="B127" s="25"/>
      <c r="C127" s="25"/>
      <c r="D127" s="25"/>
      <c r="E127" s="25"/>
      <c r="F127" s="25"/>
      <c r="G127" s="25"/>
      <c r="H127" s="25"/>
      <c r="I127" s="25"/>
      <c r="J127" s="25"/>
      <c r="K127" s="25"/>
    </row>
    <row r="128" spans="1:11" ht="12.75">
      <c r="A128" s="25"/>
      <c r="B128" s="25"/>
      <c r="C128" s="25"/>
      <c r="D128" s="25"/>
      <c r="E128" s="25"/>
      <c r="F128" s="25"/>
      <c r="G128" s="25"/>
      <c r="H128" s="25"/>
      <c r="I128" s="25"/>
      <c r="J128" s="25"/>
      <c r="K128" s="25"/>
    </row>
    <row r="129" spans="1:11" ht="12.75">
      <c r="A129" s="25"/>
      <c r="B129" s="25"/>
      <c r="C129" s="25"/>
      <c r="D129" s="25"/>
      <c r="E129" s="25"/>
      <c r="F129" s="25"/>
      <c r="G129" s="25"/>
      <c r="H129" s="25"/>
      <c r="I129" s="25"/>
      <c r="J129" s="25"/>
      <c r="K129" s="25"/>
    </row>
    <row r="130" spans="1:11" ht="12.75">
      <c r="A130" s="25"/>
      <c r="B130" s="25"/>
      <c r="C130" s="25"/>
      <c r="D130" s="25"/>
      <c r="E130" s="25"/>
      <c r="F130" s="25"/>
      <c r="G130" s="25"/>
      <c r="H130" s="25"/>
      <c r="I130" s="25"/>
      <c r="J130" s="25"/>
      <c r="K130" s="25"/>
    </row>
    <row r="131" spans="1:11" ht="12.75">
      <c r="A131" s="25"/>
      <c r="B131" s="25"/>
      <c r="C131" s="25"/>
      <c r="D131" s="25"/>
      <c r="E131" s="25"/>
      <c r="F131" s="25"/>
      <c r="G131" s="25"/>
      <c r="H131" s="25"/>
      <c r="I131" s="25"/>
      <c r="J131" s="25"/>
      <c r="K131" s="25"/>
    </row>
    <row r="132" spans="1:11" ht="12.75">
      <c r="A132" s="25"/>
      <c r="B132" s="25"/>
      <c r="C132" s="25"/>
      <c r="D132" s="25"/>
      <c r="E132" s="25"/>
      <c r="F132" s="25"/>
      <c r="G132" s="25"/>
      <c r="H132" s="25"/>
      <c r="I132" s="25"/>
      <c r="J132" s="25"/>
      <c r="K132" s="25"/>
    </row>
    <row r="133" spans="1:11" ht="12.75">
      <c r="A133" s="25"/>
      <c r="B133" s="25"/>
      <c r="C133" s="25"/>
      <c r="D133" s="25"/>
      <c r="E133" s="25"/>
      <c r="F133" s="25"/>
      <c r="G133" s="25"/>
      <c r="H133" s="25"/>
      <c r="I133" s="25"/>
      <c r="J133" s="25"/>
      <c r="K133" s="25"/>
    </row>
    <row r="134" spans="1:11" ht="12.75">
      <c r="A134" s="25"/>
      <c r="B134" s="25"/>
      <c r="C134" s="25"/>
      <c r="D134" s="25"/>
      <c r="E134" s="25"/>
      <c r="F134" s="25"/>
      <c r="G134" s="25"/>
      <c r="H134" s="25"/>
      <c r="I134" s="25"/>
      <c r="J134" s="25"/>
      <c r="K134" s="25"/>
    </row>
    <row r="135" spans="1:11" ht="12.75">
      <c r="A135" s="25"/>
      <c r="B135" s="25"/>
      <c r="C135" s="25"/>
      <c r="D135" s="25"/>
      <c r="E135" s="25"/>
      <c r="F135" s="25"/>
      <c r="G135" s="25"/>
      <c r="H135" s="25"/>
      <c r="I135" s="25"/>
      <c r="J135" s="25"/>
      <c r="K135" s="25"/>
    </row>
    <row r="136" spans="1:11" ht="12.75">
      <c r="A136" s="25"/>
      <c r="B136" s="25"/>
      <c r="C136" s="25"/>
      <c r="D136" s="25"/>
      <c r="E136" s="25"/>
      <c r="F136" s="25"/>
      <c r="G136" s="25"/>
      <c r="H136" s="25"/>
      <c r="I136" s="25"/>
      <c r="J136" s="25"/>
      <c r="K136" s="25"/>
    </row>
    <row r="137" spans="1:11" ht="12.75">
      <c r="A137" s="25"/>
      <c r="B137" s="25"/>
      <c r="C137" s="25"/>
      <c r="D137" s="25"/>
      <c r="E137" s="25"/>
      <c r="F137" s="25"/>
      <c r="G137" s="25"/>
      <c r="H137" s="25"/>
      <c r="I137" s="25"/>
      <c r="J137" s="25"/>
      <c r="K137" s="25"/>
    </row>
    <row r="138" spans="1:11" ht="12.75">
      <c r="A138" s="25"/>
      <c r="B138" s="25"/>
      <c r="C138" s="25"/>
      <c r="D138" s="25"/>
      <c r="E138" s="25"/>
      <c r="F138" s="25"/>
      <c r="G138" s="25"/>
      <c r="H138" s="25"/>
      <c r="I138" s="25"/>
      <c r="J138" s="25"/>
      <c r="K138" s="25"/>
    </row>
    <row r="139" spans="1:11" ht="12.75">
      <c r="A139" s="25"/>
      <c r="B139" s="25"/>
      <c r="C139" s="25"/>
      <c r="D139" s="25"/>
      <c r="E139" s="25"/>
      <c r="F139" s="25"/>
      <c r="G139" s="25"/>
      <c r="H139" s="25"/>
      <c r="I139" s="25"/>
      <c r="J139" s="25"/>
      <c r="K139" s="25"/>
    </row>
    <row r="140" spans="1:11" ht="12.75">
      <c r="A140" s="25"/>
      <c r="B140" s="25"/>
      <c r="C140" s="25"/>
      <c r="D140" s="25"/>
      <c r="E140" s="25"/>
      <c r="F140" s="25"/>
      <c r="G140" s="25"/>
      <c r="H140" s="25"/>
      <c r="I140" s="25"/>
      <c r="J140" s="25"/>
      <c r="K140" s="25"/>
    </row>
    <row r="141" spans="1:11" ht="12.75">
      <c r="A141" s="25"/>
      <c r="B141" s="25"/>
      <c r="C141" s="25"/>
      <c r="D141" s="25"/>
      <c r="E141" s="25"/>
      <c r="F141" s="25"/>
      <c r="G141" s="25"/>
      <c r="H141" s="25"/>
      <c r="I141" s="25"/>
      <c r="J141" s="25"/>
      <c r="K141" s="25"/>
    </row>
    <row r="142" spans="1:11" ht="12.75">
      <c r="A142" s="25"/>
      <c r="B142" s="25"/>
      <c r="C142" s="25"/>
      <c r="D142" s="25"/>
      <c r="E142" s="25"/>
      <c r="F142" s="25"/>
      <c r="G142" s="25"/>
      <c r="H142" s="25"/>
      <c r="I142" s="25"/>
      <c r="J142" s="25"/>
      <c r="K142" s="25"/>
    </row>
    <row r="143" spans="1:11" ht="12.75">
      <c r="A143" s="25"/>
      <c r="B143" s="25"/>
      <c r="C143" s="25"/>
      <c r="D143" s="25"/>
      <c r="E143" s="25"/>
      <c r="F143" s="25"/>
      <c r="G143" s="25"/>
      <c r="H143" s="25"/>
      <c r="I143" s="25"/>
      <c r="J143" s="25"/>
      <c r="K143" s="25"/>
    </row>
    <row r="144" spans="1:11" ht="12.75">
      <c r="A144" s="25"/>
      <c r="B144" s="25"/>
      <c r="C144" s="25"/>
      <c r="D144" s="25"/>
      <c r="E144" s="25"/>
      <c r="F144" s="25"/>
      <c r="G144" s="25"/>
      <c r="H144" s="25"/>
      <c r="I144" s="25"/>
      <c r="J144" s="25"/>
      <c r="K144" s="25"/>
    </row>
    <row r="145" spans="1:11" ht="12.75">
      <c r="A145" s="25"/>
      <c r="B145" s="25"/>
      <c r="C145" s="25"/>
      <c r="D145" s="25"/>
      <c r="E145" s="25"/>
      <c r="F145" s="25"/>
      <c r="G145" s="25"/>
      <c r="H145" s="25"/>
      <c r="I145" s="25"/>
      <c r="J145" s="25"/>
      <c r="K145" s="25"/>
    </row>
    <row r="146" spans="1:11" ht="12.75">
      <c r="A146" s="25"/>
      <c r="B146" s="25"/>
      <c r="C146" s="25"/>
      <c r="D146" s="25"/>
      <c r="E146" s="25"/>
      <c r="F146" s="25"/>
      <c r="G146" s="25"/>
      <c r="H146" s="25"/>
      <c r="I146" s="25"/>
      <c r="J146" s="25"/>
      <c r="K146" s="25"/>
    </row>
    <row r="147" spans="1:11" ht="12.75">
      <c r="A147" s="25"/>
      <c r="B147" s="25"/>
      <c r="C147" s="25"/>
      <c r="D147" s="25"/>
      <c r="E147" s="25"/>
      <c r="F147" s="25"/>
      <c r="G147" s="25"/>
      <c r="H147" s="25"/>
      <c r="I147" s="25"/>
      <c r="J147" s="25"/>
      <c r="K147" s="25"/>
    </row>
    <row r="148" spans="1:11" ht="12.75">
      <c r="A148" s="25"/>
      <c r="B148" s="25"/>
      <c r="C148" s="25"/>
      <c r="D148" s="25"/>
      <c r="E148" s="25"/>
      <c r="F148" s="25"/>
      <c r="G148" s="25"/>
      <c r="H148" s="25"/>
      <c r="I148" s="25"/>
      <c r="J148" s="25"/>
      <c r="K148" s="25"/>
    </row>
    <row r="149" spans="1:11" ht="12.75">
      <c r="A149" s="25"/>
      <c r="B149" s="25"/>
      <c r="C149" s="25"/>
      <c r="D149" s="25"/>
      <c r="E149" s="25"/>
      <c r="F149" s="25"/>
      <c r="G149" s="25"/>
      <c r="H149" s="25"/>
      <c r="I149" s="25"/>
      <c r="J149" s="25"/>
      <c r="K149" s="25"/>
    </row>
    <row r="150" spans="1:11" ht="12.75">
      <c r="A150" s="25"/>
      <c r="B150" s="25"/>
      <c r="C150" s="25"/>
      <c r="D150" s="25"/>
      <c r="E150" s="25"/>
      <c r="F150" s="25"/>
      <c r="G150" s="25"/>
      <c r="H150" s="25"/>
      <c r="I150" s="25"/>
      <c r="J150" s="25"/>
      <c r="K150" s="25"/>
    </row>
    <row r="151" spans="1:11" ht="12.75">
      <c r="A151" s="25"/>
      <c r="B151" s="25"/>
      <c r="C151" s="25"/>
      <c r="D151" s="25"/>
      <c r="E151" s="25"/>
      <c r="F151" s="25"/>
      <c r="G151" s="25"/>
      <c r="H151" s="25"/>
      <c r="I151" s="25"/>
      <c r="J151" s="25"/>
      <c r="K151" s="25"/>
    </row>
    <row r="152" spans="1:11" ht="12.75">
      <c r="A152" s="25"/>
      <c r="B152" s="25"/>
      <c r="C152" s="25"/>
      <c r="D152" s="25"/>
      <c r="E152" s="25"/>
      <c r="F152" s="25"/>
      <c r="G152" s="25"/>
      <c r="H152" s="25"/>
      <c r="I152" s="25"/>
      <c r="J152" s="25"/>
      <c r="K152" s="25"/>
    </row>
    <row r="153" spans="1:11" ht="12.75">
      <c r="A153" s="25"/>
      <c r="B153" s="25"/>
      <c r="C153" s="25"/>
      <c r="D153" s="25"/>
      <c r="E153" s="25"/>
      <c r="F153" s="25"/>
      <c r="G153" s="25"/>
      <c r="H153" s="25"/>
      <c r="I153" s="25"/>
      <c r="J153" s="25"/>
      <c r="K153" s="25"/>
    </row>
    <row r="154" spans="1:11" ht="12.75">
      <c r="A154" s="25"/>
      <c r="B154" s="25"/>
      <c r="C154" s="25"/>
      <c r="D154" s="25"/>
      <c r="E154" s="25"/>
      <c r="F154" s="25"/>
      <c r="G154" s="25"/>
      <c r="H154" s="25"/>
      <c r="I154" s="25"/>
      <c r="J154" s="25"/>
      <c r="K154" s="25"/>
    </row>
    <row r="155" spans="1:11" ht="12.75">
      <c r="A155" s="25"/>
      <c r="B155" s="25"/>
      <c r="C155" s="25"/>
      <c r="D155" s="25"/>
      <c r="E155" s="25"/>
      <c r="F155" s="25"/>
      <c r="G155" s="25"/>
      <c r="H155" s="25"/>
      <c r="I155" s="25"/>
      <c r="J155" s="25"/>
      <c r="K155" s="25"/>
    </row>
    <row r="156" spans="1:11" ht="12.75">
      <c r="A156" s="25"/>
      <c r="B156" s="25"/>
      <c r="C156" s="25"/>
      <c r="D156" s="25"/>
      <c r="E156" s="25"/>
      <c r="F156" s="25"/>
      <c r="G156" s="25"/>
      <c r="H156" s="25"/>
      <c r="I156" s="25"/>
      <c r="J156" s="25"/>
      <c r="K156" s="25"/>
    </row>
    <row r="157" spans="1:11" ht="12.75">
      <c r="A157" s="25"/>
      <c r="B157" s="25"/>
      <c r="C157" s="25"/>
      <c r="D157" s="25"/>
      <c r="E157" s="25"/>
      <c r="F157" s="25"/>
      <c r="G157" s="25"/>
      <c r="H157" s="25"/>
      <c r="I157" s="25"/>
      <c r="J157" s="25"/>
      <c r="K157" s="25"/>
    </row>
    <row r="158" spans="1:11" ht="12.75">
      <c r="A158" s="25"/>
      <c r="B158" s="25"/>
      <c r="C158" s="25"/>
      <c r="D158" s="25"/>
      <c r="E158" s="25"/>
      <c r="F158" s="25"/>
      <c r="G158" s="25"/>
      <c r="H158" s="25"/>
      <c r="I158" s="25"/>
      <c r="J158" s="25"/>
      <c r="K158" s="25"/>
    </row>
    <row r="159" spans="1:11" ht="12.75">
      <c r="A159" s="25"/>
      <c r="B159" s="25"/>
      <c r="C159" s="25"/>
      <c r="D159" s="25"/>
      <c r="E159" s="25"/>
      <c r="F159" s="25"/>
      <c r="G159" s="25"/>
      <c r="H159" s="25"/>
      <c r="I159" s="25"/>
      <c r="J159" s="25"/>
      <c r="K159" s="25"/>
    </row>
    <row r="160" spans="1:11" ht="12.75">
      <c r="A160" s="25"/>
      <c r="B160" s="25"/>
      <c r="C160" s="25"/>
      <c r="D160" s="25"/>
      <c r="E160" s="25"/>
      <c r="F160" s="25"/>
      <c r="G160" s="25"/>
      <c r="H160" s="25"/>
      <c r="I160" s="25"/>
      <c r="J160" s="25"/>
      <c r="K160" s="25"/>
    </row>
    <row r="161" spans="1:11" ht="12.75">
      <c r="A161" s="25"/>
      <c r="B161" s="25"/>
      <c r="C161" s="25"/>
      <c r="D161" s="25"/>
      <c r="E161" s="25"/>
      <c r="F161" s="25"/>
      <c r="G161" s="25"/>
      <c r="H161" s="25"/>
      <c r="I161" s="25"/>
      <c r="J161" s="25"/>
      <c r="K161" s="25"/>
    </row>
    <row r="162" spans="1:11" ht="12.75">
      <c r="A162" s="25"/>
      <c r="B162" s="25"/>
      <c r="C162" s="25"/>
      <c r="D162" s="25"/>
      <c r="E162" s="25"/>
      <c r="F162" s="25"/>
      <c r="G162" s="25"/>
      <c r="H162" s="25"/>
      <c r="I162" s="25"/>
      <c r="J162" s="25"/>
      <c r="K162" s="25"/>
    </row>
    <row r="163" spans="1:11" ht="12.75">
      <c r="A163" s="25"/>
      <c r="B163" s="25"/>
      <c r="C163" s="25"/>
      <c r="D163" s="25"/>
      <c r="E163" s="25"/>
      <c r="F163" s="25"/>
      <c r="G163" s="25"/>
      <c r="H163" s="25"/>
      <c r="I163" s="25"/>
      <c r="J163" s="25"/>
      <c r="K163" s="25"/>
    </row>
    <row r="164" spans="1:11" ht="12.75">
      <c r="A164" s="25"/>
      <c r="B164" s="25"/>
      <c r="C164" s="25"/>
      <c r="D164" s="25"/>
      <c r="E164" s="25"/>
      <c r="F164" s="25"/>
      <c r="G164" s="25"/>
      <c r="H164" s="25"/>
      <c r="I164" s="25"/>
      <c r="J164" s="25"/>
      <c r="K164" s="25"/>
    </row>
    <row r="165" spans="1:11" ht="12.75">
      <c r="A165" s="25"/>
      <c r="B165" s="25"/>
      <c r="C165" s="25"/>
      <c r="D165" s="25"/>
      <c r="E165" s="25"/>
      <c r="F165" s="25"/>
      <c r="G165" s="25"/>
      <c r="H165" s="25"/>
      <c r="I165" s="25"/>
      <c r="J165" s="25"/>
      <c r="K165" s="25"/>
    </row>
    <row r="166" spans="1:11" ht="12.75">
      <c r="A166" s="25"/>
      <c r="B166" s="25"/>
      <c r="C166" s="25"/>
      <c r="D166" s="25"/>
      <c r="E166" s="25"/>
      <c r="F166" s="25"/>
      <c r="G166" s="25"/>
      <c r="H166" s="25"/>
      <c r="I166" s="25"/>
      <c r="J166" s="25"/>
      <c r="K166" s="25"/>
    </row>
    <row r="167" spans="1:11" ht="12.75">
      <c r="A167" s="25"/>
      <c r="B167" s="25"/>
      <c r="C167" s="25"/>
      <c r="D167" s="25"/>
      <c r="E167" s="25"/>
      <c r="F167" s="25"/>
      <c r="G167" s="25"/>
      <c r="H167" s="25"/>
      <c r="I167" s="25"/>
      <c r="J167" s="25"/>
      <c r="K167" s="25"/>
    </row>
    <row r="168" spans="1:11" ht="12.75">
      <c r="A168" s="25"/>
      <c r="B168" s="25"/>
      <c r="C168" s="25"/>
      <c r="D168" s="25"/>
      <c r="E168" s="25"/>
      <c r="F168" s="25"/>
      <c r="G168" s="25"/>
      <c r="H168" s="25"/>
      <c r="I168" s="25"/>
      <c r="J168" s="25"/>
      <c r="K168" s="25"/>
    </row>
    <row r="169" spans="1:11" ht="12.75">
      <c r="A169" s="25"/>
      <c r="B169" s="25"/>
      <c r="C169" s="25"/>
      <c r="D169" s="25"/>
      <c r="E169" s="25"/>
      <c r="F169" s="25"/>
      <c r="G169" s="25"/>
      <c r="H169" s="25"/>
      <c r="I169" s="25"/>
      <c r="J169" s="25"/>
      <c r="K169" s="25"/>
    </row>
    <row r="170" spans="1:11" ht="12.75">
      <c r="A170" s="25"/>
      <c r="B170" s="25"/>
      <c r="C170" s="25"/>
      <c r="D170" s="25"/>
      <c r="E170" s="25"/>
      <c r="F170" s="25"/>
      <c r="G170" s="25"/>
      <c r="H170" s="25"/>
      <c r="I170" s="25"/>
      <c r="J170" s="25"/>
      <c r="K170" s="25"/>
    </row>
    <row r="171" spans="1:11" ht="12.75">
      <c r="A171" s="25"/>
      <c r="B171" s="25"/>
      <c r="C171" s="25"/>
      <c r="D171" s="25"/>
      <c r="E171" s="25"/>
      <c r="F171" s="25"/>
      <c r="G171" s="25"/>
      <c r="H171" s="25"/>
      <c r="I171" s="25"/>
      <c r="J171" s="25"/>
      <c r="K171" s="25"/>
    </row>
    <row r="172" spans="1:11" ht="12.75">
      <c r="A172" s="25"/>
      <c r="B172" s="25"/>
      <c r="C172" s="25"/>
      <c r="D172" s="25"/>
      <c r="E172" s="25"/>
      <c r="F172" s="25"/>
      <c r="G172" s="25"/>
      <c r="H172" s="25"/>
      <c r="I172" s="25"/>
      <c r="J172" s="25"/>
      <c r="K172" s="25"/>
    </row>
    <row r="173" spans="1:11" ht="12.75">
      <c r="A173" s="25"/>
      <c r="B173" s="25"/>
      <c r="C173" s="25"/>
      <c r="D173" s="25"/>
      <c r="E173" s="25"/>
      <c r="F173" s="25"/>
      <c r="G173" s="25"/>
      <c r="H173" s="25"/>
      <c r="I173" s="25"/>
      <c r="J173" s="25"/>
      <c r="K173" s="25"/>
    </row>
    <row r="174" spans="1:11" ht="12.75">
      <c r="A174" s="25"/>
      <c r="B174" s="25"/>
      <c r="C174" s="25"/>
      <c r="D174" s="25"/>
      <c r="E174" s="25"/>
      <c r="F174" s="25"/>
      <c r="G174" s="25"/>
      <c r="H174" s="25"/>
      <c r="I174" s="25"/>
      <c r="J174" s="25"/>
      <c r="K174" s="25"/>
    </row>
    <row r="175" spans="1:11" ht="12.75">
      <c r="A175" s="25"/>
      <c r="B175" s="25"/>
      <c r="C175" s="25"/>
      <c r="D175" s="25"/>
      <c r="E175" s="25"/>
      <c r="F175" s="25"/>
      <c r="G175" s="25"/>
      <c r="H175" s="25"/>
      <c r="I175" s="25"/>
      <c r="J175" s="25"/>
      <c r="K175" s="25"/>
    </row>
    <row r="176" spans="1:11" ht="12.75">
      <c r="A176" s="25"/>
      <c r="B176" s="25"/>
      <c r="C176" s="25"/>
      <c r="D176" s="25"/>
      <c r="E176" s="25"/>
      <c r="F176" s="25"/>
      <c r="G176" s="25"/>
      <c r="H176" s="25"/>
      <c r="I176" s="25"/>
      <c r="J176" s="25"/>
      <c r="K176" s="25"/>
    </row>
    <row r="177" spans="1:11" ht="12.75">
      <c r="A177" s="25"/>
      <c r="B177" s="25"/>
      <c r="C177" s="25"/>
      <c r="D177" s="25"/>
      <c r="E177" s="25"/>
      <c r="F177" s="25"/>
      <c r="G177" s="25"/>
      <c r="H177" s="25"/>
      <c r="I177" s="25"/>
      <c r="J177" s="25"/>
      <c r="K177" s="25"/>
    </row>
    <row r="178" spans="1:11" ht="12.75">
      <c r="A178" s="25"/>
      <c r="B178" s="25"/>
      <c r="C178" s="25"/>
      <c r="D178" s="25"/>
      <c r="E178" s="25"/>
      <c r="F178" s="25"/>
      <c r="G178" s="25"/>
      <c r="H178" s="25"/>
      <c r="I178" s="25"/>
      <c r="J178" s="25"/>
      <c r="K178" s="25"/>
    </row>
    <row r="179" spans="1:11" ht="12.75">
      <c r="A179" s="25"/>
      <c r="B179" s="25"/>
      <c r="C179" s="25"/>
      <c r="D179" s="25"/>
      <c r="E179" s="25"/>
      <c r="F179" s="25"/>
      <c r="G179" s="25"/>
      <c r="H179" s="25"/>
      <c r="I179" s="25"/>
      <c r="J179" s="25"/>
      <c r="K179" s="25"/>
    </row>
    <row r="180" spans="1:11" ht="12.75">
      <c r="A180" s="25"/>
      <c r="B180" s="25"/>
      <c r="C180" s="25"/>
      <c r="D180" s="25"/>
      <c r="E180" s="25"/>
      <c r="F180" s="25"/>
      <c r="G180" s="25"/>
      <c r="H180" s="25"/>
      <c r="I180" s="25"/>
      <c r="J180" s="25"/>
      <c r="K180" s="25"/>
    </row>
    <row r="181" spans="1:11" ht="12.75">
      <c r="A181" s="25"/>
      <c r="B181" s="25"/>
      <c r="C181" s="25"/>
      <c r="D181" s="25"/>
      <c r="E181" s="25"/>
      <c r="F181" s="25"/>
      <c r="G181" s="25"/>
      <c r="H181" s="25"/>
      <c r="I181" s="25"/>
      <c r="J181" s="25"/>
      <c r="K181" s="25"/>
    </row>
    <row r="182" spans="1:11" ht="12.75">
      <c r="A182" s="25"/>
      <c r="B182" s="25"/>
      <c r="C182" s="25"/>
      <c r="D182" s="25"/>
      <c r="E182" s="25"/>
      <c r="F182" s="25"/>
      <c r="G182" s="25"/>
      <c r="H182" s="25"/>
      <c r="I182" s="25"/>
      <c r="J182" s="25"/>
      <c r="K182" s="25"/>
    </row>
    <row r="183" spans="1:11" ht="12.75">
      <c r="A183" s="25"/>
      <c r="B183" s="25"/>
      <c r="C183" s="25"/>
      <c r="D183" s="25"/>
      <c r="E183" s="25"/>
      <c r="F183" s="25"/>
      <c r="G183" s="25"/>
      <c r="H183" s="25"/>
      <c r="I183" s="25"/>
      <c r="J183" s="25"/>
      <c r="K183" s="25"/>
    </row>
    <row r="184" spans="1:11" ht="12.75">
      <c r="A184" s="25"/>
      <c r="B184" s="25"/>
      <c r="C184" s="25"/>
      <c r="D184" s="25"/>
      <c r="E184" s="25"/>
      <c r="F184" s="25"/>
      <c r="G184" s="25"/>
      <c r="H184" s="25"/>
      <c r="I184" s="25"/>
      <c r="J184" s="25"/>
      <c r="K184" s="25"/>
    </row>
    <row r="185" spans="1:11" ht="12.75">
      <c r="A185" s="25"/>
      <c r="B185" s="25"/>
      <c r="C185" s="25"/>
      <c r="D185" s="25"/>
      <c r="E185" s="25"/>
      <c r="F185" s="25"/>
      <c r="G185" s="25"/>
      <c r="H185" s="25"/>
      <c r="I185" s="25"/>
      <c r="J185" s="25"/>
      <c r="K185" s="25"/>
    </row>
    <row r="186" spans="1:11" ht="12.75">
      <c r="A186" s="25"/>
      <c r="B186" s="25"/>
      <c r="C186" s="25"/>
      <c r="D186" s="25"/>
      <c r="E186" s="25"/>
      <c r="F186" s="25"/>
      <c r="G186" s="25"/>
      <c r="H186" s="25"/>
      <c r="I186" s="25"/>
      <c r="J186" s="25"/>
      <c r="K186" s="25"/>
    </row>
    <row r="187" spans="1:11" ht="12.75">
      <c r="A187" s="25"/>
      <c r="B187" s="25"/>
      <c r="C187" s="25"/>
      <c r="D187" s="25"/>
      <c r="E187" s="25"/>
      <c r="F187" s="25"/>
      <c r="G187" s="25"/>
      <c r="H187" s="25"/>
      <c r="I187" s="25"/>
      <c r="J187" s="25"/>
      <c r="K187" s="25"/>
    </row>
    <row r="188" spans="1:11" ht="12.75">
      <c r="A188" s="25"/>
      <c r="B188" s="25"/>
      <c r="C188" s="25"/>
      <c r="D188" s="25"/>
      <c r="E188" s="25"/>
      <c r="F188" s="25"/>
      <c r="G188" s="25"/>
      <c r="H188" s="25"/>
      <c r="I188" s="25"/>
      <c r="J188" s="25"/>
      <c r="K188" s="25"/>
    </row>
    <row r="189" spans="1:11" ht="12.75">
      <c r="A189" s="25"/>
      <c r="B189" s="25"/>
      <c r="C189" s="25"/>
      <c r="D189" s="25"/>
      <c r="E189" s="25"/>
      <c r="F189" s="25"/>
      <c r="G189" s="25"/>
      <c r="H189" s="25"/>
      <c r="I189" s="25"/>
      <c r="J189" s="25"/>
      <c r="K189" s="25"/>
    </row>
    <row r="190" spans="1:11" ht="12.75">
      <c r="A190" s="25"/>
      <c r="B190" s="25"/>
      <c r="C190" s="25"/>
      <c r="D190" s="25"/>
      <c r="E190" s="25"/>
      <c r="F190" s="25"/>
      <c r="G190" s="25"/>
      <c r="H190" s="25"/>
      <c r="I190" s="25"/>
      <c r="J190" s="25"/>
      <c r="K190" s="25"/>
    </row>
    <row r="191" spans="1:11" ht="12.75">
      <c r="A191" s="25"/>
      <c r="B191" s="25"/>
      <c r="C191" s="25"/>
      <c r="D191" s="25"/>
      <c r="E191" s="25"/>
      <c r="F191" s="25"/>
      <c r="G191" s="25"/>
      <c r="H191" s="25"/>
      <c r="I191" s="25"/>
      <c r="J191" s="25"/>
      <c r="K191" s="25"/>
    </row>
    <row r="192" spans="1:11" ht="12.75">
      <c r="A192" s="25"/>
      <c r="B192" s="25"/>
      <c r="C192" s="25"/>
      <c r="D192" s="25"/>
      <c r="E192" s="25"/>
      <c r="F192" s="25"/>
      <c r="G192" s="25"/>
      <c r="H192" s="25"/>
      <c r="I192" s="25"/>
      <c r="J192" s="25"/>
      <c r="K192" s="25"/>
    </row>
    <row r="193" spans="1:11" ht="12.75">
      <c r="A193" s="25"/>
      <c r="B193" s="25"/>
      <c r="C193" s="25"/>
      <c r="D193" s="25"/>
      <c r="E193" s="25"/>
      <c r="F193" s="25"/>
      <c r="G193" s="25"/>
      <c r="H193" s="25"/>
      <c r="I193" s="25"/>
      <c r="J193" s="25"/>
      <c r="K193" s="25"/>
    </row>
    <row r="194" spans="1:11" ht="12.75">
      <c r="A194" s="25"/>
      <c r="B194" s="25"/>
      <c r="C194" s="25"/>
      <c r="D194" s="25"/>
      <c r="E194" s="25"/>
      <c r="F194" s="25"/>
      <c r="G194" s="25"/>
      <c r="H194" s="25"/>
      <c r="I194" s="25"/>
      <c r="J194" s="25"/>
      <c r="K194" s="25"/>
    </row>
    <row r="195" spans="1:11" ht="12.75">
      <c r="A195" s="25"/>
      <c r="B195" s="25"/>
      <c r="C195" s="25"/>
      <c r="D195" s="25"/>
      <c r="E195" s="25"/>
      <c r="F195" s="25"/>
      <c r="G195" s="25"/>
      <c r="H195" s="25"/>
      <c r="I195" s="25"/>
      <c r="J195" s="25"/>
      <c r="K195" s="25"/>
    </row>
    <row r="196" spans="1:11" ht="12.75">
      <c r="A196" s="25"/>
      <c r="B196" s="25"/>
      <c r="C196" s="25"/>
      <c r="D196" s="25"/>
      <c r="E196" s="25"/>
      <c r="F196" s="25"/>
      <c r="G196" s="25"/>
      <c r="H196" s="25"/>
      <c r="I196" s="25"/>
      <c r="J196" s="25"/>
      <c r="K196" s="25"/>
    </row>
    <row r="197" spans="1:11" ht="12.75">
      <c r="A197" s="25"/>
      <c r="B197" s="25"/>
      <c r="C197" s="25"/>
      <c r="D197" s="25"/>
      <c r="E197" s="25"/>
      <c r="F197" s="25"/>
      <c r="G197" s="25"/>
      <c r="H197" s="25"/>
      <c r="I197" s="25"/>
      <c r="J197" s="25"/>
      <c r="K197" s="25"/>
    </row>
    <row r="198" spans="1:11" ht="12.75">
      <c r="A198" s="25"/>
      <c r="B198" s="25"/>
      <c r="C198" s="25"/>
      <c r="D198" s="25"/>
      <c r="E198" s="25"/>
      <c r="F198" s="25"/>
      <c r="G198" s="25"/>
      <c r="H198" s="25"/>
      <c r="I198" s="25"/>
      <c r="J198" s="25"/>
      <c r="K198" s="25"/>
    </row>
    <row r="199" spans="1:11" ht="12.75">
      <c r="A199" s="25"/>
      <c r="B199" s="25"/>
      <c r="C199" s="25"/>
      <c r="D199" s="25"/>
      <c r="E199" s="25"/>
      <c r="F199" s="25"/>
      <c r="G199" s="25"/>
      <c r="H199" s="25"/>
      <c r="I199" s="25"/>
      <c r="J199" s="25"/>
      <c r="K199" s="25"/>
    </row>
    <row r="200" spans="1:11" ht="12.75">
      <c r="A200" s="25"/>
      <c r="B200" s="25"/>
      <c r="C200" s="25"/>
      <c r="D200" s="25"/>
      <c r="E200" s="25"/>
      <c r="F200" s="25"/>
      <c r="G200" s="25"/>
      <c r="H200" s="25"/>
      <c r="I200" s="25"/>
      <c r="J200" s="25"/>
      <c r="K200" s="25"/>
    </row>
    <row r="201" spans="1:11" ht="12.75">
      <c r="A201" s="25"/>
      <c r="B201" s="25"/>
      <c r="C201" s="25"/>
      <c r="D201" s="25"/>
      <c r="E201" s="25"/>
      <c r="F201" s="25"/>
      <c r="G201" s="25"/>
      <c r="H201" s="25"/>
      <c r="I201" s="25"/>
      <c r="J201" s="25"/>
      <c r="K201" s="25"/>
    </row>
    <row r="202" spans="1:11" ht="12.75">
      <c r="A202" s="25"/>
      <c r="B202" s="25"/>
      <c r="C202" s="25"/>
      <c r="D202" s="25"/>
      <c r="E202" s="25"/>
      <c r="F202" s="25"/>
      <c r="G202" s="25"/>
      <c r="H202" s="25"/>
      <c r="I202" s="25"/>
      <c r="J202" s="25"/>
      <c r="K202" s="25"/>
    </row>
    <row r="203" spans="1:11" ht="12.75">
      <c r="A203" s="25"/>
      <c r="B203" s="25"/>
      <c r="C203" s="25"/>
      <c r="D203" s="25"/>
      <c r="E203" s="25"/>
      <c r="F203" s="25"/>
      <c r="G203" s="25"/>
      <c r="H203" s="25"/>
      <c r="I203" s="25"/>
      <c r="J203" s="25"/>
      <c r="K203" s="25"/>
    </row>
    <row r="204" spans="1:11" ht="12.75">
      <c r="A204" s="25"/>
      <c r="B204" s="25"/>
      <c r="C204" s="25"/>
      <c r="D204" s="25"/>
      <c r="E204" s="25"/>
      <c r="F204" s="25"/>
      <c r="G204" s="25"/>
      <c r="H204" s="25"/>
      <c r="I204" s="25"/>
      <c r="J204" s="25"/>
      <c r="K204" s="25"/>
    </row>
    <row r="205" spans="1:11" ht="12.75">
      <c r="A205" s="25"/>
      <c r="B205" s="25"/>
      <c r="C205" s="25"/>
      <c r="D205" s="25"/>
      <c r="E205" s="25"/>
      <c r="F205" s="25"/>
      <c r="G205" s="25"/>
      <c r="H205" s="25"/>
      <c r="I205" s="25"/>
      <c r="J205" s="25"/>
      <c r="K205" s="25"/>
    </row>
    <row r="206" spans="1:11" ht="12.75">
      <c r="A206" s="25"/>
      <c r="B206" s="25"/>
      <c r="C206" s="25"/>
      <c r="D206" s="25"/>
      <c r="E206" s="25"/>
      <c r="F206" s="25"/>
      <c r="G206" s="25"/>
      <c r="H206" s="25"/>
      <c r="I206" s="25"/>
      <c r="J206" s="25"/>
      <c r="K206" s="25"/>
    </row>
    <row r="207" spans="1:11" ht="12.75">
      <c r="A207" s="25"/>
      <c r="B207" s="25"/>
      <c r="C207" s="25"/>
      <c r="D207" s="25"/>
      <c r="E207" s="25"/>
      <c r="F207" s="25"/>
      <c r="G207" s="25"/>
      <c r="H207" s="25"/>
      <c r="I207" s="25"/>
      <c r="J207" s="25"/>
      <c r="K207" s="25"/>
    </row>
    <row r="208" spans="1:11" ht="12.75">
      <c r="A208" s="25"/>
      <c r="B208" s="25"/>
      <c r="C208" s="25"/>
      <c r="D208" s="25"/>
      <c r="E208" s="25"/>
      <c r="F208" s="25"/>
      <c r="G208" s="25"/>
      <c r="H208" s="25"/>
      <c r="I208" s="25"/>
      <c r="J208" s="25"/>
      <c r="K208" s="25"/>
    </row>
    <row r="209" spans="1:11" ht="12.75">
      <c r="A209" s="25"/>
      <c r="B209" s="25"/>
      <c r="C209" s="25"/>
      <c r="D209" s="25"/>
      <c r="E209" s="25"/>
      <c r="F209" s="25"/>
      <c r="G209" s="25"/>
      <c r="H209" s="25"/>
      <c r="I209" s="25"/>
      <c r="J209" s="25"/>
      <c r="K209" s="25"/>
    </row>
    <row r="210" spans="1:11" ht="12.75">
      <c r="A210" s="25"/>
      <c r="B210" s="25"/>
      <c r="C210" s="25"/>
      <c r="D210" s="25"/>
      <c r="E210" s="25"/>
      <c r="F210" s="25"/>
      <c r="G210" s="25"/>
      <c r="H210" s="25"/>
      <c r="I210" s="25"/>
      <c r="J210" s="25"/>
      <c r="K210" s="25"/>
    </row>
    <row r="211" spans="1:11" ht="12.75">
      <c r="A211" s="25"/>
      <c r="B211" s="25"/>
      <c r="C211" s="25"/>
      <c r="D211" s="25"/>
      <c r="E211" s="25"/>
      <c r="F211" s="25"/>
      <c r="G211" s="25"/>
      <c r="H211" s="25"/>
      <c r="I211" s="25"/>
      <c r="J211" s="25"/>
      <c r="K211" s="25"/>
    </row>
    <row r="212" spans="1:11" ht="12.75">
      <c r="A212" s="25"/>
      <c r="B212" s="25"/>
      <c r="C212" s="25"/>
      <c r="D212" s="25"/>
      <c r="E212" s="25"/>
      <c r="F212" s="25"/>
      <c r="G212" s="25"/>
      <c r="H212" s="25"/>
      <c r="I212" s="25"/>
      <c r="J212" s="25"/>
      <c r="K212" s="25"/>
    </row>
    <row r="213" spans="1:11" ht="12.75">
      <c r="A213" s="25"/>
      <c r="B213" s="25"/>
      <c r="C213" s="25"/>
      <c r="D213" s="25"/>
      <c r="E213" s="25"/>
      <c r="F213" s="25"/>
      <c r="G213" s="25"/>
      <c r="H213" s="25"/>
      <c r="I213" s="25"/>
      <c r="J213" s="25"/>
      <c r="K213" s="25"/>
    </row>
    <row r="214" spans="1:11" ht="12.75">
      <c r="A214" s="25"/>
      <c r="B214" s="25"/>
      <c r="C214" s="25"/>
      <c r="D214" s="25"/>
      <c r="E214" s="25"/>
      <c r="F214" s="25"/>
      <c r="G214" s="25"/>
      <c r="H214" s="25"/>
      <c r="I214" s="25"/>
      <c r="J214" s="25"/>
      <c r="K214" s="25"/>
    </row>
    <row r="215" spans="1:11" ht="12.75">
      <c r="A215" s="25"/>
      <c r="B215" s="25"/>
      <c r="C215" s="25"/>
      <c r="D215" s="25"/>
      <c r="E215" s="25"/>
      <c r="F215" s="25"/>
      <c r="G215" s="25"/>
      <c r="H215" s="25"/>
      <c r="I215" s="25"/>
      <c r="J215" s="25"/>
      <c r="K215" s="25"/>
    </row>
    <row r="216" spans="1:11" ht="12.75">
      <c r="A216" s="25"/>
      <c r="B216" s="25"/>
      <c r="C216" s="25"/>
      <c r="D216" s="25"/>
      <c r="E216" s="25"/>
      <c r="F216" s="25"/>
      <c r="G216" s="25"/>
      <c r="H216" s="25"/>
      <c r="I216" s="25"/>
      <c r="J216" s="25"/>
      <c r="K216" s="25"/>
    </row>
    <row r="217" spans="1:11" ht="12.75">
      <c r="A217" s="25"/>
      <c r="B217" s="25"/>
      <c r="C217" s="25"/>
      <c r="D217" s="25"/>
      <c r="E217" s="25"/>
      <c r="F217" s="25"/>
      <c r="G217" s="25"/>
      <c r="H217" s="25"/>
      <c r="I217" s="25"/>
      <c r="J217" s="25"/>
      <c r="K217" s="25"/>
    </row>
    <row r="218" spans="1:11" ht="12.75">
      <c r="A218" s="25"/>
      <c r="B218" s="25"/>
      <c r="C218" s="25"/>
      <c r="D218" s="25"/>
      <c r="E218" s="25"/>
      <c r="F218" s="25"/>
      <c r="G218" s="25"/>
      <c r="H218" s="25"/>
      <c r="I218" s="25"/>
      <c r="J218" s="25"/>
      <c r="K218" s="25"/>
    </row>
    <row r="219" spans="1:11" ht="12.75">
      <c r="A219" s="25"/>
      <c r="B219" s="25"/>
      <c r="C219" s="25"/>
      <c r="D219" s="25"/>
      <c r="E219" s="25"/>
      <c r="F219" s="25"/>
      <c r="G219" s="25"/>
      <c r="H219" s="25"/>
      <c r="I219" s="25"/>
      <c r="J219" s="25"/>
      <c r="K219" s="25"/>
    </row>
    <row r="220" spans="1:11" ht="12.75">
      <c r="A220" s="25"/>
      <c r="B220" s="25"/>
      <c r="C220" s="25"/>
      <c r="D220" s="25"/>
      <c r="E220" s="25"/>
      <c r="F220" s="25"/>
      <c r="G220" s="25"/>
      <c r="H220" s="25"/>
      <c r="I220" s="25"/>
      <c r="J220" s="25"/>
      <c r="K220" s="25"/>
    </row>
    <row r="221" spans="1:11" ht="12.75">
      <c r="A221" s="25"/>
      <c r="B221" s="25"/>
      <c r="C221" s="25"/>
      <c r="D221" s="25"/>
      <c r="E221" s="25"/>
      <c r="F221" s="25"/>
      <c r="G221" s="25"/>
      <c r="H221" s="25"/>
      <c r="I221" s="25"/>
      <c r="J221" s="25"/>
      <c r="K221" s="25"/>
    </row>
    <row r="222" spans="1:11" ht="12.75">
      <c r="A222" s="25"/>
      <c r="B222" s="25"/>
      <c r="C222" s="25"/>
      <c r="D222" s="25"/>
      <c r="E222" s="25"/>
      <c r="F222" s="25"/>
      <c r="G222" s="25"/>
      <c r="H222" s="25"/>
      <c r="I222" s="25"/>
      <c r="J222" s="25"/>
      <c r="K222" s="25"/>
    </row>
    <row r="223" spans="1:11" ht="12.75">
      <c r="A223" s="25"/>
      <c r="B223" s="25"/>
      <c r="C223" s="25"/>
      <c r="D223" s="25"/>
      <c r="E223" s="25"/>
      <c r="F223" s="25"/>
      <c r="G223" s="25"/>
      <c r="H223" s="25"/>
      <c r="I223" s="25"/>
      <c r="J223" s="25"/>
      <c r="K223" s="25"/>
    </row>
    <row r="224" spans="1:11" ht="12.75">
      <c r="A224" s="25"/>
      <c r="B224" s="25"/>
      <c r="C224" s="25"/>
      <c r="D224" s="25"/>
      <c r="E224" s="25"/>
      <c r="F224" s="25"/>
      <c r="G224" s="25"/>
      <c r="H224" s="25"/>
      <c r="I224" s="25"/>
      <c r="J224" s="25"/>
      <c r="K224" s="25"/>
    </row>
    <row r="225" spans="1:11" ht="12.75">
      <c r="A225" s="25"/>
      <c r="B225" s="25"/>
      <c r="C225" s="25"/>
      <c r="D225" s="25"/>
      <c r="E225" s="25"/>
      <c r="F225" s="25"/>
      <c r="G225" s="25"/>
      <c r="H225" s="25"/>
      <c r="I225" s="25"/>
      <c r="J225" s="25"/>
      <c r="K225" s="25"/>
    </row>
    <row r="226" spans="1:11" ht="12.75">
      <c r="A226" s="25"/>
      <c r="B226" s="25"/>
      <c r="C226" s="25"/>
      <c r="D226" s="25"/>
      <c r="E226" s="25"/>
      <c r="F226" s="25"/>
      <c r="G226" s="25"/>
      <c r="H226" s="25"/>
      <c r="I226" s="25"/>
      <c r="J226" s="25"/>
      <c r="K226" s="25"/>
    </row>
    <row r="227" spans="1:11" ht="12.75">
      <c r="A227" s="25"/>
      <c r="B227" s="25"/>
      <c r="C227" s="25"/>
      <c r="D227" s="25"/>
      <c r="E227" s="25"/>
      <c r="F227" s="25"/>
      <c r="G227" s="25"/>
      <c r="H227" s="25"/>
      <c r="I227" s="25"/>
      <c r="J227" s="25"/>
      <c r="K227" s="25"/>
    </row>
    <row r="228" spans="1:11" ht="12.75">
      <c r="A228" s="25"/>
      <c r="B228" s="25"/>
      <c r="C228" s="25"/>
      <c r="D228" s="25"/>
      <c r="E228" s="25"/>
      <c r="F228" s="25"/>
      <c r="G228" s="25"/>
      <c r="H228" s="25"/>
      <c r="I228" s="25"/>
      <c r="J228" s="25"/>
      <c r="K228" s="25"/>
    </row>
    <row r="229" spans="1:11" ht="12.75">
      <c r="A229" s="25"/>
      <c r="B229" s="25"/>
      <c r="C229" s="25"/>
      <c r="D229" s="25"/>
      <c r="E229" s="25"/>
      <c r="F229" s="25"/>
      <c r="G229" s="25"/>
      <c r="H229" s="25"/>
      <c r="I229" s="25"/>
      <c r="J229" s="25"/>
      <c r="K229" s="25"/>
    </row>
    <row r="230" spans="1:11" ht="12.75">
      <c r="A230" s="25"/>
      <c r="B230" s="25"/>
      <c r="C230" s="25"/>
      <c r="D230" s="25"/>
      <c r="E230" s="25"/>
      <c r="F230" s="25"/>
      <c r="G230" s="25"/>
      <c r="H230" s="25"/>
      <c r="I230" s="25"/>
      <c r="J230" s="25"/>
      <c r="K230" s="25"/>
    </row>
    <row r="231" spans="1:11" ht="12.75">
      <c r="A231" s="25"/>
      <c r="B231" s="25"/>
      <c r="C231" s="25"/>
      <c r="D231" s="25"/>
      <c r="E231" s="25"/>
      <c r="F231" s="25"/>
      <c r="G231" s="25"/>
      <c r="H231" s="25"/>
      <c r="I231" s="25"/>
      <c r="J231" s="25"/>
      <c r="K231" s="25"/>
    </row>
    <row r="232" spans="1:11" ht="12.75">
      <c r="A232" s="25"/>
      <c r="B232" s="25"/>
      <c r="C232" s="25"/>
      <c r="D232" s="25"/>
      <c r="E232" s="25"/>
      <c r="F232" s="25"/>
      <c r="G232" s="25"/>
      <c r="H232" s="25"/>
      <c r="I232" s="25"/>
      <c r="J232" s="25"/>
      <c r="K232" s="25"/>
    </row>
    <row r="233" spans="1:11" ht="12.75">
      <c r="A233" s="25"/>
      <c r="B233" s="25"/>
      <c r="C233" s="25"/>
      <c r="D233" s="25"/>
      <c r="E233" s="25"/>
      <c r="F233" s="25"/>
      <c r="G233" s="25"/>
      <c r="H233" s="25"/>
      <c r="I233" s="25"/>
      <c r="J233" s="25"/>
      <c r="K233" s="25"/>
    </row>
    <row r="234" spans="1:11" ht="12.75">
      <c r="A234" s="25"/>
      <c r="B234" s="25"/>
      <c r="C234" s="25"/>
      <c r="D234" s="25"/>
      <c r="E234" s="25"/>
      <c r="F234" s="25"/>
      <c r="G234" s="25"/>
      <c r="H234" s="25"/>
      <c r="I234" s="25"/>
      <c r="J234" s="25"/>
      <c r="K234" s="25"/>
    </row>
    <row r="235" spans="1:11" ht="12.75">
      <c r="A235" s="25"/>
      <c r="B235" s="25"/>
      <c r="C235" s="25"/>
      <c r="D235" s="25"/>
      <c r="E235" s="25"/>
      <c r="F235" s="25"/>
      <c r="G235" s="25"/>
      <c r="H235" s="25"/>
      <c r="I235" s="25"/>
      <c r="J235" s="25"/>
      <c r="K235" s="25"/>
    </row>
    <row r="236" spans="1:11" ht="12.75">
      <c r="A236" s="25"/>
      <c r="B236" s="25"/>
      <c r="C236" s="25"/>
      <c r="D236" s="25"/>
      <c r="E236" s="25"/>
      <c r="F236" s="25"/>
      <c r="G236" s="25"/>
      <c r="H236" s="25"/>
      <c r="I236" s="25"/>
      <c r="J236" s="25"/>
      <c r="K236" s="25"/>
    </row>
    <row r="237" spans="1:11" ht="12.75">
      <c r="A237" s="25"/>
      <c r="B237" s="25"/>
      <c r="C237" s="25"/>
      <c r="D237" s="25"/>
      <c r="E237" s="25"/>
      <c r="F237" s="25"/>
      <c r="G237" s="25"/>
      <c r="H237" s="25"/>
      <c r="I237" s="25"/>
      <c r="J237" s="25"/>
      <c r="K237" s="25"/>
    </row>
    <row r="238" spans="1:11" ht="12.75">
      <c r="A238" s="25"/>
      <c r="B238" s="25"/>
      <c r="C238" s="25"/>
      <c r="D238" s="25"/>
      <c r="E238" s="25"/>
      <c r="F238" s="25"/>
      <c r="G238" s="25"/>
      <c r="H238" s="25"/>
      <c r="I238" s="25"/>
      <c r="J238" s="25"/>
      <c r="K238" s="25"/>
    </row>
    <row r="239" spans="1:11" ht="12.75">
      <c r="A239" s="25"/>
      <c r="B239" s="25"/>
      <c r="C239" s="25"/>
      <c r="D239" s="25"/>
      <c r="E239" s="25"/>
      <c r="F239" s="25"/>
      <c r="G239" s="25"/>
      <c r="H239" s="25"/>
      <c r="I239" s="25"/>
      <c r="J239" s="25"/>
      <c r="K239" s="25"/>
    </row>
    <row r="240" spans="1:11" ht="12.75">
      <c r="A240" s="25"/>
      <c r="B240" s="25"/>
      <c r="C240" s="25"/>
      <c r="D240" s="25"/>
      <c r="E240" s="25"/>
      <c r="F240" s="25"/>
      <c r="G240" s="25"/>
      <c r="H240" s="25"/>
      <c r="I240" s="25"/>
      <c r="J240" s="25"/>
      <c r="K240" s="25"/>
    </row>
    <row r="241" spans="1:11" ht="12.75">
      <c r="A241" s="25"/>
      <c r="B241" s="25"/>
      <c r="C241" s="25"/>
      <c r="D241" s="25"/>
      <c r="E241" s="25"/>
      <c r="F241" s="25"/>
      <c r="G241" s="25"/>
      <c r="H241" s="25"/>
      <c r="I241" s="25"/>
      <c r="J241" s="25"/>
      <c r="K241" s="25"/>
    </row>
    <row r="242" spans="1:11" ht="12.75">
      <c r="A242" s="25"/>
      <c r="B242" s="25"/>
      <c r="C242" s="25"/>
      <c r="D242" s="25"/>
      <c r="E242" s="25"/>
      <c r="F242" s="25"/>
      <c r="G242" s="25"/>
      <c r="H242" s="25"/>
      <c r="I242" s="25"/>
      <c r="J242" s="25"/>
      <c r="K242" s="25"/>
    </row>
    <row r="243" spans="1:11" ht="12.75">
      <c r="A243" s="25"/>
      <c r="B243" s="25"/>
      <c r="C243" s="25"/>
      <c r="D243" s="25"/>
      <c r="E243" s="25"/>
      <c r="F243" s="25"/>
      <c r="G243" s="25"/>
      <c r="H243" s="25"/>
      <c r="I243" s="25"/>
      <c r="J243" s="25"/>
      <c r="K243" s="25"/>
    </row>
    <row r="244" spans="1:11" ht="12.75">
      <c r="A244" s="25"/>
      <c r="B244" s="25"/>
      <c r="C244" s="25"/>
      <c r="D244" s="25"/>
      <c r="E244" s="25"/>
      <c r="F244" s="25"/>
      <c r="G244" s="25"/>
      <c r="H244" s="25"/>
      <c r="I244" s="25"/>
      <c r="J244" s="25"/>
      <c r="K244" s="25"/>
    </row>
    <row r="245" spans="1:11" ht="12.75">
      <c r="A245" s="25"/>
      <c r="B245" s="25"/>
      <c r="C245" s="25"/>
      <c r="D245" s="25"/>
      <c r="E245" s="25"/>
      <c r="F245" s="25"/>
      <c r="G245" s="25"/>
      <c r="H245" s="25"/>
      <c r="I245" s="25"/>
      <c r="J245" s="25"/>
      <c r="K245" s="25"/>
    </row>
    <row r="246" spans="1:11" ht="12.75">
      <c r="A246" s="25"/>
      <c r="B246" s="25"/>
      <c r="C246" s="25"/>
      <c r="D246" s="25"/>
      <c r="E246" s="25"/>
      <c r="F246" s="25"/>
      <c r="G246" s="25"/>
      <c r="H246" s="25"/>
      <c r="I246" s="25"/>
      <c r="J246" s="25"/>
      <c r="K246" s="25"/>
    </row>
    <row r="247" spans="1:11" ht="12.75">
      <c r="A247" s="25"/>
      <c r="B247" s="25"/>
      <c r="C247" s="25"/>
      <c r="D247" s="25"/>
      <c r="E247" s="25"/>
      <c r="F247" s="25"/>
      <c r="G247" s="25"/>
      <c r="H247" s="25"/>
      <c r="I247" s="25"/>
      <c r="J247" s="25"/>
      <c r="K247" s="25"/>
    </row>
    <row r="248" spans="1:11" ht="12.75">
      <c r="A248" s="25"/>
      <c r="B248" s="25"/>
      <c r="C248" s="25"/>
      <c r="D248" s="25"/>
      <c r="E248" s="25"/>
      <c r="F248" s="25"/>
      <c r="G248" s="25"/>
      <c r="H248" s="25"/>
      <c r="I248" s="25"/>
      <c r="J248" s="25"/>
      <c r="K248" s="25"/>
    </row>
    <row r="249" spans="1:11" ht="12.75">
      <c r="A249" s="25"/>
      <c r="B249" s="25"/>
      <c r="C249" s="25"/>
      <c r="D249" s="25"/>
      <c r="E249" s="25"/>
      <c r="F249" s="25"/>
      <c r="G249" s="25"/>
      <c r="H249" s="25"/>
      <c r="I249" s="25"/>
      <c r="J249" s="25"/>
      <c r="K249" s="25"/>
    </row>
    <row r="250" spans="1:11" ht="12.75">
      <c r="A250" s="25"/>
      <c r="B250" s="25"/>
      <c r="C250" s="25"/>
      <c r="D250" s="25"/>
      <c r="E250" s="25"/>
      <c r="F250" s="25"/>
      <c r="G250" s="25"/>
      <c r="H250" s="25"/>
      <c r="I250" s="25"/>
      <c r="J250" s="25"/>
      <c r="K250" s="25"/>
    </row>
    <row r="251" spans="1:11" ht="12.75">
      <c r="A251" s="25"/>
      <c r="B251" s="25"/>
      <c r="C251" s="25"/>
      <c r="D251" s="25"/>
      <c r="E251" s="25"/>
      <c r="F251" s="25"/>
      <c r="G251" s="25"/>
      <c r="H251" s="25"/>
      <c r="I251" s="25"/>
      <c r="J251" s="25"/>
      <c r="K251" s="25"/>
    </row>
    <row r="252" spans="1:11" ht="12.75">
      <c r="A252" s="25"/>
      <c r="B252" s="25"/>
      <c r="C252" s="25"/>
      <c r="D252" s="25"/>
      <c r="E252" s="25"/>
      <c r="F252" s="25"/>
      <c r="G252" s="25"/>
      <c r="H252" s="25"/>
      <c r="I252" s="25"/>
      <c r="J252" s="25"/>
      <c r="K252" s="25"/>
    </row>
    <row r="253" spans="1:11" ht="12.75">
      <c r="A253" s="25"/>
      <c r="B253" s="25"/>
      <c r="C253" s="25"/>
      <c r="D253" s="25"/>
      <c r="E253" s="25"/>
      <c r="F253" s="25"/>
      <c r="G253" s="25"/>
      <c r="H253" s="25"/>
      <c r="I253" s="25"/>
      <c r="J253" s="25"/>
      <c r="K253" s="25"/>
    </row>
    <row r="254" spans="1:11" ht="12.75">
      <c r="A254" s="25"/>
      <c r="B254" s="25"/>
      <c r="C254" s="25"/>
      <c r="D254" s="25"/>
      <c r="E254" s="25"/>
      <c r="F254" s="25"/>
      <c r="G254" s="25"/>
      <c r="H254" s="25"/>
      <c r="I254" s="25"/>
      <c r="J254" s="25"/>
      <c r="K254" s="25"/>
    </row>
    <row r="255" spans="1:11" ht="12.75">
      <c r="A255" s="25"/>
      <c r="B255" s="25"/>
      <c r="C255" s="25"/>
      <c r="D255" s="25"/>
      <c r="E255" s="25"/>
      <c r="F255" s="25"/>
      <c r="G255" s="25"/>
      <c r="H255" s="25"/>
      <c r="I255" s="25"/>
      <c r="J255" s="25"/>
      <c r="K255" s="25"/>
    </row>
    <row r="256" spans="1:11" ht="12.75">
      <c r="A256" s="25"/>
      <c r="B256" s="25"/>
      <c r="C256" s="25"/>
      <c r="D256" s="25"/>
      <c r="E256" s="25"/>
      <c r="F256" s="25"/>
      <c r="G256" s="25"/>
      <c r="H256" s="25"/>
      <c r="I256" s="25"/>
      <c r="J256" s="25"/>
      <c r="K256" s="25"/>
    </row>
    <row r="257" spans="1:11" ht="12.75">
      <c r="A257" s="25"/>
      <c r="B257" s="25"/>
      <c r="C257" s="25"/>
      <c r="D257" s="25"/>
      <c r="E257" s="25"/>
      <c r="F257" s="25"/>
      <c r="G257" s="25"/>
      <c r="H257" s="25"/>
      <c r="I257" s="25"/>
      <c r="J257" s="25"/>
      <c r="K257" s="25"/>
    </row>
    <row r="258" spans="1:11" ht="12.75">
      <c r="A258" s="25"/>
      <c r="B258" s="25"/>
      <c r="C258" s="25"/>
      <c r="D258" s="25"/>
      <c r="E258" s="25"/>
      <c r="F258" s="25"/>
      <c r="G258" s="25"/>
      <c r="H258" s="25"/>
      <c r="I258" s="25"/>
      <c r="J258" s="25"/>
      <c r="K258" s="25"/>
    </row>
    <row r="259" spans="1:11" ht="12.75">
      <c r="A259" s="25"/>
      <c r="B259" s="25"/>
      <c r="C259" s="25"/>
      <c r="D259" s="25"/>
      <c r="E259" s="25"/>
      <c r="F259" s="25"/>
      <c r="G259" s="25"/>
      <c r="H259" s="25"/>
      <c r="I259" s="25"/>
      <c r="J259" s="25"/>
      <c r="K259" s="25"/>
    </row>
    <row r="260" spans="1:11" ht="12.75">
      <c r="A260" s="25"/>
      <c r="B260" s="25"/>
      <c r="C260" s="25"/>
      <c r="D260" s="25"/>
      <c r="E260" s="25"/>
      <c r="F260" s="25"/>
      <c r="G260" s="25"/>
      <c r="H260" s="25"/>
      <c r="I260" s="25"/>
      <c r="J260" s="25"/>
      <c r="K260" s="25"/>
    </row>
    <row r="261" spans="1:11" ht="12.75">
      <c r="A261" s="25"/>
      <c r="B261" s="25"/>
      <c r="C261" s="25"/>
      <c r="D261" s="25"/>
      <c r="E261" s="25"/>
      <c r="F261" s="25"/>
      <c r="G261" s="25"/>
      <c r="H261" s="25"/>
      <c r="I261" s="25"/>
      <c r="J261" s="25"/>
      <c r="K261" s="25"/>
    </row>
    <row r="262" spans="1:11" ht="12.75">
      <c r="A262" s="25"/>
      <c r="B262" s="25"/>
      <c r="C262" s="25"/>
      <c r="D262" s="25"/>
      <c r="E262" s="25"/>
      <c r="F262" s="25"/>
      <c r="G262" s="25"/>
      <c r="H262" s="25"/>
      <c r="I262" s="25"/>
      <c r="J262" s="25"/>
      <c r="K262" s="25"/>
    </row>
    <row r="263" spans="1:11" ht="12.75">
      <c r="A263" s="25"/>
      <c r="B263" s="25"/>
      <c r="C263" s="25"/>
      <c r="D263" s="25"/>
      <c r="E263" s="25"/>
      <c r="F263" s="25"/>
      <c r="G263" s="25"/>
      <c r="H263" s="25"/>
      <c r="I263" s="25"/>
      <c r="J263" s="25"/>
      <c r="K263" s="25"/>
    </row>
    <row r="264" spans="1:11" ht="12.75">
      <c r="A264" s="25"/>
      <c r="B264" s="25"/>
      <c r="C264" s="25"/>
      <c r="D264" s="25"/>
      <c r="E264" s="25"/>
      <c r="F264" s="25"/>
      <c r="G264" s="25"/>
      <c r="H264" s="25"/>
      <c r="I264" s="25"/>
      <c r="J264" s="25"/>
      <c r="K264" s="25"/>
    </row>
    <row r="265" spans="1:11" ht="12.75">
      <c r="A265" s="25"/>
      <c r="B265" s="25"/>
      <c r="C265" s="25"/>
      <c r="D265" s="25"/>
      <c r="E265" s="25"/>
      <c r="F265" s="25"/>
      <c r="G265" s="25"/>
      <c r="H265" s="25"/>
      <c r="I265" s="25"/>
      <c r="J265" s="25"/>
      <c r="K265" s="25"/>
    </row>
    <row r="266" spans="1:11" ht="12.75">
      <c r="A266" s="25"/>
      <c r="B266" s="25"/>
      <c r="C266" s="25"/>
      <c r="D266" s="25"/>
      <c r="E266" s="25"/>
      <c r="F266" s="25"/>
      <c r="G266" s="25"/>
      <c r="H266" s="25"/>
      <c r="I266" s="25"/>
      <c r="J266" s="25"/>
      <c r="K266" s="25"/>
    </row>
    <row r="267" spans="1:11" ht="12.75">
      <c r="A267" s="25"/>
      <c r="B267" s="25"/>
      <c r="C267" s="25"/>
      <c r="D267" s="25"/>
      <c r="E267" s="25"/>
      <c r="F267" s="25"/>
      <c r="G267" s="25"/>
      <c r="H267" s="25"/>
      <c r="I267" s="25"/>
      <c r="J267" s="25"/>
      <c r="K267" s="25"/>
    </row>
    <row r="268" spans="1:11" ht="12.75">
      <c r="A268" s="25"/>
      <c r="B268" s="25"/>
      <c r="C268" s="25"/>
      <c r="D268" s="25"/>
      <c r="E268" s="25"/>
      <c r="F268" s="25"/>
      <c r="G268" s="25"/>
      <c r="H268" s="25"/>
      <c r="I268" s="25"/>
      <c r="J268" s="25"/>
      <c r="K268" s="25"/>
    </row>
    <row r="269" spans="1:11" ht="12.75">
      <c r="A269" s="25"/>
      <c r="B269" s="25"/>
      <c r="C269" s="25"/>
      <c r="D269" s="25"/>
      <c r="E269" s="25"/>
      <c r="F269" s="25"/>
      <c r="G269" s="25"/>
      <c r="H269" s="25"/>
      <c r="I269" s="25"/>
      <c r="J269" s="25"/>
      <c r="K269" s="25"/>
    </row>
    <row r="270" spans="1:11" ht="12.75">
      <c r="A270" s="25"/>
      <c r="B270" s="25"/>
      <c r="C270" s="25"/>
      <c r="D270" s="25"/>
      <c r="E270" s="25"/>
      <c r="F270" s="25"/>
      <c r="G270" s="25"/>
      <c r="H270" s="25"/>
      <c r="I270" s="25"/>
      <c r="J270" s="25"/>
      <c r="K270" s="25"/>
    </row>
    <row r="271" spans="1:11" ht="12.75">
      <c r="A271" s="25"/>
      <c r="B271" s="25"/>
      <c r="C271" s="25"/>
      <c r="D271" s="25"/>
      <c r="E271" s="25"/>
      <c r="F271" s="25"/>
      <c r="G271" s="25"/>
      <c r="H271" s="25"/>
      <c r="I271" s="25"/>
      <c r="J271" s="25"/>
      <c r="K271" s="25"/>
    </row>
    <row r="272" spans="1:11" ht="12.75">
      <c r="A272" s="25"/>
      <c r="B272" s="25"/>
      <c r="C272" s="25"/>
      <c r="D272" s="25"/>
      <c r="E272" s="25"/>
      <c r="F272" s="25"/>
      <c r="G272" s="25"/>
      <c r="H272" s="25"/>
      <c r="I272" s="25"/>
      <c r="J272" s="25"/>
      <c r="K272" s="25"/>
    </row>
    <row r="273" spans="1:11" ht="12.75">
      <c r="A273" s="25"/>
      <c r="B273" s="25"/>
      <c r="C273" s="25"/>
      <c r="D273" s="25"/>
      <c r="E273" s="25"/>
      <c r="F273" s="25"/>
      <c r="G273" s="25"/>
      <c r="H273" s="25"/>
      <c r="I273" s="25"/>
      <c r="J273" s="25"/>
      <c r="K273" s="25"/>
    </row>
    <row r="274" spans="1:11" ht="12.75">
      <c r="A274" s="25"/>
      <c r="B274" s="25"/>
      <c r="C274" s="25"/>
      <c r="D274" s="25"/>
      <c r="E274" s="25"/>
      <c r="F274" s="25"/>
      <c r="G274" s="25"/>
      <c r="H274" s="25"/>
      <c r="I274" s="25"/>
      <c r="J274" s="25"/>
      <c r="K274" s="25"/>
    </row>
    <row r="275" spans="1:11" ht="12.75">
      <c r="A275" s="25"/>
      <c r="B275" s="25"/>
      <c r="C275" s="25"/>
      <c r="D275" s="25"/>
      <c r="E275" s="25"/>
      <c r="F275" s="25"/>
      <c r="G275" s="25"/>
      <c r="H275" s="25"/>
      <c r="I275" s="25"/>
      <c r="J275" s="25"/>
      <c r="K275" s="25"/>
    </row>
    <row r="276" spans="1:11" ht="12.75">
      <c r="A276" s="25"/>
      <c r="B276" s="25"/>
      <c r="C276" s="25"/>
      <c r="D276" s="25"/>
      <c r="E276" s="25"/>
      <c r="F276" s="25"/>
      <c r="G276" s="25"/>
      <c r="H276" s="25"/>
      <c r="I276" s="25"/>
      <c r="J276" s="25"/>
      <c r="K276" s="25"/>
    </row>
    <row r="277" spans="1:11" ht="12.75">
      <c r="A277" s="25"/>
      <c r="B277" s="25"/>
      <c r="C277" s="25"/>
      <c r="D277" s="25"/>
      <c r="E277" s="25"/>
      <c r="F277" s="25"/>
      <c r="G277" s="25"/>
      <c r="H277" s="25"/>
      <c r="I277" s="25"/>
      <c r="J277" s="25"/>
      <c r="K277" s="25"/>
    </row>
    <row r="278" spans="1:11" ht="12.75">
      <c r="A278" s="25"/>
      <c r="B278" s="25"/>
      <c r="C278" s="25"/>
      <c r="D278" s="25"/>
      <c r="E278" s="25"/>
      <c r="F278" s="25"/>
      <c r="G278" s="25"/>
      <c r="H278" s="25"/>
      <c r="I278" s="25"/>
      <c r="J278" s="25"/>
      <c r="K278" s="25"/>
    </row>
    <row r="279" spans="1:11" ht="12.75">
      <c r="A279" s="25"/>
      <c r="B279" s="25"/>
      <c r="C279" s="25"/>
      <c r="D279" s="25"/>
      <c r="E279" s="25"/>
      <c r="F279" s="25"/>
      <c r="G279" s="25"/>
      <c r="H279" s="25"/>
      <c r="I279" s="25"/>
      <c r="J279" s="25"/>
      <c r="K279" s="25"/>
    </row>
    <row r="280" spans="1:11" ht="12.75">
      <c r="A280" s="25"/>
      <c r="B280" s="25"/>
      <c r="C280" s="25"/>
      <c r="D280" s="25"/>
      <c r="E280" s="25"/>
      <c r="F280" s="25"/>
      <c r="G280" s="25"/>
      <c r="H280" s="25"/>
      <c r="I280" s="25"/>
      <c r="J280" s="25"/>
      <c r="K280" s="25"/>
    </row>
    <row r="281" spans="1:11" ht="12.75">
      <c r="A281" s="25"/>
      <c r="B281" s="25"/>
      <c r="C281" s="25"/>
      <c r="D281" s="25"/>
      <c r="E281" s="25"/>
      <c r="F281" s="25"/>
      <c r="G281" s="25"/>
      <c r="H281" s="25"/>
      <c r="I281" s="25"/>
      <c r="J281" s="25"/>
      <c r="K281" s="25"/>
    </row>
    <row r="282" spans="1:11" ht="12.75">
      <c r="A282" s="25"/>
      <c r="B282" s="25"/>
      <c r="C282" s="25"/>
      <c r="D282" s="25"/>
      <c r="E282" s="25"/>
      <c r="F282" s="25"/>
      <c r="G282" s="25"/>
      <c r="H282" s="25"/>
      <c r="I282" s="25"/>
      <c r="J282" s="25"/>
      <c r="K282" s="25"/>
    </row>
    <row r="283" spans="1:11" ht="12.75">
      <c r="A283" s="25"/>
      <c r="B283" s="25"/>
      <c r="C283" s="25"/>
      <c r="D283" s="25"/>
      <c r="E283" s="25"/>
      <c r="F283" s="25"/>
      <c r="G283" s="25"/>
      <c r="H283" s="25"/>
      <c r="I283" s="25"/>
      <c r="J283" s="25"/>
      <c r="K283" s="25"/>
    </row>
    <row r="284" spans="1:11" ht="12.75">
      <c r="A284" s="25"/>
      <c r="B284" s="25"/>
      <c r="C284" s="25"/>
      <c r="D284" s="25"/>
      <c r="E284" s="25"/>
      <c r="F284" s="25"/>
      <c r="G284" s="25"/>
      <c r="H284" s="25"/>
      <c r="I284" s="25"/>
      <c r="J284" s="25"/>
      <c r="K284" s="25"/>
    </row>
    <row r="285" spans="1:11" ht="12.75">
      <c r="A285" s="25"/>
      <c r="B285" s="25"/>
      <c r="C285" s="25"/>
      <c r="D285" s="25"/>
      <c r="E285" s="25"/>
      <c r="F285" s="25"/>
      <c r="G285" s="25"/>
      <c r="H285" s="25"/>
      <c r="I285" s="25"/>
      <c r="J285" s="25"/>
      <c r="K285" s="25"/>
    </row>
    <row r="286" spans="1:11" ht="12.75">
      <c r="A286" s="25"/>
      <c r="B286" s="25"/>
      <c r="C286" s="25"/>
      <c r="D286" s="25"/>
      <c r="E286" s="25"/>
      <c r="F286" s="25"/>
      <c r="G286" s="25"/>
      <c r="H286" s="25"/>
      <c r="I286" s="25"/>
      <c r="J286" s="25"/>
      <c r="K286" s="25"/>
    </row>
    <row r="287" spans="1:11" ht="12.75">
      <c r="A287" s="25"/>
      <c r="B287" s="25"/>
      <c r="C287" s="25"/>
      <c r="D287" s="25"/>
      <c r="E287" s="25"/>
      <c r="F287" s="25"/>
      <c r="G287" s="25"/>
      <c r="H287" s="25"/>
      <c r="I287" s="25"/>
      <c r="J287" s="25"/>
      <c r="K287" s="25"/>
    </row>
    <row r="288" spans="1:11" ht="12.75">
      <c r="A288" s="25"/>
      <c r="B288" s="25"/>
      <c r="C288" s="25"/>
      <c r="D288" s="25"/>
      <c r="E288" s="25"/>
      <c r="F288" s="25"/>
      <c r="G288" s="25"/>
      <c r="H288" s="25"/>
      <c r="I288" s="25"/>
      <c r="J288" s="25"/>
      <c r="K288" s="25"/>
    </row>
    <row r="289" spans="1:11" ht="12.75">
      <c r="A289" s="25"/>
      <c r="B289" s="25"/>
      <c r="C289" s="25"/>
      <c r="D289" s="25"/>
      <c r="E289" s="25"/>
      <c r="F289" s="25"/>
      <c r="G289" s="25"/>
      <c r="H289" s="25"/>
      <c r="I289" s="25"/>
      <c r="J289" s="25"/>
      <c r="K289" s="25"/>
    </row>
    <row r="290" spans="1:11" ht="12.75">
      <c r="A290" s="25"/>
      <c r="B290" s="25"/>
      <c r="C290" s="25"/>
      <c r="D290" s="25"/>
      <c r="E290" s="25"/>
      <c r="F290" s="25"/>
      <c r="G290" s="25"/>
      <c r="H290" s="25"/>
      <c r="I290" s="25"/>
      <c r="J290" s="25"/>
      <c r="K290" s="25"/>
    </row>
    <row r="291" spans="1:11" ht="12.75">
      <c r="A291" s="25"/>
      <c r="B291" s="25"/>
      <c r="C291" s="25"/>
      <c r="D291" s="25"/>
      <c r="E291" s="25"/>
      <c r="F291" s="25"/>
      <c r="G291" s="25"/>
      <c r="H291" s="25"/>
      <c r="I291" s="25"/>
      <c r="J291" s="25"/>
      <c r="K291" s="25"/>
    </row>
    <row r="292" spans="1:11" ht="12.75">
      <c r="A292" s="25"/>
      <c r="B292" s="25"/>
      <c r="C292" s="25"/>
      <c r="D292" s="25"/>
      <c r="E292" s="25"/>
      <c r="F292" s="25"/>
      <c r="G292" s="25"/>
      <c r="H292" s="25"/>
      <c r="I292" s="25"/>
      <c r="J292" s="25"/>
      <c r="K292" s="25"/>
    </row>
    <row r="293" spans="1:11" ht="12.75">
      <c r="A293" s="25"/>
      <c r="B293" s="25"/>
      <c r="C293" s="25"/>
      <c r="D293" s="25"/>
      <c r="E293" s="25"/>
      <c r="F293" s="25"/>
      <c r="G293" s="25"/>
      <c r="H293" s="25"/>
      <c r="I293" s="25"/>
      <c r="J293" s="25"/>
      <c r="K293" s="25"/>
    </row>
    <row r="294" spans="1:11" ht="12.75">
      <c r="A294" s="25"/>
      <c r="B294" s="25"/>
      <c r="C294" s="25"/>
      <c r="D294" s="25"/>
      <c r="E294" s="25"/>
      <c r="F294" s="25"/>
      <c r="G294" s="25"/>
      <c r="H294" s="25"/>
      <c r="I294" s="25"/>
      <c r="J294" s="25"/>
      <c r="K294" s="25"/>
    </row>
    <row r="295" spans="1:11" ht="12.75">
      <c r="A295" s="25"/>
      <c r="B295" s="25"/>
      <c r="C295" s="25"/>
      <c r="D295" s="25"/>
      <c r="E295" s="25"/>
      <c r="F295" s="25"/>
      <c r="G295" s="25"/>
      <c r="H295" s="25"/>
      <c r="I295" s="25"/>
      <c r="J295" s="25"/>
      <c r="K295" s="25"/>
    </row>
    <row r="296" spans="1:11" ht="12.75">
      <c r="A296" s="25"/>
      <c r="B296" s="25"/>
      <c r="C296" s="25"/>
      <c r="D296" s="25"/>
      <c r="E296" s="25"/>
      <c r="F296" s="25"/>
      <c r="G296" s="25"/>
      <c r="H296" s="25"/>
      <c r="I296" s="25"/>
      <c r="J296" s="25"/>
      <c r="K296" s="25"/>
    </row>
    <row r="297" spans="1:11" ht="12.75">
      <c r="A297" s="25"/>
      <c r="B297" s="25"/>
      <c r="C297" s="25"/>
      <c r="D297" s="25"/>
      <c r="E297" s="25"/>
      <c r="F297" s="25"/>
      <c r="G297" s="25"/>
      <c r="H297" s="25"/>
      <c r="I297" s="25"/>
      <c r="J297" s="25"/>
      <c r="K297" s="25"/>
    </row>
    <row r="298" spans="1:11" ht="12.75">
      <c r="A298" s="25"/>
      <c r="B298" s="25"/>
      <c r="C298" s="25"/>
      <c r="D298" s="25"/>
      <c r="E298" s="25"/>
      <c r="F298" s="25"/>
      <c r="G298" s="25"/>
      <c r="H298" s="25"/>
      <c r="I298" s="25"/>
      <c r="J298" s="25"/>
      <c r="K298" s="25"/>
    </row>
    <row r="299" spans="1:11" ht="12.75">
      <c r="A299" s="25"/>
      <c r="B299" s="25"/>
      <c r="C299" s="25"/>
      <c r="D299" s="25"/>
      <c r="E299" s="25"/>
      <c r="F299" s="25"/>
      <c r="G299" s="25"/>
      <c r="H299" s="25"/>
      <c r="I299" s="25"/>
      <c r="J299" s="25"/>
      <c r="K299" s="25"/>
    </row>
    <row r="300" spans="1:11" ht="12.75">
      <c r="A300" s="25"/>
      <c r="B300" s="25"/>
      <c r="C300" s="25"/>
      <c r="D300" s="25"/>
      <c r="E300" s="25"/>
      <c r="F300" s="25"/>
      <c r="G300" s="25"/>
      <c r="H300" s="25"/>
      <c r="I300" s="25"/>
      <c r="J300" s="25"/>
      <c r="K300" s="25"/>
    </row>
    <row r="301" spans="1:11" ht="12.75">
      <c r="A301" s="25"/>
      <c r="B301" s="25"/>
      <c r="C301" s="25"/>
      <c r="D301" s="25"/>
      <c r="E301" s="25"/>
      <c r="F301" s="25"/>
      <c r="G301" s="25"/>
      <c r="H301" s="25"/>
      <c r="I301" s="25"/>
      <c r="J301" s="25"/>
      <c r="K301" s="25"/>
    </row>
    <row r="302" spans="1:11" ht="12.75">
      <c r="A302" s="25"/>
      <c r="B302" s="25"/>
      <c r="C302" s="25"/>
      <c r="D302" s="25"/>
      <c r="E302" s="25"/>
      <c r="F302" s="25"/>
      <c r="G302" s="25"/>
      <c r="H302" s="25"/>
      <c r="I302" s="25"/>
      <c r="J302" s="25"/>
      <c r="K302" s="25"/>
    </row>
    <row r="303" spans="1:11" ht="12.75">
      <c r="A303" s="25"/>
      <c r="B303" s="25"/>
      <c r="C303" s="25"/>
      <c r="D303" s="25"/>
      <c r="E303" s="25"/>
      <c r="F303" s="25"/>
      <c r="G303" s="25"/>
      <c r="H303" s="25"/>
      <c r="I303" s="25"/>
      <c r="J303" s="25"/>
      <c r="K303" s="25"/>
    </row>
    <row r="304" spans="1:11" ht="12.75">
      <c r="A304" s="25"/>
      <c r="B304" s="25"/>
      <c r="C304" s="25"/>
      <c r="D304" s="25"/>
      <c r="E304" s="25"/>
      <c r="F304" s="25"/>
      <c r="G304" s="25"/>
      <c r="H304" s="25"/>
      <c r="I304" s="25"/>
      <c r="J304" s="25"/>
      <c r="K304" s="25"/>
    </row>
    <row r="305" spans="1:11" ht="12.75">
      <c r="A305" s="25"/>
      <c r="B305" s="25"/>
      <c r="C305" s="25"/>
      <c r="D305" s="25"/>
      <c r="E305" s="25"/>
      <c r="F305" s="25"/>
      <c r="G305" s="25"/>
      <c r="H305" s="25"/>
      <c r="I305" s="25"/>
      <c r="J305" s="25"/>
      <c r="K305" s="25"/>
    </row>
    <row r="306" spans="1:11" ht="12.75">
      <c r="A306" s="25"/>
      <c r="B306" s="25"/>
      <c r="C306" s="25"/>
      <c r="D306" s="25"/>
      <c r="E306" s="25"/>
      <c r="F306" s="25"/>
      <c r="G306" s="25"/>
      <c r="H306" s="25"/>
      <c r="I306" s="25"/>
      <c r="J306" s="25"/>
      <c r="K306" s="25"/>
    </row>
    <row r="307" spans="1:11" ht="12.75">
      <c r="A307" s="25"/>
      <c r="B307" s="25"/>
      <c r="C307" s="25"/>
      <c r="D307" s="25"/>
      <c r="E307" s="25"/>
      <c r="F307" s="25"/>
      <c r="G307" s="25"/>
      <c r="H307" s="25"/>
      <c r="I307" s="25"/>
      <c r="J307" s="25"/>
      <c r="K307" s="25"/>
    </row>
    <row r="308" spans="1:11" ht="12.75">
      <c r="A308" s="25"/>
      <c r="B308" s="25"/>
      <c r="C308" s="25"/>
      <c r="D308" s="25"/>
      <c r="E308" s="25"/>
      <c r="F308" s="25"/>
      <c r="G308" s="25"/>
      <c r="H308" s="25"/>
      <c r="I308" s="25"/>
      <c r="J308" s="25"/>
      <c r="K308" s="25"/>
    </row>
    <row r="309" spans="1:11" ht="12.75">
      <c r="A309" s="25"/>
      <c r="B309" s="25"/>
      <c r="C309" s="25"/>
      <c r="D309" s="25"/>
      <c r="E309" s="25"/>
      <c r="F309" s="25"/>
      <c r="G309" s="25"/>
      <c r="H309" s="25"/>
      <c r="I309" s="25"/>
      <c r="J309" s="25"/>
      <c r="K309" s="25"/>
    </row>
    <row r="310" spans="1:11" ht="12.75">
      <c r="A310" s="25"/>
      <c r="B310" s="25"/>
      <c r="C310" s="25"/>
      <c r="D310" s="25"/>
      <c r="E310" s="25"/>
      <c r="F310" s="25"/>
      <c r="G310" s="25"/>
      <c r="H310" s="25"/>
      <c r="I310" s="25"/>
      <c r="J310" s="25"/>
      <c r="K310" s="25"/>
    </row>
    <row r="311" spans="1:11" ht="12.75">
      <c r="A311" s="25"/>
      <c r="B311" s="25"/>
      <c r="C311" s="25"/>
      <c r="D311" s="25"/>
      <c r="E311" s="25"/>
      <c r="F311" s="25"/>
      <c r="G311" s="25"/>
      <c r="H311" s="25"/>
      <c r="I311" s="25"/>
      <c r="J311" s="25"/>
      <c r="K311" s="25"/>
    </row>
    <row r="312" spans="1:11" ht="12.75">
      <c r="A312" s="25"/>
      <c r="B312" s="25"/>
      <c r="C312" s="25"/>
      <c r="D312" s="25"/>
      <c r="E312" s="25"/>
      <c r="F312" s="25"/>
      <c r="G312" s="25"/>
      <c r="H312" s="25"/>
      <c r="I312" s="25"/>
      <c r="J312" s="25"/>
      <c r="K312" s="25"/>
    </row>
    <row r="313" spans="1:11" ht="12.75">
      <c r="A313" s="25"/>
      <c r="B313" s="25"/>
      <c r="C313" s="25"/>
      <c r="D313" s="25"/>
      <c r="E313" s="25"/>
      <c r="F313" s="25"/>
      <c r="G313" s="25"/>
      <c r="H313" s="25"/>
      <c r="I313" s="25"/>
      <c r="J313" s="25"/>
      <c r="K313" s="25"/>
    </row>
    <row r="314" spans="1:11" ht="12.75">
      <c r="A314" s="25"/>
      <c r="B314" s="25"/>
      <c r="C314" s="25"/>
      <c r="D314" s="25"/>
      <c r="E314" s="25"/>
      <c r="F314" s="25"/>
      <c r="G314" s="25"/>
      <c r="H314" s="25"/>
      <c r="I314" s="25"/>
      <c r="J314" s="25"/>
      <c r="K314" s="25"/>
    </row>
    <row r="315" spans="1:11" ht="12.75">
      <c r="A315" s="25"/>
      <c r="B315" s="25"/>
      <c r="C315" s="25"/>
      <c r="D315" s="25"/>
      <c r="E315" s="25"/>
      <c r="F315" s="25"/>
      <c r="G315" s="25"/>
      <c r="H315" s="25"/>
      <c r="I315" s="25"/>
      <c r="J315" s="25"/>
      <c r="K315" s="25"/>
    </row>
    <row r="316" spans="1:11" ht="12.75">
      <c r="A316" s="25"/>
      <c r="B316" s="25"/>
      <c r="C316" s="25"/>
      <c r="D316" s="25"/>
      <c r="E316" s="25"/>
      <c r="F316" s="25"/>
      <c r="G316" s="25"/>
      <c r="H316" s="25"/>
      <c r="I316" s="25"/>
      <c r="J316" s="25"/>
      <c r="K316" s="25"/>
    </row>
    <row r="317" spans="1:11" ht="12.75">
      <c r="A317" s="25"/>
      <c r="B317" s="25"/>
      <c r="C317" s="25"/>
      <c r="D317" s="25"/>
      <c r="E317" s="25"/>
      <c r="F317" s="25"/>
      <c r="G317" s="25"/>
      <c r="H317" s="25"/>
      <c r="I317" s="25"/>
      <c r="J317" s="25"/>
      <c r="K317" s="25"/>
    </row>
    <row r="318" spans="1:11" ht="12.75">
      <c r="A318" s="25"/>
      <c r="B318" s="25"/>
      <c r="C318" s="25"/>
      <c r="D318" s="25"/>
      <c r="E318" s="25"/>
      <c r="F318" s="25"/>
      <c r="G318" s="25"/>
      <c r="H318" s="25"/>
      <c r="I318" s="25"/>
      <c r="J318" s="25"/>
      <c r="K318" s="25"/>
    </row>
    <row r="319" spans="1:11" ht="12.75">
      <c r="A319" s="25"/>
      <c r="B319" s="25"/>
      <c r="C319" s="25"/>
      <c r="D319" s="25"/>
      <c r="E319" s="25"/>
      <c r="F319" s="25"/>
      <c r="G319" s="25"/>
      <c r="H319" s="25"/>
      <c r="I319" s="25"/>
      <c r="J319" s="25"/>
      <c r="K319" s="25"/>
    </row>
    <row r="320" spans="1:11" ht="12.75">
      <c r="A320" s="25"/>
      <c r="B320" s="25"/>
      <c r="C320" s="25"/>
      <c r="D320" s="25"/>
      <c r="E320" s="25"/>
      <c r="F320" s="25"/>
      <c r="G320" s="25"/>
      <c r="H320" s="25"/>
      <c r="I320" s="25"/>
      <c r="J320" s="25"/>
      <c r="K320" s="25"/>
    </row>
    <row r="321" spans="1:11" ht="12.75">
      <c r="A321" s="25"/>
      <c r="B321" s="25"/>
      <c r="C321" s="25"/>
      <c r="D321" s="25"/>
      <c r="E321" s="25"/>
      <c r="F321" s="25"/>
      <c r="G321" s="25"/>
      <c r="H321" s="25"/>
      <c r="I321" s="25"/>
      <c r="J321" s="25"/>
      <c r="K321" s="25"/>
    </row>
    <row r="322" spans="1:11" ht="12.75">
      <c r="A322" s="25"/>
      <c r="B322" s="25"/>
      <c r="C322" s="25"/>
      <c r="D322" s="25"/>
      <c r="E322" s="25"/>
      <c r="F322" s="25"/>
      <c r="G322" s="25"/>
      <c r="H322" s="25"/>
      <c r="I322" s="25"/>
      <c r="J322" s="25"/>
      <c r="K322" s="25"/>
    </row>
    <row r="323" spans="1:11" ht="12.75">
      <c r="A323" s="25"/>
      <c r="B323" s="25"/>
      <c r="C323" s="25"/>
      <c r="D323" s="25"/>
      <c r="E323" s="25"/>
      <c r="F323" s="25"/>
      <c r="G323" s="25"/>
      <c r="H323" s="25"/>
      <c r="I323" s="25"/>
      <c r="J323" s="25"/>
      <c r="K323" s="25"/>
    </row>
    <row r="324" spans="1:11" ht="12.75">
      <c r="A324" s="25"/>
      <c r="B324" s="25"/>
      <c r="C324" s="25"/>
      <c r="D324" s="25"/>
      <c r="E324" s="25"/>
      <c r="F324" s="25"/>
      <c r="G324" s="25"/>
      <c r="H324" s="25"/>
      <c r="I324" s="25"/>
      <c r="J324" s="25"/>
      <c r="K324" s="25"/>
    </row>
    <row r="325" spans="1:11" ht="12.75">
      <c r="A325" s="25"/>
      <c r="B325" s="25"/>
      <c r="C325" s="25"/>
      <c r="D325" s="25"/>
      <c r="E325" s="25"/>
      <c r="F325" s="25"/>
      <c r="G325" s="25"/>
      <c r="H325" s="25"/>
      <c r="I325" s="25"/>
      <c r="J325" s="25"/>
      <c r="K325" s="25"/>
    </row>
    <row r="326" spans="1:11" ht="12.75">
      <c r="A326" s="25"/>
      <c r="B326" s="25"/>
      <c r="C326" s="25"/>
      <c r="D326" s="25"/>
      <c r="E326" s="25"/>
      <c r="F326" s="25"/>
      <c r="G326" s="25"/>
      <c r="H326" s="25"/>
      <c r="I326" s="25"/>
      <c r="J326" s="25"/>
      <c r="K326" s="25"/>
    </row>
    <row r="327" spans="1:11" ht="12.75">
      <c r="A327" s="25"/>
      <c r="B327" s="25"/>
      <c r="C327" s="25"/>
      <c r="D327" s="25"/>
      <c r="E327" s="25"/>
      <c r="F327" s="25"/>
      <c r="G327" s="25"/>
      <c r="H327" s="25"/>
      <c r="I327" s="25"/>
      <c r="J327" s="25"/>
      <c r="K327" s="25"/>
    </row>
    <row r="328" spans="1:11" ht="12.75">
      <c r="A328" s="25"/>
      <c r="B328" s="25"/>
      <c r="C328" s="25"/>
      <c r="D328" s="25"/>
      <c r="E328" s="25"/>
      <c r="F328" s="25"/>
      <c r="G328" s="25"/>
      <c r="H328" s="25"/>
      <c r="I328" s="25"/>
      <c r="J328" s="25"/>
      <c r="K328" s="25"/>
    </row>
    <row r="329" spans="1:11" ht="12.75">
      <c r="A329" s="25"/>
      <c r="B329" s="25"/>
      <c r="C329" s="25"/>
      <c r="D329" s="25"/>
      <c r="E329" s="25"/>
      <c r="F329" s="25"/>
      <c r="G329" s="25"/>
      <c r="H329" s="25"/>
      <c r="I329" s="25"/>
      <c r="J329" s="25"/>
      <c r="K329" s="25"/>
    </row>
    <row r="330" spans="1:11" ht="12.75">
      <c r="A330" s="25"/>
      <c r="B330" s="25"/>
      <c r="C330" s="25"/>
      <c r="D330" s="25"/>
      <c r="E330" s="25"/>
      <c r="F330" s="25"/>
      <c r="G330" s="25"/>
      <c r="H330" s="25"/>
      <c r="I330" s="25"/>
      <c r="J330" s="25"/>
      <c r="K330" s="25"/>
    </row>
    <row r="331" spans="1:11" ht="12.75">
      <c r="A331" s="25"/>
      <c r="B331" s="25"/>
      <c r="C331" s="25"/>
      <c r="D331" s="25"/>
      <c r="E331" s="25"/>
      <c r="F331" s="25"/>
      <c r="G331" s="25"/>
      <c r="H331" s="25"/>
      <c r="I331" s="25"/>
      <c r="J331" s="25"/>
      <c r="K331" s="25"/>
    </row>
    <row r="332" spans="1:11" ht="12.75">
      <c r="A332" s="25"/>
      <c r="B332" s="25"/>
      <c r="C332" s="25"/>
      <c r="D332" s="25"/>
      <c r="E332" s="25"/>
      <c r="F332" s="25"/>
      <c r="G332" s="25"/>
      <c r="H332" s="25"/>
      <c r="I332" s="25"/>
      <c r="J332" s="25"/>
      <c r="K332" s="25"/>
    </row>
    <row r="333" spans="1:11" ht="12.75">
      <c r="A333" s="25"/>
      <c r="B333" s="25"/>
      <c r="C333" s="25"/>
      <c r="D333" s="25"/>
      <c r="E333" s="25"/>
      <c r="F333" s="25"/>
      <c r="G333" s="25"/>
      <c r="H333" s="25"/>
      <c r="I333" s="25"/>
      <c r="J333" s="25"/>
      <c r="K333" s="25"/>
    </row>
    <row r="334" spans="1:11" ht="12.75">
      <c r="A334" s="25"/>
      <c r="B334" s="25"/>
      <c r="C334" s="25"/>
      <c r="D334" s="25"/>
      <c r="E334" s="25"/>
      <c r="F334" s="25"/>
      <c r="G334" s="25"/>
      <c r="H334" s="25"/>
      <c r="I334" s="25"/>
      <c r="J334" s="25"/>
      <c r="K334" s="25"/>
    </row>
    <row r="335" spans="1:11" ht="12.75">
      <c r="A335" s="25"/>
      <c r="B335" s="25"/>
      <c r="C335" s="25"/>
      <c r="D335" s="25"/>
      <c r="E335" s="25"/>
      <c r="F335" s="25"/>
      <c r="G335" s="25"/>
      <c r="H335" s="25"/>
      <c r="I335" s="25"/>
      <c r="J335" s="25"/>
      <c r="K335" s="25"/>
    </row>
    <row r="336" spans="1:11" ht="12.75">
      <c r="A336" s="25"/>
      <c r="B336" s="25"/>
      <c r="C336" s="25"/>
      <c r="D336" s="25"/>
      <c r="E336" s="25"/>
      <c r="F336" s="25"/>
      <c r="G336" s="25"/>
      <c r="H336" s="25"/>
      <c r="I336" s="25"/>
      <c r="J336" s="25"/>
      <c r="K336" s="25"/>
    </row>
    <row r="337" spans="1:11" ht="12.75">
      <c r="A337" s="25"/>
      <c r="B337" s="25"/>
      <c r="C337" s="25"/>
      <c r="D337" s="25"/>
      <c r="E337" s="25"/>
      <c r="F337" s="25"/>
      <c r="G337" s="25"/>
      <c r="H337" s="25"/>
      <c r="I337" s="25"/>
      <c r="J337" s="25"/>
      <c r="K337" s="25"/>
    </row>
    <row r="338" spans="1:11" ht="12.75">
      <c r="A338" s="25"/>
      <c r="B338" s="25"/>
      <c r="C338" s="25"/>
      <c r="D338" s="25"/>
      <c r="E338" s="25"/>
      <c r="F338" s="25"/>
      <c r="G338" s="25"/>
      <c r="H338" s="25"/>
      <c r="I338" s="25"/>
      <c r="J338" s="25"/>
      <c r="K338" s="25"/>
    </row>
    <row r="339" spans="1:11" ht="12.75">
      <c r="A339" s="25"/>
      <c r="B339" s="25"/>
      <c r="C339" s="25"/>
      <c r="D339" s="25"/>
      <c r="E339" s="25"/>
      <c r="F339" s="25"/>
      <c r="G339" s="25"/>
      <c r="H339" s="25"/>
      <c r="I339" s="25"/>
      <c r="J339" s="25"/>
      <c r="K339" s="25"/>
    </row>
    <row r="340" spans="1:11" ht="12.75">
      <c r="A340" s="25"/>
      <c r="B340" s="25"/>
      <c r="C340" s="25"/>
      <c r="D340" s="25"/>
      <c r="E340" s="25"/>
      <c r="F340" s="25"/>
      <c r="G340" s="25"/>
      <c r="H340" s="25"/>
      <c r="I340" s="25"/>
      <c r="J340" s="25"/>
      <c r="K340" s="25"/>
    </row>
    <row r="341" spans="1:11" ht="12.75">
      <c r="A341" s="25"/>
      <c r="B341" s="25"/>
      <c r="C341" s="25"/>
      <c r="D341" s="25"/>
      <c r="E341" s="25"/>
      <c r="F341" s="25"/>
      <c r="G341" s="25"/>
      <c r="H341" s="25"/>
      <c r="I341" s="25"/>
      <c r="J341" s="25"/>
      <c r="K341" s="25"/>
    </row>
    <row r="342" spans="1:11" ht="12.75">
      <c r="A342" s="25"/>
      <c r="B342" s="25"/>
      <c r="C342" s="25"/>
      <c r="D342" s="25"/>
      <c r="E342" s="25"/>
      <c r="F342" s="25"/>
      <c r="G342" s="25"/>
      <c r="H342" s="25"/>
      <c r="I342" s="25"/>
      <c r="J342" s="25"/>
      <c r="K342" s="25"/>
    </row>
    <row r="343" spans="1:11" ht="12.75">
      <c r="A343" s="25"/>
      <c r="B343" s="25"/>
      <c r="C343" s="25"/>
      <c r="D343" s="25"/>
      <c r="E343" s="25"/>
      <c r="F343" s="25"/>
      <c r="G343" s="25"/>
      <c r="H343" s="25"/>
      <c r="I343" s="25"/>
      <c r="J343" s="25"/>
      <c r="K343" s="25"/>
    </row>
    <row r="344" spans="1:11" ht="12.75">
      <c r="A344" s="25"/>
      <c r="B344" s="25"/>
      <c r="C344" s="25"/>
      <c r="D344" s="25"/>
      <c r="E344" s="25"/>
      <c r="F344" s="25"/>
      <c r="G344" s="25"/>
      <c r="H344" s="25"/>
      <c r="I344" s="25"/>
      <c r="J344" s="25"/>
      <c r="K344" s="25"/>
    </row>
    <row r="345" spans="1:11" ht="12.75">
      <c r="A345" s="25"/>
      <c r="B345" s="25"/>
      <c r="C345" s="25"/>
      <c r="D345" s="25"/>
      <c r="E345" s="25"/>
      <c r="F345" s="25"/>
      <c r="G345" s="25"/>
      <c r="H345" s="25"/>
      <c r="I345" s="25"/>
      <c r="J345" s="25"/>
      <c r="K345" s="25"/>
    </row>
    <row r="346" spans="1:11" ht="12.75">
      <c r="A346" s="25"/>
      <c r="B346" s="25"/>
      <c r="C346" s="25"/>
      <c r="D346" s="25"/>
      <c r="E346" s="25"/>
      <c r="F346" s="25"/>
      <c r="G346" s="25"/>
      <c r="H346" s="25"/>
      <c r="I346" s="25"/>
      <c r="J346" s="25"/>
      <c r="K346" s="25"/>
    </row>
    <row r="347" spans="1:11" ht="12.75">
      <c r="A347" s="25"/>
      <c r="B347" s="25"/>
      <c r="C347" s="25"/>
      <c r="D347" s="25"/>
      <c r="E347" s="25"/>
      <c r="F347" s="25"/>
      <c r="G347" s="25"/>
      <c r="H347" s="25"/>
      <c r="I347" s="25"/>
      <c r="J347" s="25"/>
      <c r="K347" s="25"/>
    </row>
    <row r="348" spans="1:11" ht="12.75">
      <c r="A348" s="25"/>
      <c r="B348" s="25"/>
      <c r="C348" s="25"/>
      <c r="D348" s="25"/>
      <c r="E348" s="25"/>
      <c r="F348" s="25"/>
      <c r="G348" s="25"/>
      <c r="H348" s="25"/>
      <c r="I348" s="25"/>
      <c r="J348" s="25"/>
      <c r="K348" s="25"/>
    </row>
    <row r="349" spans="1:11" ht="12.75">
      <c r="A349" s="25"/>
      <c r="B349" s="25"/>
      <c r="C349" s="25"/>
      <c r="D349" s="25"/>
      <c r="E349" s="25"/>
      <c r="F349" s="25"/>
      <c r="G349" s="25"/>
      <c r="H349" s="25"/>
      <c r="I349" s="25"/>
      <c r="J349" s="25"/>
      <c r="K349" s="25"/>
    </row>
    <row r="350" spans="1:11" ht="12.75">
      <c r="A350" s="25"/>
      <c r="B350" s="25"/>
      <c r="C350" s="25"/>
      <c r="D350" s="25"/>
      <c r="E350" s="25"/>
      <c r="F350" s="25"/>
      <c r="G350" s="25"/>
      <c r="H350" s="25"/>
      <c r="I350" s="25"/>
      <c r="J350" s="25"/>
      <c r="K350" s="25"/>
    </row>
    <row r="351" spans="1:11" ht="12.75">
      <c r="A351" s="25"/>
      <c r="B351" s="25"/>
      <c r="C351" s="25"/>
      <c r="D351" s="25"/>
      <c r="E351" s="25"/>
      <c r="F351" s="25"/>
      <c r="G351" s="25"/>
      <c r="H351" s="25"/>
      <c r="I351" s="25"/>
      <c r="J351" s="25"/>
      <c r="K351" s="25"/>
    </row>
    <row r="352" spans="1:11" ht="12.75">
      <c r="A352" s="25"/>
      <c r="B352" s="25"/>
      <c r="C352" s="25"/>
      <c r="D352" s="25"/>
      <c r="E352" s="25"/>
      <c r="F352" s="25"/>
      <c r="G352" s="25"/>
      <c r="H352" s="25"/>
      <c r="I352" s="25"/>
      <c r="J352" s="25"/>
      <c r="K352" s="25"/>
    </row>
    <row r="353" spans="1:11" ht="12.75">
      <c r="A353" s="25"/>
      <c r="B353" s="25"/>
      <c r="C353" s="25"/>
      <c r="D353" s="25"/>
      <c r="E353" s="25"/>
      <c r="F353" s="25"/>
      <c r="G353" s="25"/>
      <c r="H353" s="25"/>
      <c r="I353" s="25"/>
      <c r="J353" s="25"/>
      <c r="K353" s="25"/>
    </row>
    <row r="354" spans="1:11" ht="12.75">
      <c r="A354" s="25"/>
      <c r="B354" s="25"/>
      <c r="C354" s="25"/>
      <c r="D354" s="25"/>
      <c r="E354" s="25"/>
      <c r="F354" s="25"/>
      <c r="G354" s="25"/>
      <c r="H354" s="25"/>
      <c r="I354" s="25"/>
      <c r="J354" s="25"/>
      <c r="K354" s="25"/>
    </row>
    <row r="355" spans="1:11" ht="12.75">
      <c r="A355" s="25"/>
      <c r="B355" s="25"/>
      <c r="C355" s="25"/>
      <c r="D355" s="25"/>
      <c r="E355" s="25"/>
      <c r="F355" s="25"/>
      <c r="G355" s="25"/>
      <c r="H355" s="25"/>
      <c r="I355" s="25"/>
      <c r="J355" s="25"/>
      <c r="K355" s="25"/>
    </row>
    <row r="356" spans="1:11" ht="12.75">
      <c r="A356" s="25"/>
      <c r="B356" s="25"/>
      <c r="C356" s="25"/>
      <c r="D356" s="25"/>
      <c r="E356" s="25"/>
      <c r="F356" s="25"/>
      <c r="G356" s="25"/>
      <c r="H356" s="25"/>
      <c r="I356" s="25"/>
      <c r="J356" s="25"/>
      <c r="K356" s="25"/>
    </row>
    <row r="357" spans="1:11" ht="12.75">
      <c r="A357" s="25"/>
      <c r="B357" s="25"/>
      <c r="C357" s="25"/>
      <c r="D357" s="25"/>
      <c r="E357" s="25"/>
      <c r="F357" s="25"/>
      <c r="G357" s="25"/>
      <c r="H357" s="25"/>
      <c r="I357" s="25"/>
      <c r="J357" s="25"/>
      <c r="K357" s="25"/>
    </row>
    <row r="358" spans="1:11" ht="12.75">
      <c r="A358" s="25"/>
      <c r="B358" s="25"/>
      <c r="C358" s="25"/>
      <c r="D358" s="25"/>
      <c r="E358" s="25"/>
      <c r="F358" s="25"/>
      <c r="G358" s="25"/>
      <c r="H358" s="25"/>
      <c r="I358" s="25"/>
      <c r="J358" s="25"/>
      <c r="K358" s="25"/>
    </row>
    <row r="359" spans="1:11" ht="12.75">
      <c r="A359" s="25"/>
      <c r="B359" s="25"/>
      <c r="C359" s="25"/>
      <c r="D359" s="25"/>
      <c r="E359" s="25"/>
      <c r="F359" s="25"/>
      <c r="G359" s="25"/>
      <c r="H359" s="25"/>
      <c r="I359" s="25"/>
      <c r="J359" s="25"/>
      <c r="K359" s="25"/>
    </row>
    <row r="360" spans="1:11" ht="12.75">
      <c r="A360" s="25"/>
      <c r="B360" s="25"/>
      <c r="C360" s="25"/>
      <c r="D360" s="25"/>
      <c r="E360" s="25"/>
      <c r="F360" s="25"/>
      <c r="G360" s="25"/>
      <c r="H360" s="25"/>
      <c r="I360" s="25"/>
      <c r="J360" s="25"/>
      <c r="K360" s="25"/>
    </row>
    <row r="361" spans="1:11" ht="12.75">
      <c r="A361" s="25"/>
      <c r="B361" s="25"/>
      <c r="C361" s="25"/>
      <c r="D361" s="25"/>
      <c r="E361" s="25"/>
      <c r="F361" s="25"/>
      <c r="G361" s="25"/>
      <c r="H361" s="25"/>
      <c r="I361" s="25"/>
      <c r="J361" s="25"/>
      <c r="K361" s="25"/>
    </row>
    <row r="362" spans="1:11" ht="12.75">
      <c r="A362" s="25"/>
      <c r="B362" s="25"/>
      <c r="C362" s="25"/>
      <c r="D362" s="25"/>
      <c r="E362" s="25"/>
      <c r="F362" s="25"/>
      <c r="G362" s="25"/>
      <c r="H362" s="25"/>
      <c r="I362" s="25"/>
      <c r="J362" s="25"/>
      <c r="K362" s="25"/>
    </row>
    <row r="363" spans="1:11" ht="12.75">
      <c r="A363" s="25"/>
      <c r="B363" s="25"/>
      <c r="C363" s="25"/>
      <c r="D363" s="25"/>
      <c r="E363" s="25"/>
      <c r="F363" s="25"/>
      <c r="G363" s="25"/>
      <c r="H363" s="25"/>
      <c r="I363" s="25"/>
      <c r="J363" s="25"/>
      <c r="K363" s="25"/>
    </row>
    <row r="364" spans="1:11" ht="12.75">
      <c r="A364" s="25"/>
      <c r="B364" s="25"/>
      <c r="C364" s="25"/>
      <c r="D364" s="25"/>
      <c r="E364" s="25"/>
      <c r="F364" s="25"/>
      <c r="G364" s="25"/>
      <c r="H364" s="25"/>
      <c r="I364" s="25"/>
      <c r="J364" s="25"/>
      <c r="K364" s="25"/>
    </row>
    <row r="365" spans="1:11" ht="12.75">
      <c r="A365" s="25"/>
      <c r="B365" s="25"/>
      <c r="C365" s="25"/>
      <c r="D365" s="25"/>
      <c r="E365" s="25"/>
      <c r="F365" s="25"/>
      <c r="G365" s="25"/>
      <c r="H365" s="25"/>
      <c r="I365" s="25"/>
      <c r="J365" s="25"/>
      <c r="K365" s="25"/>
    </row>
    <row r="366" spans="1:11" ht="12.75">
      <c r="A366" s="25"/>
      <c r="B366" s="25"/>
      <c r="C366" s="25"/>
      <c r="D366" s="25"/>
      <c r="E366" s="25"/>
      <c r="F366" s="25"/>
      <c r="G366" s="25"/>
      <c r="H366" s="25"/>
      <c r="I366" s="25"/>
      <c r="J366" s="25"/>
      <c r="K366" s="25"/>
    </row>
    <row r="367" spans="1:11" ht="12.75">
      <c r="A367" s="25"/>
      <c r="B367" s="25"/>
      <c r="C367" s="25"/>
      <c r="D367" s="25"/>
      <c r="E367" s="25"/>
      <c r="F367" s="25"/>
      <c r="G367" s="25"/>
      <c r="H367" s="25"/>
      <c r="I367" s="25"/>
      <c r="J367" s="25"/>
      <c r="K367" s="25"/>
    </row>
    <row r="368" spans="1:11" ht="12.75">
      <c r="A368" s="25"/>
      <c r="B368" s="25"/>
      <c r="C368" s="25"/>
      <c r="D368" s="25"/>
      <c r="E368" s="25"/>
      <c r="F368" s="25"/>
      <c r="G368" s="25"/>
      <c r="H368" s="25"/>
      <c r="I368" s="25"/>
      <c r="J368" s="25"/>
      <c r="K368" s="25"/>
    </row>
    <row r="369" spans="1:11" ht="12.75">
      <c r="A369" s="25"/>
      <c r="B369" s="25"/>
      <c r="C369" s="25"/>
      <c r="D369" s="25"/>
      <c r="E369" s="25"/>
      <c r="F369" s="25"/>
      <c r="G369" s="25"/>
      <c r="H369" s="25"/>
      <c r="I369" s="25"/>
      <c r="J369" s="25"/>
      <c r="K369" s="25"/>
    </row>
    <row r="370" spans="1:11" ht="12.75">
      <c r="A370" s="25"/>
      <c r="B370" s="25"/>
      <c r="C370" s="25"/>
      <c r="D370" s="25"/>
      <c r="E370" s="25"/>
      <c r="F370" s="25"/>
      <c r="G370" s="25"/>
      <c r="H370" s="25"/>
      <c r="I370" s="25"/>
      <c r="J370" s="25"/>
      <c r="K370" s="25"/>
    </row>
    <row r="371" spans="1:11" ht="12.75">
      <c r="A371" s="25"/>
      <c r="B371" s="25"/>
      <c r="C371" s="25"/>
      <c r="D371" s="25"/>
      <c r="E371" s="25"/>
      <c r="F371" s="25"/>
      <c r="G371" s="25"/>
      <c r="H371" s="25"/>
      <c r="I371" s="25"/>
      <c r="J371" s="25"/>
      <c r="K371" s="25"/>
    </row>
    <row r="372" spans="1:11" ht="12.75">
      <c r="A372" s="25"/>
      <c r="B372" s="25"/>
      <c r="C372" s="25"/>
      <c r="D372" s="25"/>
      <c r="E372" s="25"/>
      <c r="F372" s="25"/>
      <c r="G372" s="25"/>
      <c r="H372" s="25"/>
      <c r="I372" s="25"/>
      <c r="J372" s="25"/>
      <c r="K372" s="25"/>
    </row>
    <row r="373" spans="1:11" ht="12.75">
      <c r="A373" s="25"/>
      <c r="B373" s="25"/>
      <c r="C373" s="25"/>
      <c r="D373" s="25"/>
      <c r="E373" s="25"/>
      <c r="F373" s="25"/>
      <c r="G373" s="25"/>
      <c r="H373" s="25"/>
      <c r="I373" s="25"/>
      <c r="J373" s="25"/>
      <c r="K373" s="25"/>
    </row>
    <row r="374" spans="1:11" ht="12.75">
      <c r="A374" s="25"/>
      <c r="B374" s="25"/>
      <c r="C374" s="25"/>
      <c r="D374" s="25"/>
      <c r="E374" s="25"/>
      <c r="F374" s="25"/>
      <c r="G374" s="25"/>
      <c r="H374" s="25"/>
      <c r="I374" s="25"/>
      <c r="J374" s="25"/>
      <c r="K374" s="25"/>
    </row>
    <row r="375" spans="1:11" ht="12.75">
      <c r="A375" s="25"/>
      <c r="B375" s="25"/>
      <c r="C375" s="25"/>
      <c r="D375" s="25"/>
      <c r="E375" s="25"/>
      <c r="F375" s="25"/>
      <c r="G375" s="25"/>
      <c r="H375" s="25"/>
      <c r="I375" s="25"/>
      <c r="J375" s="25"/>
      <c r="K375" s="25"/>
    </row>
    <row r="376" spans="1:11" ht="12.75">
      <c r="A376" s="25"/>
      <c r="B376" s="25"/>
      <c r="C376" s="25"/>
      <c r="D376" s="25"/>
      <c r="E376" s="25"/>
      <c r="F376" s="25"/>
      <c r="G376" s="25"/>
      <c r="H376" s="25"/>
      <c r="I376" s="25"/>
      <c r="J376" s="25"/>
      <c r="K376" s="25"/>
    </row>
    <row r="377" spans="1:11" ht="12.75">
      <c r="A377" s="25"/>
      <c r="B377" s="25"/>
      <c r="C377" s="25"/>
      <c r="D377" s="25"/>
      <c r="E377" s="25"/>
      <c r="F377" s="25"/>
      <c r="G377" s="25"/>
      <c r="H377" s="25"/>
      <c r="I377" s="25"/>
      <c r="J377" s="25"/>
      <c r="K377" s="25"/>
    </row>
    <row r="378" spans="1:11" ht="12.75">
      <c r="A378" s="25"/>
      <c r="B378" s="25"/>
      <c r="C378" s="25"/>
      <c r="D378" s="25"/>
      <c r="E378" s="25"/>
      <c r="F378" s="25"/>
      <c r="G378" s="25"/>
      <c r="H378" s="25"/>
      <c r="I378" s="25"/>
      <c r="J378" s="25"/>
      <c r="K378" s="25"/>
    </row>
    <row r="379" spans="1:11" ht="12.75">
      <c r="A379" s="25"/>
      <c r="B379" s="25"/>
      <c r="C379" s="25"/>
      <c r="D379" s="25"/>
      <c r="E379" s="25"/>
      <c r="F379" s="25"/>
      <c r="G379" s="25"/>
      <c r="H379" s="25"/>
      <c r="I379" s="25"/>
      <c r="J379" s="25"/>
      <c r="K379" s="25"/>
    </row>
    <row r="380" spans="1:11" ht="12.75">
      <c r="A380" s="25"/>
      <c r="B380" s="25"/>
      <c r="C380" s="25"/>
      <c r="D380" s="25"/>
      <c r="E380" s="25"/>
      <c r="F380" s="25"/>
      <c r="G380" s="25"/>
      <c r="H380" s="25"/>
      <c r="I380" s="25"/>
      <c r="J380" s="25"/>
      <c r="K380" s="25"/>
    </row>
    <row r="381" spans="1:11" ht="12.75">
      <c r="A381" s="25"/>
      <c r="B381" s="25"/>
      <c r="C381" s="25"/>
      <c r="D381" s="25"/>
      <c r="E381" s="25"/>
      <c r="F381" s="25"/>
      <c r="G381" s="25"/>
      <c r="H381" s="25"/>
      <c r="I381" s="25"/>
      <c r="J381" s="25"/>
      <c r="K381" s="25"/>
    </row>
    <row r="382" spans="1:11" ht="12.75">
      <c r="A382" s="25"/>
      <c r="B382" s="25"/>
      <c r="C382" s="25"/>
      <c r="D382" s="25"/>
      <c r="E382" s="25"/>
      <c r="F382" s="25"/>
      <c r="G382" s="25"/>
      <c r="H382" s="25"/>
      <c r="I382" s="25"/>
      <c r="J382" s="25"/>
      <c r="K382" s="25"/>
    </row>
    <row r="383" spans="1:11" ht="12.75">
      <c r="A383" s="25"/>
      <c r="B383" s="25"/>
      <c r="C383" s="25"/>
      <c r="D383" s="25"/>
      <c r="E383" s="25"/>
      <c r="F383" s="25"/>
      <c r="G383" s="25"/>
      <c r="H383" s="25"/>
      <c r="I383" s="25"/>
      <c r="J383" s="25"/>
      <c r="K383" s="25"/>
    </row>
    <row r="384" spans="1:11" ht="12.75">
      <c r="A384" s="25"/>
      <c r="B384" s="25"/>
      <c r="C384" s="25"/>
      <c r="D384" s="25"/>
      <c r="E384" s="25"/>
      <c r="F384" s="25"/>
      <c r="G384" s="25"/>
      <c r="H384" s="25"/>
      <c r="I384" s="25"/>
      <c r="J384" s="25"/>
      <c r="K384" s="25"/>
    </row>
    <row r="385" spans="1:11" ht="12.75">
      <c r="A385" s="25"/>
      <c r="B385" s="25"/>
      <c r="C385" s="25"/>
      <c r="D385" s="25"/>
      <c r="E385" s="25"/>
      <c r="F385" s="25"/>
      <c r="G385" s="25"/>
      <c r="H385" s="25"/>
      <c r="I385" s="25"/>
      <c r="J385" s="25"/>
      <c r="K385" s="25"/>
    </row>
    <row r="386" spans="1:11" ht="12.75">
      <c r="A386" s="25"/>
      <c r="B386" s="25"/>
      <c r="C386" s="25"/>
      <c r="D386" s="25"/>
      <c r="E386" s="25"/>
      <c r="F386" s="25"/>
      <c r="G386" s="25"/>
      <c r="H386" s="25"/>
      <c r="I386" s="25"/>
      <c r="J386" s="25"/>
      <c r="K386" s="25"/>
    </row>
    <row r="387" spans="1:11" ht="12.75">
      <c r="A387" s="25"/>
      <c r="B387" s="25"/>
      <c r="C387" s="25"/>
      <c r="D387" s="25"/>
      <c r="E387" s="25"/>
      <c r="F387" s="25"/>
      <c r="G387" s="25"/>
      <c r="H387" s="25"/>
      <c r="I387" s="25"/>
      <c r="J387" s="25"/>
      <c r="K387" s="25"/>
    </row>
    <row r="388" spans="1:11" ht="12.75">
      <c r="A388" s="25"/>
      <c r="B388" s="25"/>
      <c r="C388" s="25"/>
      <c r="D388" s="25"/>
      <c r="E388" s="25"/>
      <c r="F388" s="25"/>
      <c r="G388" s="25"/>
      <c r="H388" s="25"/>
      <c r="I388" s="25"/>
      <c r="J388" s="25"/>
      <c r="K388" s="25"/>
    </row>
    <row r="389" spans="1:11" ht="12.75">
      <c r="A389" s="25"/>
      <c r="B389" s="25"/>
      <c r="C389" s="25"/>
      <c r="D389" s="25"/>
      <c r="E389" s="25"/>
      <c r="F389" s="25"/>
      <c r="G389" s="25"/>
      <c r="H389" s="25"/>
      <c r="I389" s="25"/>
      <c r="J389" s="25"/>
      <c r="K389" s="25"/>
    </row>
    <row r="390" spans="1:11" ht="12.75">
      <c r="A390" s="25"/>
      <c r="B390" s="25"/>
      <c r="C390" s="25"/>
      <c r="D390" s="25"/>
      <c r="E390" s="25"/>
      <c r="F390" s="25"/>
      <c r="G390" s="25"/>
      <c r="H390" s="25"/>
      <c r="I390" s="25"/>
      <c r="J390" s="25"/>
      <c r="K390" s="25"/>
    </row>
    <row r="391" spans="1:11" ht="12.75">
      <c r="A391" s="25"/>
      <c r="B391" s="25"/>
      <c r="C391" s="25"/>
      <c r="D391" s="25"/>
      <c r="E391" s="25"/>
      <c r="F391" s="25"/>
      <c r="G391" s="25"/>
      <c r="H391" s="25"/>
      <c r="I391" s="25"/>
      <c r="J391" s="25"/>
      <c r="K391" s="25"/>
    </row>
    <row r="392" spans="1:11" ht="12.75">
      <c r="A392" s="25"/>
      <c r="B392" s="25"/>
      <c r="C392" s="25"/>
      <c r="D392" s="25"/>
      <c r="E392" s="25"/>
      <c r="F392" s="25"/>
      <c r="G392" s="25"/>
      <c r="H392" s="25"/>
      <c r="I392" s="25"/>
      <c r="J392" s="25"/>
      <c r="K392" s="25"/>
    </row>
    <row r="393" spans="1:11" ht="12.75">
      <c r="A393" s="25"/>
      <c r="B393" s="25"/>
      <c r="C393" s="25"/>
      <c r="D393" s="25"/>
      <c r="E393" s="25"/>
      <c r="F393" s="25"/>
      <c r="G393" s="25"/>
      <c r="H393" s="25"/>
      <c r="I393" s="25"/>
      <c r="J393" s="25"/>
      <c r="K393" s="25"/>
    </row>
    <row r="394" spans="1:11" ht="12.75">
      <c r="A394" s="25"/>
      <c r="B394" s="25"/>
      <c r="C394" s="25"/>
      <c r="D394" s="25"/>
      <c r="E394" s="25"/>
      <c r="F394" s="25"/>
      <c r="G394" s="25"/>
      <c r="H394" s="25"/>
      <c r="I394" s="25"/>
      <c r="J394" s="25"/>
      <c r="K394" s="25"/>
    </row>
    <row r="395" spans="1:11" ht="12.75">
      <c r="A395" s="25"/>
      <c r="B395" s="25"/>
      <c r="C395" s="25"/>
      <c r="D395" s="25"/>
      <c r="E395" s="25"/>
      <c r="F395" s="25"/>
      <c r="G395" s="25"/>
      <c r="H395" s="25"/>
      <c r="I395" s="25"/>
      <c r="J395" s="25"/>
      <c r="K395" s="25"/>
    </row>
    <row r="396" spans="1:11" ht="12.75">
      <c r="A396" s="25"/>
      <c r="B396" s="25"/>
      <c r="C396" s="25"/>
      <c r="D396" s="25"/>
      <c r="E396" s="25"/>
      <c r="F396" s="25"/>
      <c r="G396" s="25"/>
      <c r="H396" s="25"/>
      <c r="I396" s="25"/>
      <c r="J396" s="25"/>
      <c r="K396" s="25"/>
    </row>
    <row r="397" spans="1:11" ht="12.75">
      <c r="A397" s="25"/>
      <c r="B397" s="25"/>
      <c r="C397" s="25"/>
      <c r="D397" s="25"/>
      <c r="E397" s="25"/>
      <c r="F397" s="25"/>
      <c r="G397" s="25"/>
      <c r="H397" s="25"/>
      <c r="I397" s="25"/>
      <c r="J397" s="25"/>
      <c r="K397" s="25"/>
    </row>
    <row r="398" spans="1:11" ht="12.75">
      <c r="A398" s="25"/>
      <c r="B398" s="25"/>
      <c r="C398" s="25"/>
      <c r="D398" s="25"/>
      <c r="E398" s="25"/>
      <c r="F398" s="25"/>
      <c r="G398" s="25"/>
      <c r="H398" s="25"/>
      <c r="I398" s="25"/>
      <c r="J398" s="25"/>
      <c r="K398" s="25"/>
    </row>
    <row r="399" spans="1:11" ht="12.75">
      <c r="A399" s="25"/>
      <c r="B399" s="25"/>
      <c r="C399" s="25"/>
      <c r="D399" s="25"/>
      <c r="E399" s="25"/>
      <c r="F399" s="25"/>
      <c r="G399" s="25"/>
      <c r="H399" s="25"/>
      <c r="I399" s="25"/>
      <c r="J399" s="25"/>
      <c r="K399" s="25"/>
    </row>
    <row r="400" spans="1:11" ht="12.75">
      <c r="A400" s="25"/>
      <c r="B400" s="25"/>
      <c r="C400" s="25"/>
      <c r="D400" s="25"/>
      <c r="E400" s="25"/>
      <c r="F400" s="25"/>
      <c r="G400" s="25"/>
      <c r="H400" s="25"/>
      <c r="I400" s="25"/>
      <c r="J400" s="25"/>
      <c r="K400" s="25"/>
    </row>
    <row r="401" spans="1:11" ht="12.75">
      <c r="A401" s="25"/>
      <c r="B401" s="25"/>
      <c r="C401" s="25"/>
      <c r="D401" s="25"/>
      <c r="E401" s="25"/>
      <c r="F401" s="25"/>
      <c r="G401" s="25"/>
      <c r="H401" s="25"/>
      <c r="I401" s="25"/>
      <c r="J401" s="25"/>
      <c r="K401" s="25"/>
    </row>
    <row r="402" spans="1:11" ht="12.75">
      <c r="A402" s="25"/>
      <c r="B402" s="25"/>
      <c r="C402" s="25"/>
      <c r="D402" s="25"/>
      <c r="E402" s="25"/>
      <c r="F402" s="25"/>
      <c r="G402" s="25"/>
      <c r="H402" s="25"/>
      <c r="I402" s="25"/>
      <c r="J402" s="25"/>
      <c r="K402" s="25"/>
    </row>
    <row r="403" spans="1:11" ht="12.75">
      <c r="A403" s="25"/>
      <c r="B403" s="25"/>
      <c r="C403" s="25"/>
      <c r="D403" s="25"/>
      <c r="E403" s="25"/>
      <c r="F403" s="25"/>
      <c r="G403" s="25"/>
      <c r="H403" s="25"/>
      <c r="I403" s="25"/>
      <c r="J403" s="25"/>
      <c r="K403" s="25"/>
    </row>
    <row r="404" spans="1:11" ht="12.75">
      <c r="A404" s="25"/>
      <c r="B404" s="25"/>
      <c r="C404" s="25"/>
      <c r="D404" s="25"/>
      <c r="E404" s="25"/>
      <c r="F404" s="25"/>
      <c r="G404" s="25"/>
      <c r="H404" s="25"/>
      <c r="I404" s="25"/>
      <c r="J404" s="25"/>
      <c r="K404" s="25"/>
    </row>
    <row r="405" spans="1:11" ht="12.75">
      <c r="A405" s="25"/>
      <c r="B405" s="25"/>
      <c r="C405" s="25"/>
      <c r="D405" s="25"/>
      <c r="E405" s="25"/>
      <c r="F405" s="25"/>
      <c r="G405" s="25"/>
      <c r="H405" s="25"/>
      <c r="I405" s="25"/>
      <c r="J405" s="25"/>
      <c r="K405" s="25"/>
    </row>
    <row r="406" spans="1:11" ht="12.75">
      <c r="A406" s="25"/>
      <c r="B406" s="25"/>
      <c r="C406" s="25"/>
      <c r="D406" s="25"/>
      <c r="E406" s="25"/>
      <c r="F406" s="25"/>
      <c r="G406" s="25"/>
      <c r="H406" s="25"/>
      <c r="I406" s="25"/>
      <c r="J406" s="25"/>
      <c r="K406" s="25"/>
    </row>
    <row r="407" spans="1:11" ht="12.75">
      <c r="A407" s="25"/>
      <c r="B407" s="25"/>
      <c r="C407" s="25"/>
      <c r="D407" s="25"/>
      <c r="E407" s="25"/>
      <c r="F407" s="25"/>
      <c r="G407" s="25"/>
      <c r="H407" s="25"/>
      <c r="I407" s="25"/>
      <c r="J407" s="25"/>
      <c r="K407" s="25"/>
    </row>
    <row r="408" spans="1:11" ht="12.75">
      <c r="A408" s="25"/>
      <c r="B408" s="25"/>
      <c r="C408" s="25"/>
      <c r="D408" s="25"/>
      <c r="E408" s="25"/>
      <c r="F408" s="25"/>
      <c r="G408" s="25"/>
      <c r="H408" s="25"/>
      <c r="I408" s="25"/>
      <c r="J408" s="25"/>
      <c r="K408" s="25"/>
    </row>
    <row r="409" spans="1:11" ht="12.75">
      <c r="A409" s="25"/>
      <c r="B409" s="25"/>
      <c r="C409" s="25"/>
      <c r="D409" s="25"/>
      <c r="E409" s="25"/>
      <c r="F409" s="25"/>
      <c r="G409" s="25"/>
      <c r="H409" s="25"/>
      <c r="I409" s="25"/>
      <c r="J409" s="25"/>
      <c r="K409" s="25"/>
    </row>
    <row r="410" spans="1:11" ht="12.75">
      <c r="A410" s="25"/>
      <c r="B410" s="25"/>
      <c r="C410" s="25"/>
      <c r="D410" s="25"/>
      <c r="E410" s="25"/>
      <c r="F410" s="25"/>
      <c r="G410" s="25"/>
      <c r="H410" s="25"/>
      <c r="I410" s="25"/>
      <c r="J410" s="25"/>
      <c r="K410" s="25"/>
    </row>
    <row r="411" spans="1:11" ht="12.75">
      <c r="A411" s="25"/>
      <c r="B411" s="25"/>
      <c r="C411" s="25"/>
      <c r="D411" s="25"/>
      <c r="E411" s="25"/>
      <c r="F411" s="25"/>
      <c r="G411" s="25"/>
      <c r="H411" s="25"/>
      <c r="I411" s="25"/>
      <c r="J411" s="25"/>
      <c r="K411" s="25"/>
    </row>
    <row r="412" spans="1:11" ht="12.75">
      <c r="A412" s="25"/>
      <c r="B412" s="25"/>
      <c r="C412" s="25"/>
      <c r="D412" s="25"/>
      <c r="E412" s="25"/>
      <c r="F412" s="25"/>
      <c r="G412" s="25"/>
      <c r="H412" s="25"/>
      <c r="I412" s="25"/>
      <c r="J412" s="25"/>
      <c r="K412" s="25"/>
    </row>
    <row r="413" spans="1:11" ht="12.75">
      <c r="A413" s="25"/>
      <c r="B413" s="25"/>
      <c r="C413" s="25"/>
      <c r="D413" s="25"/>
      <c r="E413" s="25"/>
      <c r="F413" s="25"/>
      <c r="G413" s="25"/>
      <c r="H413" s="25"/>
      <c r="I413" s="25"/>
      <c r="J413" s="25"/>
      <c r="K413" s="25"/>
    </row>
    <row r="414" spans="1:11" ht="12.75">
      <c r="A414" s="25"/>
      <c r="B414" s="25"/>
      <c r="C414" s="25"/>
      <c r="D414" s="25"/>
      <c r="E414" s="25"/>
      <c r="F414" s="25"/>
      <c r="G414" s="25"/>
      <c r="H414" s="25"/>
      <c r="I414" s="25"/>
      <c r="J414" s="25"/>
      <c r="K414" s="25"/>
    </row>
    <row r="415" spans="1:11" ht="12.75">
      <c r="A415" s="25"/>
      <c r="B415" s="25"/>
      <c r="C415" s="25"/>
      <c r="D415" s="25"/>
      <c r="E415" s="25"/>
      <c r="F415" s="25"/>
      <c r="G415" s="25"/>
      <c r="H415" s="25"/>
      <c r="I415" s="25"/>
      <c r="J415" s="25"/>
      <c r="K415" s="25"/>
    </row>
    <row r="416" spans="1:11" ht="12.75">
      <c r="A416" s="25"/>
      <c r="B416" s="25"/>
      <c r="C416" s="25"/>
      <c r="D416" s="25"/>
      <c r="E416" s="25"/>
      <c r="F416" s="25"/>
      <c r="G416" s="25"/>
      <c r="H416" s="25"/>
      <c r="I416" s="25"/>
      <c r="J416" s="25"/>
      <c r="K416" s="25"/>
    </row>
    <row r="417" spans="1:11" ht="12.75">
      <c r="A417" s="25"/>
      <c r="B417" s="25"/>
      <c r="C417" s="25"/>
      <c r="D417" s="25"/>
      <c r="E417" s="25"/>
      <c r="F417" s="25"/>
      <c r="G417" s="25"/>
      <c r="H417" s="25"/>
      <c r="I417" s="25"/>
      <c r="J417" s="25"/>
      <c r="K417" s="25"/>
    </row>
    <row r="418" spans="1:11" ht="12.75">
      <c r="A418" s="25"/>
      <c r="B418" s="25"/>
      <c r="C418" s="25"/>
      <c r="D418" s="25"/>
      <c r="E418" s="25"/>
      <c r="F418" s="25"/>
      <c r="G418" s="25"/>
      <c r="H418" s="25"/>
      <c r="I418" s="25"/>
      <c r="J418" s="25"/>
      <c r="K418" s="25"/>
    </row>
    <row r="419" spans="1:11" ht="12.75">
      <c r="A419" s="25"/>
      <c r="B419" s="25"/>
      <c r="C419" s="25"/>
      <c r="D419" s="25"/>
      <c r="E419" s="25"/>
      <c r="F419" s="25"/>
      <c r="G419" s="25"/>
      <c r="H419" s="25"/>
      <c r="I419" s="25"/>
      <c r="J419" s="25"/>
      <c r="K419" s="25"/>
    </row>
    <row r="420" spans="1:11" ht="12.75">
      <c r="A420" s="25"/>
      <c r="B420" s="25"/>
      <c r="C420" s="25"/>
      <c r="D420" s="25"/>
      <c r="E420" s="25"/>
      <c r="F420" s="25"/>
      <c r="G420" s="25"/>
      <c r="H420" s="25"/>
      <c r="I420" s="25"/>
      <c r="J420" s="25"/>
      <c r="K420" s="25"/>
    </row>
    <row r="421" spans="1:11" ht="12.75">
      <c r="A421" s="25"/>
      <c r="B421" s="25"/>
      <c r="C421" s="25"/>
      <c r="D421" s="25"/>
      <c r="E421" s="25"/>
      <c r="F421" s="25"/>
      <c r="G421" s="25"/>
      <c r="H421" s="25"/>
      <c r="I421" s="25"/>
      <c r="J421" s="25"/>
      <c r="K421" s="25"/>
    </row>
    <row r="422" spans="1:11" ht="12.75">
      <c r="A422" s="25"/>
      <c r="B422" s="25"/>
      <c r="C422" s="25"/>
      <c r="D422" s="25"/>
      <c r="E422" s="25"/>
      <c r="F422" s="25"/>
      <c r="G422" s="25"/>
      <c r="H422" s="25"/>
      <c r="I422" s="25"/>
      <c r="J422" s="25"/>
      <c r="K422" s="25"/>
    </row>
    <row r="423" spans="1:11" ht="12.75">
      <c r="A423" s="25"/>
      <c r="B423" s="25"/>
      <c r="C423" s="25"/>
      <c r="D423" s="25"/>
      <c r="E423" s="25"/>
      <c r="F423" s="25"/>
      <c r="G423" s="25"/>
      <c r="H423" s="25"/>
      <c r="I423" s="25"/>
      <c r="J423" s="25"/>
      <c r="K423" s="25"/>
    </row>
    <row r="424" spans="1:11" ht="12.75">
      <c r="A424" s="25"/>
      <c r="B424" s="25"/>
      <c r="C424" s="25"/>
      <c r="D424" s="25"/>
      <c r="E424" s="25"/>
      <c r="F424" s="25"/>
      <c r="G424" s="25"/>
      <c r="H424" s="25"/>
      <c r="I424" s="25"/>
      <c r="J424" s="25"/>
      <c r="K424" s="25"/>
    </row>
    <row r="425" spans="1:11" ht="12.75">
      <c r="A425" s="25"/>
      <c r="B425" s="25"/>
      <c r="C425" s="25"/>
      <c r="D425" s="25"/>
      <c r="E425" s="25"/>
      <c r="F425" s="25"/>
      <c r="G425" s="25"/>
      <c r="H425" s="25"/>
      <c r="I425" s="25"/>
      <c r="J425" s="25"/>
      <c r="K425" s="25"/>
    </row>
    <row r="426" spans="1:11" ht="12.75">
      <c r="A426" s="25"/>
      <c r="B426" s="25"/>
      <c r="C426" s="25"/>
      <c r="D426" s="25"/>
      <c r="E426" s="25"/>
      <c r="F426" s="25"/>
      <c r="G426" s="25"/>
      <c r="H426" s="25"/>
      <c r="I426" s="25"/>
      <c r="J426" s="25"/>
      <c r="K426" s="25"/>
    </row>
    <row r="427" spans="1:11" ht="12.75">
      <c r="A427" s="25"/>
      <c r="B427" s="25"/>
      <c r="C427" s="25"/>
      <c r="D427" s="25"/>
      <c r="E427" s="25"/>
      <c r="F427" s="25"/>
      <c r="G427" s="25"/>
      <c r="H427" s="25"/>
      <c r="I427" s="25"/>
      <c r="J427" s="25"/>
      <c r="K427" s="25"/>
    </row>
    <row r="428" spans="1:11" ht="12.75">
      <c r="A428" s="25"/>
      <c r="B428" s="25"/>
      <c r="C428" s="25"/>
      <c r="D428" s="25"/>
      <c r="E428" s="25"/>
      <c r="F428" s="25"/>
      <c r="G428" s="25"/>
      <c r="H428" s="25"/>
      <c r="I428" s="25"/>
      <c r="J428" s="25"/>
      <c r="K428" s="25"/>
    </row>
    <row r="429" spans="1:11" ht="12.75">
      <c r="A429" s="25"/>
      <c r="B429" s="25"/>
      <c r="C429" s="25"/>
      <c r="D429" s="25"/>
      <c r="E429" s="25"/>
      <c r="F429" s="25"/>
      <c r="G429" s="25"/>
      <c r="H429" s="25"/>
      <c r="I429" s="25"/>
      <c r="J429" s="25"/>
      <c r="K429" s="25"/>
    </row>
    <row r="430" spans="1:11" ht="12.75">
      <c r="A430" s="25"/>
      <c r="B430" s="25"/>
      <c r="C430" s="25"/>
      <c r="D430" s="25"/>
      <c r="E430" s="25"/>
      <c r="F430" s="25"/>
      <c r="G430" s="25"/>
      <c r="H430" s="25"/>
      <c r="I430" s="25"/>
      <c r="J430" s="25"/>
      <c r="K430" s="25"/>
    </row>
    <row r="431" spans="1:11" ht="12.75">
      <c r="A431" s="25"/>
      <c r="B431" s="25"/>
      <c r="C431" s="25"/>
      <c r="D431" s="25"/>
      <c r="E431" s="25"/>
      <c r="F431" s="25"/>
      <c r="G431" s="25"/>
      <c r="H431" s="25"/>
      <c r="I431" s="25"/>
      <c r="J431" s="25"/>
      <c r="K431" s="25"/>
    </row>
    <row r="432" spans="1:11" ht="12.75">
      <c r="A432" s="25"/>
      <c r="B432" s="25"/>
      <c r="C432" s="25"/>
      <c r="D432" s="25"/>
      <c r="E432" s="25"/>
      <c r="F432" s="25"/>
      <c r="G432" s="25"/>
      <c r="H432" s="25"/>
      <c r="I432" s="25"/>
      <c r="J432" s="25"/>
      <c r="K432" s="25"/>
    </row>
    <row r="433" spans="1:11" ht="12.75">
      <c r="A433" s="25"/>
      <c r="B433" s="25"/>
      <c r="C433" s="25"/>
      <c r="D433" s="25"/>
      <c r="E433" s="25"/>
      <c r="F433" s="25"/>
      <c r="G433" s="25"/>
      <c r="H433" s="25"/>
      <c r="I433" s="25"/>
      <c r="J433" s="25"/>
      <c r="K433" s="25"/>
    </row>
    <row r="434" spans="1:11" ht="12.75">
      <c r="A434" s="25"/>
      <c r="B434" s="25"/>
      <c r="C434" s="25"/>
      <c r="D434" s="25"/>
      <c r="E434" s="25"/>
      <c r="F434" s="25"/>
      <c r="G434" s="25"/>
      <c r="H434" s="25"/>
      <c r="I434" s="25"/>
      <c r="J434" s="25"/>
      <c r="K434" s="25"/>
    </row>
    <row r="435" spans="1:11" ht="12.75">
      <c r="A435" s="25"/>
      <c r="B435" s="25"/>
      <c r="C435" s="25"/>
      <c r="D435" s="25"/>
      <c r="E435" s="25"/>
      <c r="F435" s="25"/>
      <c r="G435" s="25"/>
      <c r="H435" s="25"/>
      <c r="I435" s="25"/>
      <c r="J435" s="25"/>
      <c r="K435" s="25"/>
    </row>
    <row r="436" spans="1:11" ht="12.75">
      <c r="A436" s="25"/>
      <c r="B436" s="25"/>
      <c r="C436" s="25"/>
      <c r="D436" s="25"/>
      <c r="E436" s="25"/>
      <c r="F436" s="25"/>
      <c r="G436" s="25"/>
      <c r="H436" s="25"/>
      <c r="I436" s="25"/>
      <c r="J436" s="25"/>
      <c r="K436" s="25"/>
    </row>
    <row r="437" spans="1:11" ht="12.75">
      <c r="A437" s="25"/>
      <c r="B437" s="25"/>
      <c r="C437" s="25"/>
      <c r="D437" s="25"/>
      <c r="E437" s="25"/>
      <c r="F437" s="25"/>
      <c r="G437" s="25"/>
      <c r="H437" s="25"/>
      <c r="I437" s="25"/>
      <c r="J437" s="25"/>
      <c r="K437" s="25"/>
    </row>
    <row r="438" spans="1:11" ht="12.75">
      <c r="A438" s="25"/>
      <c r="B438" s="25"/>
      <c r="C438" s="25"/>
      <c r="D438" s="25"/>
      <c r="E438" s="25"/>
      <c r="F438" s="25"/>
      <c r="G438" s="25"/>
      <c r="H438" s="25"/>
      <c r="I438" s="25"/>
      <c r="J438" s="25"/>
      <c r="K438" s="25"/>
    </row>
    <row r="439" spans="1:11" ht="12.75">
      <c r="A439" s="25"/>
      <c r="B439" s="25"/>
      <c r="C439" s="25"/>
      <c r="D439" s="25"/>
      <c r="E439" s="25"/>
      <c r="F439" s="25"/>
      <c r="G439" s="25"/>
      <c r="H439" s="25"/>
      <c r="I439" s="25"/>
      <c r="J439" s="25"/>
      <c r="K439" s="25"/>
    </row>
    <row r="440" spans="1:11" ht="12.75">
      <c r="A440" s="25"/>
      <c r="B440" s="25"/>
      <c r="C440" s="25"/>
      <c r="D440" s="25"/>
      <c r="E440" s="25"/>
      <c r="F440" s="25"/>
      <c r="G440" s="25"/>
      <c r="H440" s="25"/>
      <c r="I440" s="25"/>
      <c r="J440" s="25"/>
      <c r="K440" s="25"/>
    </row>
    <row r="441" spans="1:11" ht="12.75">
      <c r="A441" s="25"/>
      <c r="B441" s="25"/>
      <c r="C441" s="25"/>
      <c r="D441" s="25"/>
      <c r="E441" s="25"/>
      <c r="F441" s="25"/>
      <c r="G441" s="25"/>
      <c r="H441" s="25"/>
      <c r="I441" s="25"/>
      <c r="J441" s="25"/>
      <c r="K441" s="25"/>
    </row>
    <row r="442" spans="1:11" ht="12.75">
      <c r="A442" s="25"/>
      <c r="B442" s="25"/>
      <c r="C442" s="25"/>
      <c r="D442" s="25"/>
      <c r="E442" s="25"/>
      <c r="F442" s="25"/>
      <c r="G442" s="25"/>
      <c r="H442" s="25"/>
      <c r="I442" s="25"/>
      <c r="J442" s="25"/>
      <c r="K442" s="25"/>
    </row>
    <row r="443" spans="1:11" ht="12.75">
      <c r="A443" s="25"/>
      <c r="B443" s="25"/>
      <c r="C443" s="25"/>
      <c r="D443" s="25"/>
      <c r="E443" s="25"/>
      <c r="F443" s="25"/>
      <c r="G443" s="25"/>
      <c r="H443" s="25"/>
      <c r="I443" s="25"/>
      <c r="J443" s="25"/>
      <c r="K443" s="25"/>
    </row>
    <row r="444" spans="1:11" ht="12.75">
      <c r="A444" s="25"/>
      <c r="B444" s="25"/>
      <c r="C444" s="25"/>
      <c r="D444" s="25"/>
      <c r="E444" s="25"/>
      <c r="F444" s="25"/>
      <c r="G444" s="25"/>
      <c r="H444" s="25"/>
      <c r="I444" s="25"/>
      <c r="J444" s="25"/>
      <c r="K444" s="25"/>
    </row>
    <row r="445" spans="1:11" ht="12.75">
      <c r="A445" s="25"/>
      <c r="B445" s="25"/>
      <c r="C445" s="25"/>
      <c r="D445" s="25"/>
      <c r="E445" s="25"/>
      <c r="F445" s="25"/>
      <c r="G445" s="25"/>
      <c r="H445" s="25"/>
      <c r="I445" s="25"/>
      <c r="J445" s="25"/>
      <c r="K445" s="25"/>
    </row>
    <row r="446" spans="1:11" ht="12.75">
      <c r="A446" s="25"/>
      <c r="B446" s="25"/>
      <c r="C446" s="25"/>
      <c r="D446" s="25"/>
      <c r="E446" s="25"/>
      <c r="F446" s="25"/>
      <c r="G446" s="25"/>
      <c r="H446" s="25"/>
      <c r="I446" s="25"/>
      <c r="J446" s="25"/>
      <c r="K446" s="25"/>
    </row>
    <row r="447" spans="1:11" ht="12.75">
      <c r="A447" s="25"/>
      <c r="B447" s="25"/>
      <c r="C447" s="25"/>
      <c r="D447" s="25"/>
      <c r="E447" s="25"/>
      <c r="F447" s="25"/>
      <c r="G447" s="25"/>
      <c r="H447" s="25"/>
      <c r="I447" s="25"/>
      <c r="J447" s="25"/>
      <c r="K447" s="25"/>
    </row>
    <row r="448" spans="1:11" ht="12.75">
      <c r="A448" s="25"/>
      <c r="B448" s="25"/>
      <c r="C448" s="25"/>
      <c r="D448" s="25"/>
      <c r="E448" s="25"/>
      <c r="F448" s="25"/>
      <c r="G448" s="25"/>
      <c r="H448" s="25"/>
      <c r="I448" s="25"/>
      <c r="J448" s="25"/>
      <c r="K448" s="25"/>
    </row>
    <row r="449" spans="1:11" ht="12.75">
      <c r="A449" s="25"/>
      <c r="B449" s="25"/>
      <c r="C449" s="25"/>
      <c r="D449" s="25"/>
      <c r="E449" s="25"/>
      <c r="F449" s="25"/>
      <c r="G449" s="25"/>
      <c r="H449" s="25"/>
      <c r="I449" s="25"/>
      <c r="J449" s="25"/>
      <c r="K449" s="25"/>
    </row>
    <row r="450" spans="1:11" ht="12.75">
      <c r="A450" s="25"/>
      <c r="B450" s="25"/>
      <c r="C450" s="25"/>
      <c r="D450" s="25"/>
      <c r="E450" s="25"/>
      <c r="F450" s="25"/>
      <c r="G450" s="25"/>
      <c r="H450" s="25"/>
      <c r="I450" s="25"/>
      <c r="J450" s="25"/>
      <c r="K450" s="25"/>
    </row>
    <row r="451" spans="1:11" ht="12.75">
      <c r="A451" s="25"/>
      <c r="B451" s="25"/>
      <c r="C451" s="25"/>
      <c r="D451" s="25"/>
      <c r="E451" s="25"/>
      <c r="F451" s="25"/>
      <c r="G451" s="25"/>
      <c r="H451" s="25"/>
      <c r="I451" s="25"/>
      <c r="J451" s="25"/>
      <c r="K451" s="25"/>
    </row>
    <row r="452" spans="1:11" ht="12.75">
      <c r="A452" s="25"/>
      <c r="B452" s="25"/>
      <c r="C452" s="25"/>
      <c r="D452" s="25"/>
      <c r="E452" s="25"/>
      <c r="F452" s="25"/>
      <c r="G452" s="25"/>
      <c r="H452" s="25"/>
      <c r="I452" s="25"/>
      <c r="J452" s="25"/>
      <c r="K452" s="25"/>
    </row>
    <row r="453" spans="1:11" ht="12.75">
      <c r="A453" s="25"/>
      <c r="B453" s="25"/>
      <c r="C453" s="25"/>
      <c r="D453" s="25"/>
      <c r="E453" s="25"/>
      <c r="F453" s="25"/>
      <c r="G453" s="25"/>
      <c r="H453" s="25"/>
      <c r="I453" s="25"/>
      <c r="J453" s="25"/>
      <c r="K453" s="25"/>
    </row>
    <row r="454" spans="1:11" ht="12.75">
      <c r="A454" s="25"/>
      <c r="B454" s="25"/>
      <c r="C454" s="25"/>
      <c r="D454" s="25"/>
      <c r="E454" s="25"/>
      <c r="F454" s="25"/>
      <c r="G454" s="25"/>
      <c r="H454" s="25"/>
      <c r="I454" s="25"/>
      <c r="J454" s="25"/>
      <c r="K454" s="25"/>
    </row>
    <row r="455" spans="1:11" ht="12.75">
      <c r="A455" s="25"/>
      <c r="B455" s="25"/>
      <c r="C455" s="25"/>
      <c r="D455" s="25"/>
      <c r="E455" s="25"/>
      <c r="F455" s="25"/>
      <c r="G455" s="25"/>
      <c r="H455" s="25"/>
      <c r="I455" s="25"/>
      <c r="J455" s="25"/>
      <c r="K455" s="25"/>
    </row>
    <row r="456" spans="1:11" ht="12.75">
      <c r="A456" s="25"/>
      <c r="B456" s="25"/>
      <c r="C456" s="25"/>
      <c r="D456" s="25"/>
      <c r="E456" s="25"/>
      <c r="F456" s="25"/>
      <c r="G456" s="25"/>
      <c r="H456" s="25"/>
      <c r="I456" s="25"/>
      <c r="J456" s="25"/>
      <c r="K456" s="25"/>
    </row>
    <row r="457" spans="1:11" ht="12.75">
      <c r="A457" s="25"/>
      <c r="B457" s="25"/>
      <c r="C457" s="25"/>
      <c r="D457" s="25"/>
      <c r="E457" s="25"/>
      <c r="F457" s="25"/>
      <c r="G457" s="25"/>
      <c r="H457" s="25"/>
      <c r="I457" s="25"/>
      <c r="J457" s="25"/>
      <c r="K457" s="25"/>
    </row>
    <row r="458" spans="1:11" ht="12.75">
      <c r="A458" s="25"/>
      <c r="B458" s="25"/>
      <c r="C458" s="25"/>
      <c r="D458" s="25"/>
      <c r="E458" s="25"/>
      <c r="F458" s="25"/>
      <c r="G458" s="25"/>
      <c r="H458" s="25"/>
      <c r="I458" s="25"/>
      <c r="J458" s="25"/>
      <c r="K458" s="25"/>
    </row>
    <row r="459" spans="1:11" ht="12.75">
      <c r="A459" s="25"/>
      <c r="B459" s="25"/>
      <c r="C459" s="25"/>
      <c r="D459" s="25"/>
      <c r="E459" s="25"/>
      <c r="F459" s="25"/>
      <c r="G459" s="25"/>
      <c r="H459" s="25"/>
      <c r="I459" s="25"/>
      <c r="J459" s="25"/>
      <c r="K459" s="25"/>
    </row>
    <row r="460" spans="1:11" ht="12.75">
      <c r="A460" s="25"/>
      <c r="B460" s="25"/>
      <c r="C460" s="25"/>
      <c r="D460" s="25"/>
      <c r="E460" s="25"/>
      <c r="F460" s="25"/>
      <c r="G460" s="25"/>
      <c r="H460" s="25"/>
      <c r="I460" s="25"/>
      <c r="J460" s="25"/>
      <c r="K460" s="25"/>
    </row>
    <row r="461" spans="1:11" ht="12.75">
      <c r="A461" s="25"/>
      <c r="B461" s="25"/>
      <c r="C461" s="25"/>
      <c r="D461" s="25"/>
      <c r="E461" s="25"/>
      <c r="F461" s="25"/>
      <c r="G461" s="25"/>
      <c r="H461" s="25"/>
      <c r="I461" s="25"/>
      <c r="J461" s="25"/>
      <c r="K461" s="25"/>
    </row>
    <row r="462" spans="1:11" ht="12.75">
      <c r="A462" s="25"/>
      <c r="B462" s="25"/>
      <c r="C462" s="25"/>
      <c r="D462" s="25"/>
      <c r="E462" s="25"/>
      <c r="F462" s="25"/>
      <c r="G462" s="25"/>
      <c r="H462" s="25"/>
      <c r="I462" s="25"/>
      <c r="J462" s="25"/>
      <c r="K462" s="25"/>
    </row>
    <row r="463" spans="1:11" ht="12.75">
      <c r="A463" s="25"/>
      <c r="B463" s="25"/>
      <c r="C463" s="25"/>
      <c r="D463" s="25"/>
      <c r="E463" s="25"/>
      <c r="F463" s="25"/>
      <c r="G463" s="25"/>
      <c r="H463" s="25"/>
      <c r="I463" s="25"/>
      <c r="J463" s="25"/>
      <c r="K463" s="25"/>
    </row>
    <row r="464" spans="1:11" ht="12.75">
      <c r="A464" s="25"/>
      <c r="B464" s="25"/>
      <c r="C464" s="25"/>
      <c r="D464" s="25"/>
      <c r="E464" s="25"/>
      <c r="F464" s="25"/>
      <c r="G464" s="25"/>
      <c r="H464" s="25"/>
      <c r="I464" s="25"/>
      <c r="J464" s="25"/>
      <c r="K464" s="25"/>
    </row>
    <row r="465" spans="1:11" ht="12.75">
      <c r="A465" s="25"/>
      <c r="B465" s="25"/>
      <c r="C465" s="25"/>
      <c r="D465" s="25"/>
      <c r="E465" s="25"/>
      <c r="F465" s="25"/>
      <c r="G465" s="25"/>
      <c r="H465" s="25"/>
      <c r="I465" s="25"/>
      <c r="J465" s="25"/>
      <c r="K465" s="25"/>
    </row>
    <row r="466" spans="1:11" ht="12.75">
      <c r="A466" s="25"/>
      <c r="B466" s="25"/>
      <c r="C466" s="25"/>
      <c r="D466" s="25"/>
      <c r="E466" s="25"/>
      <c r="F466" s="25"/>
      <c r="G466" s="25"/>
      <c r="H466" s="25"/>
      <c r="I466" s="25"/>
      <c r="J466" s="25"/>
      <c r="K466" s="25"/>
    </row>
    <row r="467" spans="1:11" ht="12.75">
      <c r="A467" s="25"/>
      <c r="B467" s="25"/>
      <c r="C467" s="25"/>
      <c r="D467" s="25"/>
      <c r="E467" s="25"/>
      <c r="F467" s="25"/>
      <c r="G467" s="25"/>
      <c r="H467" s="25"/>
      <c r="I467" s="25"/>
      <c r="J467" s="25"/>
      <c r="K467" s="25"/>
    </row>
    <row r="468" spans="1:11" ht="12.75">
      <c r="A468" s="25"/>
      <c r="B468" s="25"/>
      <c r="C468" s="25"/>
      <c r="D468" s="25"/>
      <c r="E468" s="25"/>
      <c r="F468" s="25"/>
      <c r="G468" s="25"/>
      <c r="H468" s="25"/>
      <c r="I468" s="25"/>
      <c r="J468" s="25"/>
      <c r="K468" s="25"/>
    </row>
    <row r="469" spans="1:11" ht="12.75">
      <c r="A469" s="25"/>
      <c r="B469" s="25"/>
      <c r="C469" s="25"/>
      <c r="D469" s="25"/>
      <c r="E469" s="25"/>
      <c r="F469" s="25"/>
      <c r="G469" s="25"/>
      <c r="H469" s="25"/>
      <c r="I469" s="25"/>
      <c r="J469" s="25"/>
      <c r="K469" s="25"/>
    </row>
    <row r="470" spans="1:11" ht="12.75">
      <c r="A470" s="25"/>
      <c r="B470" s="25"/>
      <c r="C470" s="25"/>
      <c r="D470" s="25"/>
      <c r="E470" s="25"/>
      <c r="F470" s="25"/>
      <c r="G470" s="25"/>
      <c r="H470" s="25"/>
      <c r="I470" s="25"/>
      <c r="J470" s="25"/>
      <c r="K470" s="25"/>
    </row>
    <row r="471" spans="1:11" ht="12.75">
      <c r="A471" s="25"/>
      <c r="B471" s="25"/>
      <c r="C471" s="25"/>
      <c r="D471" s="25"/>
      <c r="E471" s="25"/>
      <c r="F471" s="25"/>
      <c r="G471" s="25"/>
      <c r="H471" s="25"/>
      <c r="I471" s="25"/>
      <c r="J471" s="25"/>
      <c r="K471" s="25"/>
    </row>
    <row r="472" spans="1:11" ht="12.75">
      <c r="A472" s="25"/>
      <c r="B472" s="25"/>
      <c r="C472" s="25"/>
      <c r="D472" s="25"/>
      <c r="E472" s="25"/>
      <c r="F472" s="25"/>
      <c r="G472" s="25"/>
      <c r="H472" s="25"/>
      <c r="I472" s="25"/>
      <c r="J472" s="25"/>
      <c r="K472" s="25"/>
    </row>
    <row r="473" spans="1:11" ht="12.75">
      <c r="A473" s="25"/>
      <c r="B473" s="25"/>
      <c r="C473" s="25"/>
      <c r="D473" s="25"/>
      <c r="E473" s="25"/>
      <c r="F473" s="25"/>
      <c r="G473" s="25"/>
      <c r="H473" s="25"/>
      <c r="I473" s="25"/>
      <c r="J473" s="25"/>
      <c r="K473" s="25"/>
    </row>
    <row r="474" spans="1:11" ht="12.75">
      <c r="A474" s="25"/>
      <c r="B474" s="25"/>
      <c r="C474" s="25"/>
      <c r="D474" s="25"/>
      <c r="E474" s="25"/>
      <c r="F474" s="25"/>
      <c r="G474" s="25"/>
      <c r="H474" s="25"/>
      <c r="I474" s="25"/>
      <c r="J474" s="25"/>
      <c r="K474" s="25"/>
    </row>
    <row r="475" spans="1:11" ht="12.75">
      <c r="A475" s="25"/>
      <c r="B475" s="25"/>
      <c r="C475" s="25"/>
      <c r="D475" s="25"/>
      <c r="E475" s="25"/>
      <c r="F475" s="25"/>
      <c r="G475" s="25"/>
      <c r="H475" s="25"/>
      <c r="I475" s="25"/>
      <c r="J475" s="25"/>
      <c r="K475" s="25"/>
    </row>
    <row r="476" spans="1:11" ht="12.75">
      <c r="A476" s="25"/>
      <c r="B476" s="25"/>
      <c r="C476" s="25"/>
      <c r="D476" s="25"/>
      <c r="E476" s="25"/>
      <c r="F476" s="25"/>
      <c r="G476" s="25"/>
      <c r="H476" s="25"/>
      <c r="I476" s="25"/>
      <c r="J476" s="25"/>
      <c r="K476" s="25"/>
    </row>
    <row r="477" spans="1:11" ht="12.75">
      <c r="A477" s="25"/>
      <c r="B477" s="25"/>
      <c r="C477" s="25"/>
      <c r="D477" s="25"/>
      <c r="E477" s="25"/>
      <c r="F477" s="25"/>
      <c r="G477" s="25"/>
      <c r="H477" s="25"/>
      <c r="I477" s="25"/>
      <c r="J477" s="25"/>
      <c r="K477" s="25"/>
    </row>
    <row r="478" spans="1:11" ht="12.75">
      <c r="A478" s="25"/>
      <c r="B478" s="25"/>
      <c r="C478" s="25"/>
      <c r="D478" s="25"/>
      <c r="E478" s="25"/>
      <c r="F478" s="25"/>
      <c r="G478" s="25"/>
      <c r="H478" s="25"/>
      <c r="I478" s="25"/>
      <c r="J478" s="25"/>
      <c r="K478" s="25"/>
    </row>
    <row r="479" spans="1:11" ht="12.75">
      <c r="A479" s="25"/>
      <c r="B479" s="25"/>
      <c r="C479" s="25"/>
      <c r="D479" s="25"/>
      <c r="E479" s="25"/>
      <c r="F479" s="25"/>
      <c r="G479" s="25"/>
      <c r="H479" s="25"/>
      <c r="I479" s="25"/>
      <c r="J479" s="25"/>
      <c r="K479" s="25"/>
    </row>
    <row r="480" spans="1:11" ht="12.75">
      <c r="A480" s="25"/>
      <c r="B480" s="25"/>
      <c r="C480" s="25"/>
      <c r="D480" s="25"/>
      <c r="E480" s="25"/>
      <c r="F480" s="25"/>
      <c r="G480" s="25"/>
      <c r="H480" s="25"/>
      <c r="I480" s="25"/>
      <c r="J480" s="25"/>
      <c r="K480" s="25"/>
    </row>
    <row r="481" spans="1:11" ht="12.75">
      <c r="A481" s="25"/>
      <c r="B481" s="25"/>
      <c r="C481" s="25"/>
      <c r="D481" s="25"/>
      <c r="E481" s="25"/>
      <c r="F481" s="25"/>
      <c r="G481" s="25"/>
      <c r="H481" s="25"/>
      <c r="I481" s="25"/>
      <c r="J481" s="25"/>
      <c r="K481" s="25"/>
    </row>
    <row r="482" spans="1:11" ht="12.75">
      <c r="A482" s="25"/>
      <c r="B482" s="25"/>
      <c r="C482" s="25"/>
      <c r="D482" s="25"/>
      <c r="E482" s="25"/>
      <c r="F482" s="25"/>
      <c r="G482" s="25"/>
      <c r="H482" s="25"/>
      <c r="I482" s="25"/>
      <c r="J482" s="25"/>
      <c r="K482" s="25"/>
    </row>
    <row r="483" spans="1:11" ht="12.75">
      <c r="A483" s="25"/>
      <c r="B483" s="25"/>
      <c r="C483" s="25"/>
      <c r="D483" s="25"/>
      <c r="E483" s="25"/>
      <c r="F483" s="25"/>
      <c r="G483" s="25"/>
      <c r="H483" s="25"/>
      <c r="I483" s="25"/>
      <c r="J483" s="25"/>
      <c r="K483" s="25"/>
    </row>
    <row r="484" spans="1:11" ht="12.75">
      <c r="A484" s="25"/>
      <c r="B484" s="25"/>
      <c r="C484" s="25"/>
      <c r="D484" s="25"/>
      <c r="E484" s="25"/>
      <c r="F484" s="25"/>
      <c r="G484" s="25"/>
      <c r="H484" s="25"/>
      <c r="I484" s="25"/>
      <c r="J484" s="25"/>
      <c r="K484" s="25"/>
    </row>
    <row r="485" spans="1:11" ht="12.75">
      <c r="A485" s="25"/>
      <c r="B485" s="25"/>
      <c r="C485" s="25"/>
      <c r="D485" s="25"/>
      <c r="E485" s="25"/>
      <c r="F485" s="25"/>
      <c r="G485" s="25"/>
      <c r="H485" s="25"/>
      <c r="I485" s="25"/>
      <c r="J485" s="25"/>
      <c r="K485" s="25"/>
    </row>
    <row r="486" spans="1:11" ht="12.75">
      <c r="A486" s="25"/>
      <c r="B486" s="25"/>
      <c r="C486" s="25"/>
      <c r="D486" s="25"/>
      <c r="E486" s="25"/>
      <c r="F486" s="25"/>
      <c r="G486" s="25"/>
      <c r="H486" s="25"/>
      <c r="I486" s="25"/>
      <c r="J486" s="25"/>
      <c r="K486" s="25"/>
    </row>
    <row r="487" spans="1:11" ht="12.75">
      <c r="A487" s="25"/>
      <c r="B487" s="25"/>
      <c r="C487" s="25"/>
      <c r="D487" s="25"/>
      <c r="E487" s="25"/>
      <c r="F487" s="25"/>
      <c r="G487" s="25"/>
      <c r="H487" s="25"/>
      <c r="I487" s="25"/>
      <c r="J487" s="25"/>
      <c r="K487" s="25"/>
    </row>
    <row r="488" spans="1:11" ht="12.75">
      <c r="A488" s="25"/>
      <c r="B488" s="25"/>
      <c r="C488" s="25"/>
      <c r="D488" s="25"/>
      <c r="E488" s="25"/>
      <c r="F488" s="25"/>
      <c r="G488" s="25"/>
      <c r="H488" s="25"/>
      <c r="I488" s="25"/>
      <c r="J488" s="25"/>
      <c r="K488" s="25"/>
    </row>
    <row r="489" spans="1:11" ht="12.75">
      <c r="A489" s="25"/>
      <c r="B489" s="25"/>
      <c r="C489" s="25"/>
      <c r="D489" s="25"/>
      <c r="E489" s="25"/>
      <c r="F489" s="25"/>
      <c r="G489" s="25"/>
      <c r="H489" s="25"/>
      <c r="I489" s="25"/>
      <c r="J489" s="25"/>
      <c r="K489" s="25"/>
    </row>
    <row r="490" spans="1:11" ht="12.75">
      <c r="A490" s="25"/>
      <c r="B490" s="25"/>
      <c r="C490" s="25"/>
      <c r="D490" s="25"/>
      <c r="E490" s="25"/>
      <c r="F490" s="25"/>
      <c r="G490" s="25"/>
      <c r="H490" s="25"/>
      <c r="I490" s="25"/>
      <c r="J490" s="25"/>
      <c r="K490" s="25"/>
    </row>
    <row r="491" spans="1:11" ht="12.75">
      <c r="A491" s="25"/>
      <c r="B491" s="25"/>
      <c r="C491" s="25"/>
      <c r="D491" s="25"/>
      <c r="E491" s="25"/>
      <c r="F491" s="25"/>
      <c r="G491" s="25"/>
      <c r="H491" s="25"/>
      <c r="I491" s="25"/>
      <c r="J491" s="25"/>
      <c r="K491" s="25"/>
    </row>
    <row r="492" spans="1:11" ht="12.75">
      <c r="A492" s="25"/>
      <c r="B492" s="25"/>
      <c r="C492" s="25"/>
      <c r="D492" s="25"/>
      <c r="E492" s="25"/>
      <c r="F492" s="25"/>
      <c r="G492" s="25"/>
      <c r="H492" s="25"/>
      <c r="I492" s="25"/>
      <c r="J492" s="25"/>
      <c r="K492" s="25"/>
    </row>
    <row r="493" spans="1:11" ht="12.75">
      <c r="A493" s="25"/>
      <c r="B493" s="25"/>
      <c r="C493" s="25"/>
      <c r="D493" s="25"/>
      <c r="E493" s="25"/>
      <c r="F493" s="25"/>
      <c r="G493" s="25"/>
      <c r="H493" s="25"/>
      <c r="I493" s="25"/>
      <c r="J493" s="25"/>
      <c r="K493" s="25"/>
    </row>
    <row r="494" spans="1:11" ht="12.75">
      <c r="A494" s="25"/>
      <c r="B494" s="25"/>
      <c r="C494" s="25"/>
      <c r="D494" s="25"/>
      <c r="E494" s="25"/>
      <c r="F494" s="25"/>
      <c r="G494" s="25"/>
      <c r="H494" s="25"/>
      <c r="I494" s="25"/>
      <c r="J494" s="25"/>
      <c r="K494" s="25"/>
    </row>
    <row r="495" spans="1:11" ht="12.75">
      <c r="A495" s="25"/>
      <c r="B495" s="25"/>
      <c r="C495" s="25"/>
      <c r="D495" s="25"/>
      <c r="E495" s="25"/>
      <c r="F495" s="25"/>
      <c r="G495" s="25"/>
      <c r="H495" s="25"/>
      <c r="I495" s="25"/>
      <c r="J495" s="25"/>
      <c r="K495" s="25"/>
    </row>
    <row r="496" spans="1:11" ht="12.75">
      <c r="A496" s="25"/>
      <c r="B496" s="25"/>
      <c r="C496" s="25"/>
      <c r="D496" s="25"/>
      <c r="E496" s="25"/>
      <c r="F496" s="25"/>
      <c r="G496" s="25"/>
      <c r="H496" s="25"/>
      <c r="I496" s="25"/>
      <c r="J496" s="25"/>
      <c r="K496" s="25"/>
    </row>
    <row r="497" spans="1:11" ht="12.75">
      <c r="A497" s="25"/>
      <c r="B497" s="25"/>
      <c r="C497" s="25"/>
      <c r="D497" s="25"/>
      <c r="E497" s="25"/>
      <c r="F497" s="25"/>
      <c r="G497" s="25"/>
      <c r="H497" s="25"/>
      <c r="I497" s="25"/>
      <c r="J497" s="25"/>
      <c r="K497" s="25"/>
    </row>
    <row r="498" spans="1:11" ht="12.75">
      <c r="A498" s="25"/>
      <c r="B498" s="25"/>
      <c r="C498" s="25"/>
      <c r="D498" s="25"/>
      <c r="E498" s="25"/>
      <c r="F498" s="25"/>
      <c r="G498" s="25"/>
      <c r="H498" s="25"/>
      <c r="I498" s="25"/>
      <c r="J498" s="25"/>
      <c r="K498" s="25"/>
    </row>
    <row r="499" spans="1:11" ht="12.75">
      <c r="A499" s="25"/>
      <c r="B499" s="25"/>
      <c r="C499" s="25"/>
      <c r="D499" s="25"/>
      <c r="E499" s="25"/>
      <c r="F499" s="25"/>
      <c r="G499" s="25"/>
      <c r="H499" s="25"/>
      <c r="I499" s="25"/>
      <c r="J499" s="25"/>
      <c r="K499" s="25"/>
    </row>
    <row r="500" spans="1:11" ht="12.75">
      <c r="A500" s="25"/>
      <c r="B500" s="25"/>
      <c r="C500" s="25"/>
      <c r="D500" s="25"/>
      <c r="E500" s="25"/>
      <c r="F500" s="25"/>
      <c r="G500" s="25"/>
      <c r="H500" s="25"/>
      <c r="I500" s="25"/>
      <c r="J500" s="25"/>
      <c r="K500" s="25"/>
    </row>
    <row r="501" spans="1:11" ht="12.75">
      <c r="A501" s="25"/>
      <c r="B501" s="25"/>
      <c r="C501" s="25"/>
      <c r="D501" s="25"/>
      <c r="E501" s="25"/>
      <c r="F501" s="25"/>
      <c r="G501" s="25"/>
      <c r="H501" s="25"/>
      <c r="I501" s="25"/>
      <c r="J501" s="25"/>
      <c r="K501" s="25"/>
    </row>
    <row r="502" spans="1:11" ht="12.75">
      <c r="A502" s="25"/>
      <c r="B502" s="25"/>
      <c r="C502" s="25"/>
      <c r="D502" s="25"/>
      <c r="E502" s="25"/>
      <c r="F502" s="25"/>
      <c r="G502" s="25"/>
      <c r="H502" s="25"/>
      <c r="I502" s="25"/>
      <c r="J502" s="25"/>
      <c r="K502" s="25"/>
    </row>
    <row r="503" spans="1:11" ht="12.75">
      <c r="A503" s="25"/>
      <c r="B503" s="25"/>
      <c r="C503" s="25"/>
      <c r="D503" s="25"/>
      <c r="E503" s="25"/>
      <c r="F503" s="25"/>
      <c r="G503" s="25"/>
      <c r="H503" s="25"/>
      <c r="I503" s="25"/>
      <c r="J503" s="25"/>
      <c r="K503" s="25"/>
    </row>
    <row r="504" spans="1:11" ht="12.75">
      <c r="A504" s="25"/>
      <c r="B504" s="25"/>
      <c r="C504" s="25"/>
      <c r="D504" s="25"/>
      <c r="E504" s="25"/>
      <c r="F504" s="25"/>
      <c r="G504" s="25"/>
      <c r="H504" s="25"/>
      <c r="I504" s="25"/>
      <c r="J504" s="25"/>
      <c r="K504" s="25"/>
    </row>
    <row r="505" spans="1:11" ht="12.75">
      <c r="A505" s="25"/>
      <c r="B505" s="25"/>
      <c r="C505" s="25"/>
      <c r="D505" s="25"/>
      <c r="E505" s="25"/>
      <c r="F505" s="25"/>
      <c r="G505" s="25"/>
      <c r="H505" s="25"/>
      <c r="I505" s="25"/>
      <c r="J505" s="25"/>
      <c r="K505" s="25"/>
    </row>
    <row r="506" spans="1:11" ht="12.75">
      <c r="A506" s="25"/>
      <c r="B506" s="25"/>
      <c r="C506" s="25"/>
      <c r="D506" s="25"/>
      <c r="E506" s="25"/>
      <c r="F506" s="25"/>
      <c r="G506" s="25"/>
      <c r="H506" s="25"/>
      <c r="I506" s="25"/>
      <c r="J506" s="25"/>
      <c r="K506" s="25"/>
    </row>
    <row r="507" spans="1:11" ht="12.75">
      <c r="A507" s="25"/>
      <c r="B507" s="25"/>
      <c r="C507" s="25"/>
      <c r="D507" s="25"/>
      <c r="E507" s="25"/>
      <c r="F507" s="25"/>
      <c r="G507" s="25"/>
      <c r="H507" s="25"/>
      <c r="I507" s="25"/>
      <c r="J507" s="25"/>
      <c r="K507" s="25"/>
    </row>
    <row r="508" spans="1:11" ht="12.75">
      <c r="A508" s="25"/>
      <c r="B508" s="25"/>
      <c r="C508" s="25"/>
      <c r="D508" s="25"/>
      <c r="E508" s="25"/>
      <c r="F508" s="25"/>
      <c r="G508" s="25"/>
      <c r="H508" s="25"/>
      <c r="I508" s="25"/>
      <c r="J508" s="25"/>
      <c r="K508" s="25"/>
    </row>
    <row r="509" spans="1:11" ht="12.75">
      <c r="A509" s="25"/>
      <c r="B509" s="25"/>
      <c r="C509" s="25"/>
      <c r="D509" s="25"/>
      <c r="E509" s="25"/>
      <c r="F509" s="25"/>
      <c r="G509" s="25"/>
      <c r="H509" s="25"/>
      <c r="I509" s="25"/>
      <c r="J509" s="25"/>
      <c r="K509" s="25"/>
    </row>
    <row r="510" spans="1:11" ht="12.75">
      <c r="A510" s="25"/>
      <c r="B510" s="25"/>
      <c r="C510" s="25"/>
      <c r="D510" s="25"/>
      <c r="E510" s="25"/>
      <c r="F510" s="25"/>
      <c r="G510" s="25"/>
      <c r="H510" s="25"/>
      <c r="I510" s="25"/>
      <c r="J510" s="25"/>
      <c r="K510" s="25"/>
    </row>
    <row r="511" spans="1:11" ht="12.75">
      <c r="A511" s="25"/>
      <c r="B511" s="25"/>
      <c r="C511" s="25"/>
      <c r="D511" s="25"/>
      <c r="E511" s="25"/>
      <c r="F511" s="25"/>
      <c r="G511" s="25"/>
      <c r="H511" s="25"/>
      <c r="I511" s="25"/>
      <c r="J511" s="25"/>
      <c r="K511" s="25"/>
    </row>
    <row r="512" spans="1:11" ht="12.75">
      <c r="A512" s="25"/>
      <c r="B512" s="25"/>
      <c r="C512" s="25"/>
      <c r="D512" s="25"/>
      <c r="E512" s="25"/>
      <c r="F512" s="25"/>
      <c r="G512" s="25"/>
      <c r="H512" s="25"/>
      <c r="I512" s="25"/>
      <c r="J512" s="25"/>
      <c r="K512" s="25"/>
    </row>
    <row r="513" spans="1:11" ht="12.75">
      <c r="A513" s="25"/>
      <c r="B513" s="25"/>
      <c r="C513" s="25"/>
      <c r="D513" s="25"/>
      <c r="E513" s="25"/>
      <c r="F513" s="25"/>
      <c r="G513" s="25"/>
      <c r="H513" s="25"/>
      <c r="I513" s="25"/>
      <c r="J513" s="25"/>
      <c r="K513" s="25"/>
    </row>
    <row r="514" spans="1:11" ht="12.75">
      <c r="A514" s="25"/>
      <c r="B514" s="25"/>
      <c r="C514" s="25"/>
      <c r="D514" s="25"/>
      <c r="E514" s="25"/>
      <c r="F514" s="25"/>
      <c r="G514" s="25"/>
      <c r="H514" s="25"/>
      <c r="I514" s="25"/>
      <c r="J514" s="25"/>
      <c r="K514" s="25"/>
    </row>
    <row r="515" spans="1:11" ht="12.75">
      <c r="A515" s="25"/>
      <c r="B515" s="25"/>
      <c r="C515" s="25"/>
      <c r="D515" s="25"/>
      <c r="E515" s="25"/>
      <c r="F515" s="25"/>
      <c r="G515" s="25"/>
      <c r="H515" s="25"/>
      <c r="I515" s="25"/>
      <c r="J515" s="25"/>
      <c r="K515" s="25"/>
    </row>
    <row r="516" spans="1:11" ht="12.75">
      <c r="A516" s="25"/>
      <c r="B516" s="25"/>
      <c r="C516" s="25"/>
      <c r="D516" s="25"/>
      <c r="E516" s="25"/>
      <c r="F516" s="25"/>
      <c r="G516" s="25"/>
      <c r="H516" s="25"/>
      <c r="I516" s="25"/>
      <c r="J516" s="25"/>
      <c r="K516" s="25"/>
    </row>
    <row r="517" spans="1:11" ht="12.75">
      <c r="A517" s="25"/>
      <c r="B517" s="25"/>
      <c r="C517" s="25"/>
      <c r="D517" s="25"/>
      <c r="E517" s="25"/>
      <c r="F517" s="25"/>
      <c r="G517" s="25"/>
      <c r="H517" s="25"/>
      <c r="I517" s="25"/>
      <c r="J517" s="25"/>
      <c r="K517" s="25"/>
    </row>
    <row r="518" spans="1:11" ht="12.75">
      <c r="A518" s="25"/>
      <c r="B518" s="25"/>
      <c r="C518" s="25"/>
      <c r="D518" s="25"/>
      <c r="E518" s="25"/>
      <c r="F518" s="25"/>
      <c r="G518" s="25"/>
      <c r="H518" s="25"/>
      <c r="I518" s="25"/>
      <c r="J518" s="25"/>
      <c r="K518" s="25"/>
    </row>
    <row r="519" spans="1:11" ht="12.75">
      <c r="A519" s="25"/>
      <c r="B519" s="25"/>
      <c r="C519" s="25"/>
      <c r="D519" s="25"/>
      <c r="E519" s="25"/>
      <c r="F519" s="25"/>
      <c r="G519" s="25"/>
      <c r="H519" s="25"/>
      <c r="I519" s="25"/>
      <c r="J519" s="25"/>
      <c r="K519" s="25"/>
    </row>
    <row r="520" spans="1:11" ht="12.75">
      <c r="A520" s="25"/>
      <c r="B520" s="25"/>
      <c r="C520" s="25"/>
      <c r="D520" s="25"/>
      <c r="E520" s="25"/>
      <c r="F520" s="25"/>
      <c r="G520" s="25"/>
      <c r="H520" s="25"/>
      <c r="I520" s="25"/>
      <c r="J520" s="25"/>
      <c r="K520" s="25"/>
    </row>
    <row r="521" spans="1:11" ht="12.75">
      <c r="A521" s="25"/>
      <c r="B521" s="25"/>
      <c r="C521" s="25"/>
      <c r="D521" s="25"/>
      <c r="E521" s="25"/>
      <c r="F521" s="25"/>
      <c r="G521" s="25"/>
      <c r="H521" s="25"/>
      <c r="I521" s="25"/>
      <c r="J521" s="25"/>
      <c r="K521" s="25"/>
    </row>
    <row r="522" spans="1:11" ht="12.75">
      <c r="A522" s="25"/>
      <c r="B522" s="25"/>
      <c r="C522" s="25"/>
      <c r="D522" s="25"/>
      <c r="E522" s="25"/>
      <c r="F522" s="25"/>
      <c r="G522" s="25"/>
      <c r="H522" s="25"/>
      <c r="I522" s="25"/>
      <c r="J522" s="25"/>
      <c r="K522" s="25"/>
    </row>
    <row r="523" spans="1:11" ht="12.75">
      <c r="A523" s="25"/>
      <c r="B523" s="25"/>
      <c r="C523" s="25"/>
      <c r="D523" s="25"/>
      <c r="E523" s="25"/>
      <c r="F523" s="25"/>
      <c r="G523" s="25"/>
      <c r="H523" s="25"/>
      <c r="I523" s="25"/>
      <c r="J523" s="25"/>
      <c r="K523" s="25"/>
    </row>
    <row r="524" spans="1:11" ht="12.75">
      <c r="A524" s="25"/>
      <c r="B524" s="25"/>
      <c r="C524" s="25"/>
      <c r="D524" s="25"/>
      <c r="E524" s="25"/>
      <c r="F524" s="25"/>
      <c r="G524" s="25"/>
      <c r="H524" s="25"/>
      <c r="I524" s="25"/>
      <c r="J524" s="25"/>
      <c r="K524" s="25"/>
    </row>
    <row r="525" spans="1:11" ht="12.75">
      <c r="A525" s="25"/>
      <c r="B525" s="25"/>
      <c r="C525" s="25"/>
      <c r="D525" s="25"/>
      <c r="E525" s="25"/>
      <c r="F525" s="25"/>
      <c r="G525" s="25"/>
      <c r="H525" s="25"/>
      <c r="I525" s="25"/>
      <c r="J525" s="25"/>
      <c r="K525" s="25"/>
    </row>
    <row r="526" spans="1:11" ht="12.75">
      <c r="A526" s="25"/>
      <c r="B526" s="25"/>
      <c r="C526" s="25"/>
      <c r="D526" s="25"/>
      <c r="E526" s="25"/>
      <c r="F526" s="25"/>
      <c r="G526" s="25"/>
      <c r="H526" s="25"/>
      <c r="I526" s="25"/>
      <c r="J526" s="25"/>
      <c r="K526" s="25"/>
    </row>
    <row r="527" spans="1:11" ht="12.75">
      <c r="A527" s="25"/>
      <c r="B527" s="25"/>
      <c r="C527" s="25"/>
      <c r="D527" s="25"/>
      <c r="E527" s="25"/>
      <c r="F527" s="25"/>
      <c r="G527" s="25"/>
      <c r="H527" s="25"/>
      <c r="I527" s="25"/>
      <c r="J527" s="25"/>
      <c r="K527" s="25"/>
    </row>
    <row r="528" spans="1:11" ht="12.75">
      <c r="A528" s="25"/>
      <c r="B528" s="25"/>
      <c r="C528" s="25"/>
      <c r="D528" s="25"/>
      <c r="E528" s="25"/>
      <c r="F528" s="25"/>
      <c r="G528" s="25"/>
      <c r="H528" s="25"/>
      <c r="I528" s="25"/>
      <c r="J528" s="25"/>
      <c r="K528" s="25"/>
    </row>
    <row r="529" spans="1:11" ht="12.75">
      <c r="A529" s="25"/>
      <c r="B529" s="25"/>
      <c r="C529" s="25"/>
      <c r="D529" s="25"/>
      <c r="E529" s="25"/>
      <c r="F529" s="25"/>
      <c r="G529" s="25"/>
      <c r="H529" s="25"/>
      <c r="I529" s="25"/>
      <c r="J529" s="25"/>
      <c r="K529" s="25"/>
    </row>
    <row r="530" spans="1:11" ht="12.75">
      <c r="A530" s="25"/>
      <c r="B530" s="25"/>
      <c r="C530" s="25"/>
      <c r="D530" s="25"/>
      <c r="E530" s="25"/>
      <c r="F530" s="25"/>
      <c r="G530" s="25"/>
      <c r="H530" s="25"/>
      <c r="I530" s="25"/>
      <c r="J530" s="25"/>
      <c r="K530" s="25"/>
    </row>
    <row r="531" spans="1:11" ht="12.75">
      <c r="A531" s="25"/>
      <c r="B531" s="25"/>
      <c r="C531" s="25"/>
      <c r="D531" s="25"/>
      <c r="E531" s="25"/>
      <c r="F531" s="25"/>
      <c r="G531" s="25"/>
      <c r="H531" s="25"/>
      <c r="I531" s="25"/>
      <c r="J531" s="25"/>
      <c r="K531" s="25"/>
    </row>
    <row r="532" spans="1:11" ht="12.75">
      <c r="A532" s="25"/>
      <c r="B532" s="25"/>
      <c r="C532" s="25"/>
      <c r="D532" s="25"/>
      <c r="E532" s="25"/>
      <c r="F532" s="25"/>
      <c r="G532" s="25"/>
      <c r="H532" s="25"/>
      <c r="I532" s="25"/>
      <c r="J532" s="25"/>
      <c r="K532" s="25"/>
    </row>
    <row r="533" spans="1:11" ht="12.75">
      <c r="A533" s="25"/>
      <c r="B533" s="25"/>
      <c r="C533" s="25"/>
      <c r="D533" s="25"/>
      <c r="E533" s="25"/>
      <c r="F533" s="25"/>
      <c r="G533" s="25"/>
      <c r="H533" s="25"/>
      <c r="I533" s="25"/>
      <c r="J533" s="25"/>
      <c r="K533" s="25"/>
    </row>
    <row r="534" spans="1:11" ht="12.75">
      <c r="A534" s="25"/>
      <c r="B534" s="25"/>
      <c r="C534" s="25"/>
      <c r="D534" s="25"/>
      <c r="E534" s="25"/>
      <c r="F534" s="25"/>
      <c r="G534" s="25"/>
      <c r="H534" s="25"/>
      <c r="I534" s="25"/>
      <c r="J534" s="25"/>
      <c r="K534" s="25"/>
    </row>
    <row r="535" spans="1:11" ht="12.75">
      <c r="A535" s="25"/>
      <c r="B535" s="25"/>
      <c r="C535" s="25"/>
      <c r="D535" s="25"/>
      <c r="E535" s="25"/>
      <c r="F535" s="25"/>
      <c r="G535" s="25"/>
      <c r="H535" s="25"/>
      <c r="I535" s="25"/>
      <c r="J535" s="25"/>
      <c r="K535" s="25"/>
    </row>
    <row r="536" spans="1:11" ht="12.75">
      <c r="A536" s="25"/>
      <c r="B536" s="25"/>
      <c r="C536" s="25"/>
      <c r="D536" s="25"/>
      <c r="E536" s="25"/>
      <c r="F536" s="25"/>
      <c r="G536" s="25"/>
      <c r="H536" s="25"/>
      <c r="I536" s="25"/>
      <c r="J536" s="25"/>
      <c r="K536" s="25"/>
    </row>
    <row r="537" spans="1:11" ht="12.75">
      <c r="A537" s="25"/>
      <c r="B537" s="25"/>
      <c r="C537" s="25"/>
      <c r="D537" s="25"/>
      <c r="E537" s="25"/>
      <c r="F537" s="25"/>
      <c r="G537" s="25"/>
      <c r="H537" s="25"/>
      <c r="I537" s="25"/>
      <c r="J537" s="25"/>
      <c r="K537" s="25"/>
    </row>
    <row r="538" spans="1:11" ht="12.75">
      <c r="A538" s="25"/>
      <c r="B538" s="25"/>
      <c r="C538" s="25"/>
      <c r="D538" s="25"/>
      <c r="E538" s="25"/>
      <c r="F538" s="25"/>
      <c r="G538" s="25"/>
      <c r="H538" s="25"/>
      <c r="I538" s="25"/>
      <c r="J538" s="25"/>
      <c r="K538" s="25"/>
    </row>
    <row r="539" spans="1:11" ht="12.75">
      <c r="A539" s="25"/>
      <c r="B539" s="25"/>
      <c r="C539" s="25"/>
      <c r="D539" s="25"/>
      <c r="E539" s="25"/>
      <c r="F539" s="25"/>
      <c r="G539" s="25"/>
      <c r="H539" s="25"/>
      <c r="I539" s="25"/>
      <c r="J539" s="25"/>
      <c r="K539" s="25"/>
    </row>
    <row r="540" spans="1:11" ht="12.75">
      <c r="A540" s="25"/>
      <c r="B540" s="25"/>
      <c r="C540" s="25"/>
      <c r="D540" s="25"/>
      <c r="E540" s="25"/>
      <c r="F540" s="25"/>
      <c r="G540" s="25"/>
      <c r="H540" s="25"/>
      <c r="I540" s="25"/>
      <c r="J540" s="25"/>
      <c r="K540" s="25"/>
    </row>
    <row r="541" spans="1:11" ht="12.75">
      <c r="A541" s="25"/>
      <c r="B541" s="25"/>
      <c r="C541" s="25"/>
      <c r="D541" s="25"/>
      <c r="E541" s="25"/>
      <c r="F541" s="25"/>
      <c r="G541" s="25"/>
      <c r="H541" s="25"/>
      <c r="I541" s="25"/>
      <c r="J541" s="25"/>
      <c r="K541" s="25"/>
    </row>
    <row r="542" spans="1:11" ht="12.75">
      <c r="A542" s="25"/>
      <c r="B542" s="25"/>
      <c r="C542" s="25"/>
      <c r="D542" s="25"/>
      <c r="E542" s="25"/>
      <c r="F542" s="25"/>
      <c r="G542" s="25"/>
      <c r="H542" s="25"/>
      <c r="I542" s="25"/>
      <c r="J542" s="25"/>
      <c r="K542" s="25"/>
    </row>
    <row r="543" spans="1:11" ht="12.75">
      <c r="A543" s="25"/>
      <c r="B543" s="25"/>
      <c r="C543" s="25"/>
      <c r="D543" s="25"/>
      <c r="E543" s="25"/>
      <c r="F543" s="25"/>
      <c r="G543" s="25"/>
      <c r="H543" s="25"/>
      <c r="I543" s="25"/>
      <c r="J543" s="25"/>
      <c r="K543" s="25"/>
    </row>
    <row r="544" spans="1:11" ht="12.75">
      <c r="A544" s="25"/>
      <c r="B544" s="25"/>
      <c r="C544" s="25"/>
      <c r="D544" s="25"/>
      <c r="E544" s="25"/>
      <c r="F544" s="25"/>
      <c r="G544" s="25"/>
      <c r="H544" s="25"/>
      <c r="I544" s="25"/>
      <c r="J544" s="25"/>
      <c r="K544" s="25"/>
    </row>
    <row r="545" spans="1:11" ht="12.75">
      <c r="A545" s="25"/>
      <c r="B545" s="25"/>
      <c r="C545" s="25"/>
      <c r="D545" s="25"/>
      <c r="E545" s="25"/>
      <c r="F545" s="25"/>
      <c r="G545" s="25"/>
      <c r="H545" s="25"/>
      <c r="I545" s="25"/>
      <c r="J545" s="25"/>
      <c r="K545" s="25"/>
    </row>
    <row r="546" spans="1:11" ht="12.75">
      <c r="A546" s="25"/>
      <c r="B546" s="25"/>
      <c r="C546" s="25"/>
      <c r="D546" s="25"/>
      <c r="E546" s="25"/>
      <c r="F546" s="25"/>
      <c r="G546" s="25"/>
      <c r="H546" s="25"/>
      <c r="I546" s="25"/>
      <c r="J546" s="25"/>
      <c r="K546" s="25"/>
    </row>
    <row r="547" spans="1:11" ht="12.75">
      <c r="A547" s="25"/>
      <c r="B547" s="25"/>
      <c r="C547" s="25"/>
      <c r="D547" s="25"/>
      <c r="E547" s="25"/>
      <c r="F547" s="25"/>
      <c r="G547" s="25"/>
      <c r="H547" s="25"/>
      <c r="I547" s="25"/>
      <c r="J547" s="25"/>
      <c r="K547" s="25"/>
    </row>
    <row r="548" spans="1:11" ht="12.75">
      <c r="A548" s="25"/>
      <c r="B548" s="25"/>
      <c r="C548" s="25"/>
      <c r="D548" s="25"/>
      <c r="E548" s="25"/>
      <c r="F548" s="25"/>
      <c r="G548" s="25"/>
      <c r="H548" s="25"/>
      <c r="I548" s="25"/>
      <c r="J548" s="25"/>
      <c r="K548" s="25"/>
    </row>
    <row r="549" spans="1:11" ht="12.75">
      <c r="A549" s="25"/>
      <c r="B549" s="25"/>
      <c r="C549" s="25"/>
      <c r="D549" s="25"/>
      <c r="E549" s="25"/>
      <c r="F549" s="25"/>
      <c r="G549" s="25"/>
      <c r="H549" s="25"/>
      <c r="I549" s="25"/>
      <c r="J549" s="25"/>
      <c r="K549" s="25"/>
    </row>
    <row r="550" spans="1:11" ht="12.75">
      <c r="A550" s="25"/>
      <c r="B550" s="25"/>
      <c r="C550" s="25"/>
      <c r="D550" s="25"/>
      <c r="E550" s="25"/>
      <c r="F550" s="25"/>
      <c r="G550" s="25"/>
      <c r="H550" s="25"/>
      <c r="I550" s="25"/>
      <c r="J550" s="25"/>
      <c r="K550" s="25"/>
    </row>
    <row r="551" spans="1:11" ht="12.75">
      <c r="A551" s="25"/>
      <c r="B551" s="25"/>
      <c r="C551" s="25"/>
      <c r="D551" s="25"/>
      <c r="E551" s="25"/>
      <c r="F551" s="25"/>
      <c r="G551" s="25"/>
      <c r="H551" s="25"/>
      <c r="I551" s="25"/>
      <c r="J551" s="25"/>
      <c r="K551" s="25"/>
    </row>
    <row r="552" spans="1:11" ht="12.75">
      <c r="A552" s="25"/>
      <c r="B552" s="25"/>
      <c r="C552" s="25"/>
      <c r="D552" s="25"/>
      <c r="E552" s="25"/>
      <c r="F552" s="25"/>
      <c r="G552" s="25"/>
      <c r="H552" s="25"/>
      <c r="I552" s="25"/>
      <c r="J552" s="25"/>
      <c r="K552" s="25"/>
    </row>
    <row r="553" spans="1:11" ht="12.75">
      <c r="A553" s="25"/>
      <c r="B553" s="25"/>
      <c r="C553" s="25"/>
      <c r="D553" s="25"/>
      <c r="E553" s="25"/>
      <c r="F553" s="25"/>
      <c r="G553" s="25"/>
      <c r="H553" s="25"/>
      <c r="I553" s="25"/>
      <c r="J553" s="25"/>
      <c r="K553" s="25"/>
    </row>
    <row r="554" spans="1:11" ht="12.75">
      <c r="A554" s="25"/>
      <c r="B554" s="25"/>
      <c r="C554" s="25"/>
      <c r="D554" s="25"/>
      <c r="E554" s="25"/>
      <c r="F554" s="25"/>
      <c r="G554" s="25"/>
      <c r="H554" s="25"/>
      <c r="I554" s="25"/>
      <c r="J554" s="25"/>
      <c r="K554" s="25"/>
    </row>
    <row r="555" spans="1:11" ht="12.75">
      <c r="A555" s="25"/>
      <c r="B555" s="25"/>
      <c r="C555" s="25"/>
      <c r="D555" s="25"/>
      <c r="E555" s="25"/>
      <c r="F555" s="25"/>
      <c r="G555" s="25"/>
      <c r="H555" s="25"/>
      <c r="I555" s="25"/>
      <c r="J555" s="25"/>
      <c r="K555" s="25"/>
    </row>
    <row r="556" spans="1:11" ht="12.75">
      <c r="A556" s="25"/>
      <c r="B556" s="25"/>
      <c r="C556" s="25"/>
      <c r="D556" s="25"/>
      <c r="E556" s="25"/>
      <c r="F556" s="25"/>
      <c r="G556" s="25"/>
      <c r="H556" s="25"/>
      <c r="I556" s="25"/>
      <c r="J556" s="25"/>
      <c r="K556" s="25"/>
    </row>
    <row r="557" spans="1:11" ht="12.75">
      <c r="A557" s="25"/>
      <c r="B557" s="25"/>
      <c r="C557" s="25"/>
      <c r="D557" s="25"/>
      <c r="E557" s="25"/>
      <c r="F557" s="25"/>
      <c r="G557" s="25"/>
      <c r="H557" s="25"/>
      <c r="I557" s="25"/>
      <c r="J557" s="25"/>
      <c r="K557" s="25"/>
    </row>
    <row r="558" spans="1:11" ht="12.75">
      <c r="A558" s="25"/>
      <c r="B558" s="25"/>
      <c r="C558" s="25"/>
      <c r="D558" s="25"/>
      <c r="E558" s="25"/>
      <c r="F558" s="25"/>
      <c r="G558" s="25"/>
      <c r="H558" s="25"/>
      <c r="I558" s="25"/>
      <c r="J558" s="25"/>
      <c r="K558" s="25"/>
    </row>
    <row r="559" spans="1:11" ht="12.75">
      <c r="A559" s="25"/>
      <c r="B559" s="25"/>
      <c r="C559" s="25"/>
      <c r="D559" s="25"/>
      <c r="E559" s="25"/>
      <c r="F559" s="25"/>
      <c r="G559" s="25"/>
      <c r="H559" s="25"/>
      <c r="I559" s="25"/>
      <c r="J559" s="25"/>
      <c r="K559" s="25"/>
    </row>
    <row r="560" spans="1:11" ht="12.75">
      <c r="A560" s="25"/>
      <c r="B560" s="25"/>
      <c r="C560" s="25"/>
      <c r="D560" s="25"/>
      <c r="E560" s="25"/>
      <c r="F560" s="25"/>
      <c r="G560" s="25"/>
      <c r="H560" s="25"/>
      <c r="I560" s="25"/>
      <c r="J560" s="25"/>
      <c r="K560" s="25"/>
    </row>
    <row r="561" spans="1:11" ht="12.75">
      <c r="A561" s="25"/>
      <c r="B561" s="25"/>
      <c r="C561" s="25"/>
      <c r="D561" s="25"/>
      <c r="E561" s="25"/>
      <c r="F561" s="25"/>
      <c r="G561" s="25"/>
      <c r="H561" s="25"/>
      <c r="I561" s="25"/>
      <c r="J561" s="25"/>
      <c r="K561" s="25"/>
    </row>
    <row r="562" spans="1:11" ht="12.75">
      <c r="A562" s="25"/>
      <c r="B562" s="25"/>
      <c r="C562" s="25"/>
      <c r="D562" s="25"/>
      <c r="E562" s="25"/>
      <c r="F562" s="25"/>
      <c r="G562" s="25"/>
      <c r="H562" s="25"/>
      <c r="I562" s="25"/>
      <c r="J562" s="25"/>
      <c r="K562" s="25"/>
    </row>
    <row r="563" spans="1:11" ht="12.75">
      <c r="A563" s="25"/>
      <c r="B563" s="25"/>
      <c r="C563" s="25"/>
      <c r="D563" s="25"/>
      <c r="E563" s="25"/>
      <c r="F563" s="25"/>
      <c r="G563" s="25"/>
      <c r="H563" s="25"/>
      <c r="I563" s="25"/>
      <c r="J563" s="25"/>
      <c r="K563" s="25"/>
    </row>
    <row r="564" spans="1:11" ht="12.75">
      <c r="A564" s="25"/>
      <c r="B564" s="25"/>
      <c r="C564" s="25"/>
      <c r="D564" s="25"/>
      <c r="E564" s="25"/>
      <c r="F564" s="25"/>
      <c r="G564" s="25"/>
      <c r="H564" s="25"/>
      <c r="I564" s="25"/>
      <c r="J564" s="25"/>
      <c r="K564" s="25"/>
    </row>
    <row r="565" spans="1:11" ht="12.75">
      <c r="A565" s="25"/>
      <c r="B565" s="25"/>
      <c r="C565" s="25"/>
      <c r="D565" s="25"/>
      <c r="E565" s="25"/>
      <c r="F565" s="25"/>
      <c r="G565" s="25"/>
      <c r="H565" s="25"/>
      <c r="I565" s="25"/>
      <c r="J565" s="25"/>
      <c r="K565" s="25"/>
    </row>
    <row r="566" spans="1:11" ht="12.75">
      <c r="A566" s="25"/>
      <c r="B566" s="25"/>
      <c r="C566" s="25"/>
      <c r="D566" s="25"/>
      <c r="E566" s="25"/>
      <c r="F566" s="25"/>
      <c r="G566" s="25"/>
      <c r="H566" s="25"/>
      <c r="I566" s="25"/>
      <c r="J566" s="25"/>
      <c r="K566" s="25"/>
    </row>
    <row r="567" spans="1:11" ht="12.75">
      <c r="A567" s="25"/>
      <c r="B567" s="25"/>
      <c r="C567" s="25"/>
      <c r="D567" s="25"/>
      <c r="E567" s="25"/>
      <c r="F567" s="25"/>
      <c r="G567" s="25"/>
      <c r="H567" s="25"/>
      <c r="I567" s="25"/>
      <c r="J567" s="25"/>
      <c r="K567" s="25"/>
    </row>
    <row r="568" spans="1:11" ht="12.75">
      <c r="A568" s="25"/>
      <c r="B568" s="25"/>
      <c r="C568" s="25"/>
      <c r="D568" s="25"/>
      <c r="E568" s="25"/>
      <c r="F568" s="25"/>
      <c r="G568" s="25"/>
      <c r="H568" s="25"/>
      <c r="I568" s="25"/>
      <c r="J568" s="25"/>
      <c r="K568" s="25"/>
    </row>
    <row r="569" spans="1:11" ht="12.75">
      <c r="A569" s="25"/>
      <c r="B569" s="25"/>
      <c r="C569" s="25"/>
      <c r="D569" s="25"/>
      <c r="E569" s="25"/>
      <c r="F569" s="25"/>
      <c r="G569" s="25"/>
      <c r="H569" s="25"/>
      <c r="I569" s="25"/>
      <c r="J569" s="25"/>
      <c r="K569" s="25"/>
    </row>
    <row r="570" spans="1:11" ht="12.75">
      <c r="A570" s="25"/>
      <c r="B570" s="25"/>
      <c r="C570" s="25"/>
      <c r="D570" s="25"/>
      <c r="E570" s="25"/>
      <c r="F570" s="25"/>
      <c r="G570" s="25"/>
      <c r="H570" s="25"/>
      <c r="I570" s="25"/>
      <c r="J570" s="25"/>
      <c r="K570" s="25"/>
    </row>
    <row r="571" spans="1:11" ht="12.75">
      <c r="A571" s="25"/>
      <c r="B571" s="25"/>
      <c r="C571" s="25"/>
      <c r="D571" s="25"/>
      <c r="E571" s="25"/>
      <c r="F571" s="25"/>
      <c r="G571" s="25"/>
      <c r="H571" s="25"/>
      <c r="I571" s="25"/>
      <c r="J571" s="25"/>
      <c r="K571" s="25"/>
    </row>
    <row r="572" spans="1:11" ht="12.75">
      <c r="A572" s="25"/>
      <c r="B572" s="25"/>
      <c r="C572" s="25"/>
      <c r="D572" s="25"/>
      <c r="E572" s="25"/>
      <c r="F572" s="25"/>
      <c r="G572" s="25"/>
      <c r="H572" s="25"/>
      <c r="I572" s="25"/>
      <c r="J572" s="25"/>
      <c r="K572" s="25"/>
    </row>
    <row r="573" spans="1:11" ht="12.75">
      <c r="A573" s="25"/>
      <c r="B573" s="25"/>
      <c r="C573" s="25"/>
      <c r="D573" s="25"/>
      <c r="E573" s="25"/>
      <c r="F573" s="25"/>
      <c r="G573" s="25"/>
      <c r="H573" s="25"/>
      <c r="I573" s="25"/>
      <c r="J573" s="25"/>
      <c r="K573" s="25"/>
    </row>
    <row r="574" spans="1:11" ht="12.75">
      <c r="A574" s="25"/>
      <c r="B574" s="25"/>
      <c r="C574" s="25"/>
      <c r="D574" s="25"/>
      <c r="E574" s="25"/>
      <c r="F574" s="25"/>
      <c r="G574" s="25"/>
      <c r="H574" s="25"/>
      <c r="I574" s="25"/>
      <c r="J574" s="25"/>
      <c r="K574" s="25"/>
    </row>
    <row r="575" spans="1:11" ht="12.75">
      <c r="A575" s="25"/>
      <c r="B575" s="25"/>
      <c r="C575" s="25"/>
      <c r="D575" s="25"/>
      <c r="E575" s="25"/>
      <c r="F575" s="25"/>
      <c r="G575" s="25"/>
      <c r="H575" s="25"/>
      <c r="I575" s="25"/>
      <c r="J575" s="25"/>
      <c r="K575" s="25"/>
    </row>
    <row r="576" spans="1:11" ht="12.75">
      <c r="A576" s="25"/>
      <c r="B576" s="25"/>
      <c r="C576" s="25"/>
      <c r="D576" s="25"/>
      <c r="E576" s="25"/>
      <c r="F576" s="25"/>
      <c r="G576" s="25"/>
      <c r="H576" s="25"/>
      <c r="I576" s="25"/>
      <c r="J576" s="25"/>
      <c r="K576" s="25"/>
    </row>
    <row r="577" spans="1:11" ht="12.75">
      <c r="A577" s="25"/>
      <c r="B577" s="25"/>
      <c r="C577" s="25"/>
      <c r="D577" s="25"/>
      <c r="E577" s="25"/>
      <c r="F577" s="25"/>
      <c r="G577" s="25"/>
      <c r="H577" s="25"/>
      <c r="I577" s="25"/>
      <c r="J577" s="25"/>
      <c r="K577" s="25"/>
    </row>
    <row r="578" spans="1:11" ht="12.75">
      <c r="A578" s="25"/>
      <c r="B578" s="25"/>
      <c r="C578" s="25"/>
      <c r="D578" s="25"/>
      <c r="E578" s="25"/>
      <c r="F578" s="25"/>
      <c r="G578" s="25"/>
      <c r="H578" s="25"/>
      <c r="I578" s="25"/>
      <c r="J578" s="25"/>
      <c r="K578" s="25"/>
    </row>
    <row r="579" spans="1:11" ht="12.75">
      <c r="A579" s="25"/>
      <c r="B579" s="25"/>
      <c r="C579" s="25"/>
      <c r="D579" s="25"/>
      <c r="E579" s="25"/>
      <c r="F579" s="25"/>
      <c r="G579" s="25"/>
      <c r="H579" s="25"/>
      <c r="I579" s="25"/>
      <c r="J579" s="25"/>
      <c r="K579" s="25"/>
    </row>
    <row r="580" spans="1:11" ht="12.75">
      <c r="A580" s="25"/>
      <c r="B580" s="25"/>
      <c r="C580" s="25"/>
      <c r="D580" s="25"/>
      <c r="E580" s="25"/>
      <c r="F580" s="25"/>
      <c r="G580" s="25"/>
      <c r="H580" s="25"/>
      <c r="I580" s="25"/>
      <c r="J580" s="25"/>
      <c r="K580" s="25"/>
    </row>
    <row r="581" spans="1:11" ht="12.75">
      <c r="A581" s="25"/>
      <c r="B581" s="25"/>
      <c r="C581" s="25"/>
      <c r="D581" s="25"/>
      <c r="E581" s="25"/>
      <c r="F581" s="25"/>
      <c r="G581" s="25"/>
      <c r="H581" s="25"/>
      <c r="I581" s="25"/>
      <c r="J581" s="25"/>
      <c r="K581" s="25"/>
    </row>
    <row r="582" spans="1:11" ht="12.75">
      <c r="A582" s="25"/>
      <c r="B582" s="25"/>
      <c r="C582" s="25"/>
      <c r="D582" s="25"/>
      <c r="E582" s="25"/>
      <c r="F582" s="25"/>
      <c r="G582" s="25"/>
      <c r="H582" s="25"/>
      <c r="I582" s="25"/>
      <c r="J582" s="25"/>
      <c r="K582" s="25"/>
    </row>
    <row r="583" spans="1:11" ht="12.75">
      <c r="A583" s="25"/>
      <c r="B583" s="25"/>
      <c r="C583" s="25"/>
      <c r="D583" s="25"/>
      <c r="E583" s="25"/>
      <c r="F583" s="25"/>
      <c r="G583" s="25"/>
      <c r="H583" s="25"/>
      <c r="I583" s="25"/>
      <c r="J583" s="25"/>
      <c r="K583" s="25"/>
    </row>
    <row r="584" spans="1:11" ht="12.75">
      <c r="A584" s="25"/>
      <c r="B584" s="25"/>
      <c r="C584" s="25"/>
      <c r="D584" s="25"/>
      <c r="E584" s="25"/>
      <c r="F584" s="25"/>
      <c r="G584" s="25"/>
      <c r="H584" s="25"/>
      <c r="I584" s="25"/>
      <c r="J584" s="25"/>
      <c r="K584" s="25"/>
    </row>
    <row r="585" spans="1:11" ht="12.75">
      <c r="A585" s="25"/>
      <c r="B585" s="25"/>
      <c r="C585" s="25"/>
      <c r="D585" s="25"/>
      <c r="E585" s="25"/>
      <c r="F585" s="25"/>
      <c r="G585" s="25"/>
      <c r="H585" s="25"/>
      <c r="I585" s="25"/>
      <c r="J585" s="25"/>
      <c r="K585" s="25"/>
    </row>
    <row r="586" spans="1:11" ht="12.75">
      <c r="A586" s="25"/>
      <c r="B586" s="25"/>
      <c r="C586" s="25"/>
      <c r="D586" s="25"/>
      <c r="E586" s="25"/>
      <c r="F586" s="25"/>
      <c r="G586" s="25"/>
      <c r="H586" s="25"/>
      <c r="I586" s="25"/>
      <c r="J586" s="25"/>
      <c r="K586" s="25"/>
    </row>
    <row r="587" spans="1:11" ht="12.75">
      <c r="A587" s="25"/>
      <c r="B587" s="25"/>
      <c r="C587" s="25"/>
      <c r="D587" s="25"/>
      <c r="E587" s="25"/>
      <c r="F587" s="25"/>
      <c r="G587" s="25"/>
      <c r="H587" s="25"/>
      <c r="I587" s="25"/>
      <c r="J587" s="25"/>
      <c r="K587" s="25"/>
    </row>
    <row r="588" spans="1:11" ht="12.75">
      <c r="A588" s="25"/>
      <c r="B588" s="25"/>
      <c r="C588" s="25"/>
      <c r="D588" s="25"/>
      <c r="E588" s="25"/>
      <c r="F588" s="25"/>
      <c r="G588" s="25"/>
      <c r="H588" s="25"/>
      <c r="I588" s="25"/>
      <c r="J588" s="25"/>
      <c r="K588" s="25"/>
    </row>
    <row r="589" spans="1:11" ht="12.75">
      <c r="A589" s="25"/>
      <c r="B589" s="25"/>
      <c r="C589" s="25"/>
      <c r="D589" s="25"/>
      <c r="E589" s="25"/>
      <c r="F589" s="25"/>
      <c r="G589" s="25"/>
      <c r="H589" s="25"/>
      <c r="I589" s="25"/>
      <c r="J589" s="25"/>
      <c r="K589" s="25"/>
    </row>
    <row r="590" spans="1:11" ht="12.75">
      <c r="A590" s="25"/>
      <c r="B590" s="25"/>
      <c r="C590" s="25"/>
      <c r="D590" s="25"/>
      <c r="E590" s="25"/>
      <c r="F590" s="25"/>
      <c r="G590" s="25"/>
      <c r="H590" s="25"/>
      <c r="I590" s="25"/>
      <c r="J590" s="25"/>
      <c r="K590" s="25"/>
    </row>
    <row r="591" spans="1:11" ht="12.75">
      <c r="A591" s="25"/>
      <c r="B591" s="25"/>
      <c r="C591" s="25"/>
      <c r="D591" s="25"/>
      <c r="E591" s="25"/>
      <c r="F591" s="25"/>
      <c r="G591" s="25"/>
      <c r="H591" s="25"/>
      <c r="I591" s="25"/>
      <c r="J591" s="25"/>
      <c r="K591" s="25"/>
    </row>
    <row r="592" spans="1:11" ht="12.75">
      <c r="A592" s="25"/>
      <c r="B592" s="25"/>
      <c r="C592" s="25"/>
      <c r="D592" s="25"/>
      <c r="E592" s="25"/>
      <c r="F592" s="25"/>
      <c r="G592" s="25"/>
      <c r="H592" s="25"/>
      <c r="I592" s="25"/>
      <c r="J592" s="25"/>
      <c r="K592" s="25"/>
    </row>
    <row r="593" spans="1:11" ht="12.75">
      <c r="A593" s="25"/>
      <c r="B593" s="25"/>
      <c r="C593" s="25"/>
      <c r="D593" s="25"/>
      <c r="E593" s="25"/>
      <c r="F593" s="25"/>
      <c r="G593" s="25"/>
      <c r="H593" s="25"/>
      <c r="I593" s="25"/>
      <c r="J593" s="25"/>
      <c r="K593" s="25"/>
    </row>
    <row r="594" spans="1:11" ht="12.75">
      <c r="A594" s="25"/>
      <c r="B594" s="25"/>
      <c r="C594" s="25"/>
      <c r="D594" s="25"/>
      <c r="E594" s="25"/>
      <c r="F594" s="25"/>
      <c r="G594" s="25"/>
      <c r="H594" s="25"/>
      <c r="I594" s="25"/>
      <c r="J594" s="25"/>
      <c r="K594" s="25"/>
    </row>
    <row r="595" spans="1:11" ht="12.75">
      <c r="A595" s="25"/>
      <c r="B595" s="25"/>
      <c r="C595" s="25"/>
      <c r="D595" s="25"/>
      <c r="E595" s="25"/>
      <c r="F595" s="25"/>
      <c r="G595" s="25"/>
      <c r="H595" s="25"/>
      <c r="I595" s="25"/>
      <c r="J595" s="25"/>
      <c r="K595" s="25"/>
    </row>
    <row r="596" spans="1:11" ht="12.75">
      <c r="A596" s="25"/>
      <c r="B596" s="25"/>
      <c r="C596" s="25"/>
      <c r="D596" s="25"/>
      <c r="E596" s="25"/>
      <c r="F596" s="25"/>
      <c r="G596" s="25"/>
      <c r="H596" s="25"/>
      <c r="I596" s="25"/>
      <c r="J596" s="25"/>
      <c r="K596" s="25"/>
    </row>
    <row r="597" spans="1:11" ht="12.75">
      <c r="A597" s="25"/>
      <c r="B597" s="25"/>
      <c r="C597" s="25"/>
      <c r="D597" s="25"/>
      <c r="E597" s="25"/>
      <c r="F597" s="25"/>
      <c r="G597" s="25"/>
      <c r="H597" s="25"/>
      <c r="I597" s="25"/>
      <c r="J597" s="25"/>
      <c r="K597" s="25"/>
    </row>
    <row r="598" spans="1:11" ht="12.75">
      <c r="A598" s="25"/>
      <c r="B598" s="25"/>
      <c r="C598" s="25"/>
      <c r="D598" s="25"/>
      <c r="E598" s="25"/>
      <c r="F598" s="25"/>
      <c r="G598" s="25"/>
      <c r="H598" s="25"/>
      <c r="I598" s="25"/>
      <c r="J598" s="25"/>
      <c r="K598" s="25"/>
    </row>
    <row r="599" spans="1:11" ht="12.75">
      <c r="A599" s="25"/>
      <c r="B599" s="25"/>
      <c r="C599" s="25"/>
      <c r="D599" s="25"/>
      <c r="E599" s="25"/>
      <c r="F599" s="25"/>
      <c r="G599" s="25"/>
      <c r="H599" s="25"/>
      <c r="I599" s="25"/>
      <c r="J599" s="25"/>
      <c r="K599" s="25"/>
    </row>
    <row r="600" spans="1:11" ht="12.75">
      <c r="A600" s="25"/>
      <c r="B600" s="25"/>
      <c r="C600" s="25"/>
      <c r="D600" s="25"/>
      <c r="E600" s="25"/>
      <c r="F600" s="25"/>
      <c r="G600" s="25"/>
      <c r="H600" s="25"/>
      <c r="I600" s="25"/>
      <c r="J600" s="25"/>
      <c r="K600" s="25"/>
    </row>
    <row r="601" spans="1:11" ht="12.75">
      <c r="A601" s="25"/>
      <c r="B601" s="25"/>
      <c r="C601" s="25"/>
      <c r="D601" s="25"/>
      <c r="E601" s="25"/>
      <c r="F601" s="25"/>
      <c r="G601" s="25"/>
      <c r="H601" s="25"/>
      <c r="I601" s="25"/>
      <c r="J601" s="25"/>
      <c r="K601" s="25"/>
    </row>
    <row r="602" spans="1:11" ht="12.75">
      <c r="A602" s="25"/>
      <c r="B602" s="25"/>
      <c r="C602" s="25"/>
      <c r="D602" s="25"/>
      <c r="E602" s="25"/>
      <c r="F602" s="25"/>
      <c r="G602" s="25"/>
      <c r="H602" s="25"/>
      <c r="I602" s="25"/>
      <c r="J602" s="25"/>
      <c r="K602" s="25"/>
    </row>
    <row r="603" spans="1:11" ht="12.75">
      <c r="A603" s="25"/>
      <c r="B603" s="25"/>
      <c r="C603" s="25"/>
      <c r="D603" s="25"/>
      <c r="E603" s="25"/>
      <c r="F603" s="25"/>
      <c r="G603" s="25"/>
      <c r="H603" s="25"/>
      <c r="I603" s="25"/>
      <c r="J603" s="25"/>
      <c r="K603" s="25"/>
    </row>
    <row r="604" spans="1:11" ht="12.75">
      <c r="A604" s="25"/>
      <c r="B604" s="25"/>
      <c r="C604" s="25"/>
      <c r="D604" s="25"/>
      <c r="E604" s="25"/>
      <c r="F604" s="25"/>
      <c r="G604" s="25"/>
      <c r="H604" s="25"/>
      <c r="I604" s="25"/>
      <c r="J604" s="25"/>
      <c r="K604" s="25"/>
    </row>
    <row r="605" spans="1:11" ht="12.75">
      <c r="A605" s="25"/>
      <c r="B605" s="25"/>
      <c r="C605" s="25"/>
      <c r="D605" s="25"/>
      <c r="E605" s="25"/>
      <c r="F605" s="25"/>
      <c r="G605" s="25"/>
      <c r="H605" s="25"/>
      <c r="I605" s="25"/>
      <c r="J605" s="25"/>
      <c r="K605" s="25"/>
    </row>
    <row r="606" spans="1:11" ht="12.75">
      <c r="A606" s="25"/>
      <c r="B606" s="25"/>
      <c r="C606" s="25"/>
      <c r="D606" s="25"/>
      <c r="E606" s="25"/>
      <c r="F606" s="25"/>
      <c r="G606" s="25"/>
      <c r="H606" s="25"/>
      <c r="I606" s="25"/>
      <c r="J606" s="25"/>
      <c r="K606" s="25"/>
    </row>
    <row r="607" spans="1:11" ht="12.75">
      <c r="A607" s="25"/>
      <c r="B607" s="25"/>
      <c r="C607" s="25"/>
      <c r="D607" s="25"/>
      <c r="E607" s="25"/>
      <c r="F607" s="25"/>
      <c r="G607" s="25"/>
      <c r="H607" s="25"/>
      <c r="I607" s="25"/>
      <c r="J607" s="25"/>
      <c r="K607" s="25"/>
    </row>
    <row r="608" spans="1:11" ht="12.75">
      <c r="A608" s="25"/>
      <c r="B608" s="25"/>
      <c r="C608" s="25"/>
      <c r="D608" s="25"/>
      <c r="E608" s="25"/>
      <c r="F608" s="25"/>
      <c r="G608" s="25"/>
      <c r="H608" s="25"/>
      <c r="I608" s="25"/>
      <c r="J608" s="25"/>
      <c r="K608" s="25"/>
    </row>
    <row r="609" spans="1:11" ht="12.75">
      <c r="A609" s="25"/>
      <c r="B609" s="25"/>
      <c r="C609" s="25"/>
      <c r="D609" s="25"/>
      <c r="E609" s="25"/>
      <c r="F609" s="25"/>
      <c r="G609" s="25"/>
      <c r="H609" s="25"/>
      <c r="I609" s="25"/>
      <c r="J609" s="25"/>
      <c r="K609" s="25"/>
    </row>
    <row r="610" spans="1:11" ht="12.75">
      <c r="A610" s="25"/>
      <c r="B610" s="25"/>
      <c r="C610" s="25"/>
      <c r="D610" s="25"/>
      <c r="E610" s="25"/>
      <c r="F610" s="25"/>
      <c r="G610" s="25"/>
      <c r="H610" s="25"/>
      <c r="I610" s="25"/>
      <c r="J610" s="25"/>
      <c r="K610" s="25"/>
    </row>
    <row r="611" spans="1:11" ht="12.75">
      <c r="A611" s="25"/>
      <c r="B611" s="25"/>
      <c r="C611" s="25"/>
      <c r="D611" s="25"/>
      <c r="E611" s="25"/>
      <c r="F611" s="25"/>
      <c r="G611" s="25"/>
      <c r="H611" s="25"/>
      <c r="I611" s="25"/>
      <c r="J611" s="25"/>
      <c r="K611" s="25"/>
    </row>
    <row r="612" spans="1:11" ht="12.75">
      <c r="A612" s="25"/>
      <c r="B612" s="25"/>
      <c r="C612" s="25"/>
      <c r="D612" s="25"/>
      <c r="E612" s="25"/>
      <c r="F612" s="25"/>
      <c r="G612" s="25"/>
      <c r="H612" s="25"/>
      <c r="I612" s="25"/>
      <c r="J612" s="25"/>
      <c r="K612" s="25"/>
    </row>
    <row r="613" spans="1:11" ht="12.75">
      <c r="A613" s="25"/>
      <c r="B613" s="25"/>
      <c r="C613" s="25"/>
      <c r="D613" s="25"/>
      <c r="E613" s="25"/>
      <c r="F613" s="25"/>
      <c r="G613" s="25"/>
      <c r="H613" s="25"/>
      <c r="I613" s="25"/>
      <c r="J613" s="25"/>
      <c r="K613" s="25"/>
    </row>
    <row r="614" spans="1:11" ht="12.75">
      <c r="A614" s="25"/>
      <c r="B614" s="25"/>
      <c r="C614" s="25"/>
      <c r="D614" s="25"/>
      <c r="E614" s="25"/>
      <c r="F614" s="25"/>
      <c r="G614" s="25"/>
      <c r="H614" s="25"/>
      <c r="I614" s="25"/>
      <c r="J614" s="25"/>
      <c r="K614" s="25"/>
    </row>
    <row r="615" spans="1:11" ht="12.75">
      <c r="A615" s="25"/>
      <c r="B615" s="25"/>
      <c r="C615" s="25"/>
      <c r="D615" s="25"/>
      <c r="E615" s="25"/>
      <c r="F615" s="25"/>
      <c r="G615" s="25"/>
      <c r="H615" s="25"/>
      <c r="I615" s="25"/>
      <c r="J615" s="25"/>
      <c r="K615" s="25"/>
    </row>
    <row r="616" spans="1:11" ht="12.75">
      <c r="A616" s="25"/>
      <c r="B616" s="25"/>
      <c r="C616" s="25"/>
      <c r="D616" s="25"/>
      <c r="E616" s="25"/>
      <c r="F616" s="25"/>
      <c r="G616" s="25"/>
      <c r="H616" s="25"/>
      <c r="I616" s="25"/>
      <c r="J616" s="25"/>
      <c r="K616" s="25"/>
    </row>
    <row r="617" spans="1:11" ht="12.75">
      <c r="A617" s="25"/>
      <c r="B617" s="25"/>
      <c r="C617" s="25"/>
      <c r="D617" s="25"/>
      <c r="E617" s="25"/>
      <c r="F617" s="25"/>
      <c r="G617" s="25"/>
      <c r="H617" s="25"/>
      <c r="I617" s="25"/>
      <c r="J617" s="25"/>
      <c r="K617" s="25"/>
    </row>
    <row r="618" spans="1:11" ht="12.75">
      <c r="A618" s="25"/>
      <c r="B618" s="25"/>
      <c r="C618" s="25"/>
      <c r="D618" s="25"/>
      <c r="E618" s="25"/>
      <c r="F618" s="25"/>
      <c r="G618" s="25"/>
      <c r="H618" s="25"/>
      <c r="I618" s="25"/>
      <c r="J618" s="25"/>
      <c r="K618" s="25"/>
    </row>
    <row r="619" spans="1:11" ht="12.75">
      <c r="A619" s="25"/>
      <c r="B619" s="25"/>
      <c r="C619" s="25"/>
      <c r="D619" s="25"/>
      <c r="E619" s="25"/>
      <c r="F619" s="25"/>
      <c r="G619" s="25"/>
      <c r="H619" s="25"/>
      <c r="I619" s="25"/>
      <c r="J619" s="25"/>
      <c r="K619" s="25"/>
    </row>
    <row r="620" spans="1:11" ht="12.75">
      <c r="A620" s="25"/>
      <c r="B620" s="25"/>
      <c r="C620" s="25"/>
      <c r="D620" s="25"/>
      <c r="E620" s="25"/>
      <c r="F620" s="25"/>
      <c r="G620" s="25"/>
      <c r="H620" s="25"/>
      <c r="I620" s="25"/>
      <c r="J620" s="25"/>
      <c r="K620" s="25"/>
    </row>
    <row r="621" spans="1:11" ht="12.75">
      <c r="A621" s="25"/>
      <c r="B621" s="25"/>
      <c r="C621" s="25"/>
      <c r="D621" s="25"/>
      <c r="E621" s="25"/>
      <c r="F621" s="25"/>
      <c r="G621" s="25"/>
      <c r="H621" s="25"/>
      <c r="I621" s="25"/>
      <c r="J621" s="25"/>
      <c r="K621" s="25"/>
    </row>
    <row r="622" spans="1:11" ht="12.75">
      <c r="A622" s="25"/>
      <c r="B622" s="25"/>
      <c r="C622" s="25"/>
      <c r="D622" s="25"/>
      <c r="E622" s="25"/>
      <c r="F622" s="25"/>
      <c r="G622" s="25"/>
      <c r="H622" s="25"/>
      <c r="I622" s="25"/>
      <c r="J622" s="25"/>
      <c r="K622" s="25"/>
    </row>
    <row r="623" spans="1:11" ht="12.75">
      <c r="A623" s="25"/>
      <c r="B623" s="25"/>
      <c r="C623" s="25"/>
      <c r="D623" s="25"/>
      <c r="E623" s="25"/>
      <c r="F623" s="25"/>
      <c r="G623" s="25"/>
      <c r="H623" s="25"/>
      <c r="I623" s="25"/>
      <c r="J623" s="25"/>
      <c r="K623" s="25"/>
    </row>
    <row r="624" spans="1:11" ht="12.75">
      <c r="A624" s="25"/>
      <c r="B624" s="25"/>
      <c r="C624" s="25"/>
      <c r="D624" s="25"/>
      <c r="E624" s="25"/>
      <c r="F624" s="25"/>
      <c r="G624" s="25"/>
      <c r="H624" s="25"/>
      <c r="I624" s="25"/>
      <c r="J624" s="25"/>
      <c r="K624" s="25"/>
    </row>
    <row r="625" spans="1:11" ht="12.75">
      <c r="A625" s="25"/>
      <c r="B625" s="25"/>
      <c r="C625" s="25"/>
      <c r="D625" s="25"/>
      <c r="E625" s="25"/>
      <c r="F625" s="25"/>
      <c r="G625" s="25"/>
      <c r="H625" s="25"/>
      <c r="I625" s="25"/>
      <c r="J625" s="25"/>
      <c r="K625" s="25"/>
    </row>
    <row r="626" spans="1:11" ht="12.75">
      <c r="A626" s="25"/>
      <c r="B626" s="25"/>
      <c r="C626" s="25"/>
      <c r="D626" s="25"/>
      <c r="E626" s="25"/>
      <c r="F626" s="25"/>
      <c r="G626" s="25"/>
      <c r="H626" s="25"/>
      <c r="I626" s="25"/>
      <c r="J626" s="25"/>
      <c r="K626" s="25"/>
    </row>
    <row r="627" spans="1:11" ht="12.75">
      <c r="A627" s="25"/>
      <c r="B627" s="25"/>
      <c r="C627" s="25"/>
      <c r="D627" s="25"/>
      <c r="E627" s="25"/>
      <c r="F627" s="25"/>
      <c r="G627" s="25"/>
      <c r="H627" s="25"/>
      <c r="I627" s="25"/>
      <c r="J627" s="25"/>
      <c r="K627" s="25"/>
    </row>
    <row r="628" spans="1:11" ht="12.75">
      <c r="A628" s="25"/>
      <c r="B628" s="25"/>
      <c r="C628" s="25"/>
      <c r="D628" s="25"/>
      <c r="E628" s="25"/>
      <c r="F628" s="25"/>
      <c r="G628" s="25"/>
      <c r="H628" s="25"/>
      <c r="I628" s="25"/>
      <c r="J628" s="25"/>
      <c r="K628" s="25"/>
    </row>
    <row r="629" spans="1:11" ht="12.75">
      <c r="A629" s="25"/>
      <c r="B629" s="25"/>
      <c r="C629" s="25"/>
      <c r="D629" s="25"/>
      <c r="E629" s="25"/>
      <c r="F629" s="25"/>
      <c r="G629" s="25"/>
      <c r="H629" s="25"/>
      <c r="I629" s="25"/>
      <c r="J629" s="25"/>
      <c r="K629" s="25"/>
    </row>
    <row r="630" spans="1:11" ht="12.75">
      <c r="A630" s="25"/>
      <c r="B630" s="25"/>
      <c r="C630" s="25"/>
      <c r="D630" s="25"/>
      <c r="E630" s="25"/>
      <c r="F630" s="25"/>
      <c r="G630" s="25"/>
      <c r="H630" s="25"/>
      <c r="I630" s="25"/>
      <c r="J630" s="25"/>
      <c r="K630" s="25"/>
    </row>
    <row r="631" spans="1:11" ht="12.75">
      <c r="A631" s="25"/>
      <c r="B631" s="25"/>
      <c r="C631" s="25"/>
      <c r="D631" s="25"/>
      <c r="E631" s="25"/>
      <c r="F631" s="25"/>
      <c r="G631" s="25"/>
      <c r="H631" s="25"/>
      <c r="I631" s="25"/>
      <c r="J631" s="25"/>
      <c r="K631" s="25"/>
    </row>
    <row r="632" spans="1:11" ht="12.75">
      <c r="A632" s="25"/>
      <c r="B632" s="25"/>
      <c r="C632" s="25"/>
      <c r="D632" s="25"/>
      <c r="E632" s="25"/>
      <c r="F632" s="25"/>
      <c r="G632" s="25"/>
      <c r="H632" s="25"/>
      <c r="I632" s="25"/>
      <c r="J632" s="25"/>
      <c r="K632" s="25"/>
    </row>
    <row r="633" spans="1:11" ht="12.75">
      <c r="A633" s="25"/>
      <c r="B633" s="25"/>
      <c r="C633" s="25"/>
      <c r="D633" s="25"/>
      <c r="E633" s="25"/>
      <c r="F633" s="25"/>
      <c r="G633" s="25"/>
      <c r="H633" s="25"/>
      <c r="I633" s="25"/>
      <c r="J633" s="25"/>
      <c r="K633" s="25"/>
    </row>
    <row r="634" spans="1:11" ht="12.75">
      <c r="A634" s="25"/>
      <c r="B634" s="25"/>
      <c r="C634" s="25"/>
      <c r="D634" s="25"/>
      <c r="E634" s="25"/>
      <c r="F634" s="25"/>
      <c r="G634" s="25"/>
      <c r="H634" s="25"/>
      <c r="I634" s="25"/>
      <c r="J634" s="25"/>
      <c r="K634" s="25"/>
    </row>
    <row r="635" spans="1:11" ht="12.75">
      <c r="A635" s="25"/>
      <c r="B635" s="25"/>
      <c r="C635" s="25"/>
      <c r="D635" s="25"/>
      <c r="E635" s="25"/>
      <c r="F635" s="25"/>
      <c r="G635" s="25"/>
      <c r="H635" s="25"/>
      <c r="I635" s="25"/>
      <c r="J635" s="25"/>
      <c r="K635" s="25"/>
    </row>
    <row r="636" spans="1:11" ht="12.75">
      <c r="A636" s="25"/>
      <c r="B636" s="25"/>
      <c r="C636" s="25"/>
      <c r="D636" s="25"/>
      <c r="E636" s="25"/>
      <c r="F636" s="25"/>
      <c r="G636" s="25"/>
      <c r="H636" s="25"/>
      <c r="I636" s="25"/>
      <c r="J636" s="25"/>
      <c r="K636" s="25"/>
    </row>
    <row r="637" spans="1:11" ht="12.75">
      <c r="A637" s="25"/>
      <c r="B637" s="25"/>
      <c r="C637" s="25"/>
      <c r="D637" s="25"/>
      <c r="E637" s="25"/>
      <c r="F637" s="25"/>
      <c r="G637" s="25"/>
      <c r="H637" s="25"/>
      <c r="I637" s="25"/>
      <c r="J637" s="25"/>
      <c r="K637" s="25"/>
    </row>
    <row r="638" spans="1:11" ht="12.75">
      <c r="A638" s="25"/>
      <c r="B638" s="25"/>
      <c r="C638" s="25"/>
      <c r="D638" s="25"/>
      <c r="E638" s="25"/>
      <c r="F638" s="25"/>
      <c r="G638" s="25"/>
      <c r="H638" s="25"/>
      <c r="I638" s="25"/>
      <c r="J638" s="25"/>
      <c r="K638" s="25"/>
    </row>
    <row r="639" spans="1:11" ht="12.75">
      <c r="A639" s="25"/>
      <c r="B639" s="25"/>
      <c r="C639" s="25"/>
      <c r="D639" s="25"/>
      <c r="E639" s="25"/>
      <c r="F639" s="25"/>
      <c r="G639" s="25"/>
      <c r="H639" s="25"/>
      <c r="I639" s="25"/>
      <c r="J639" s="25"/>
      <c r="K639" s="25"/>
    </row>
    <row r="640" spans="1:11" ht="12.75">
      <c r="A640" s="25"/>
      <c r="B640" s="25"/>
      <c r="C640" s="25"/>
      <c r="D640" s="25"/>
      <c r="E640" s="25"/>
      <c r="F640" s="25"/>
      <c r="G640" s="25"/>
      <c r="H640" s="25"/>
      <c r="I640" s="25"/>
      <c r="J640" s="25"/>
      <c r="K640" s="25"/>
    </row>
    <row r="641" spans="1:11" ht="12.75">
      <c r="A641" s="25"/>
      <c r="B641" s="25"/>
      <c r="C641" s="25"/>
      <c r="D641" s="25"/>
      <c r="E641" s="25"/>
      <c r="F641" s="25"/>
      <c r="G641" s="25"/>
      <c r="H641" s="25"/>
      <c r="I641" s="25"/>
      <c r="J641" s="25"/>
      <c r="K641" s="25"/>
    </row>
    <row r="642" spans="1:11" ht="12.75">
      <c r="A642" s="25"/>
      <c r="B642" s="25"/>
      <c r="C642" s="25"/>
      <c r="D642" s="25"/>
      <c r="E642" s="25"/>
      <c r="F642" s="25"/>
      <c r="G642" s="25"/>
      <c r="H642" s="25"/>
      <c r="I642" s="25"/>
      <c r="J642" s="25"/>
      <c r="K642" s="25"/>
    </row>
    <row r="643" spans="1:11" ht="12.75">
      <c r="A643" s="25"/>
      <c r="B643" s="25"/>
      <c r="C643" s="25"/>
      <c r="D643" s="25"/>
      <c r="E643" s="25"/>
      <c r="F643" s="25"/>
      <c r="G643" s="25"/>
      <c r="H643" s="25"/>
      <c r="I643" s="25"/>
      <c r="J643" s="25"/>
      <c r="K643" s="25"/>
    </row>
    <row r="644" spans="1:11" ht="12.75">
      <c r="A644" s="25"/>
      <c r="B644" s="25"/>
      <c r="C644" s="25"/>
      <c r="D644" s="25"/>
      <c r="E644" s="25"/>
      <c r="F644" s="25"/>
      <c r="G644" s="25"/>
      <c r="H644" s="25"/>
      <c r="I644" s="25"/>
      <c r="J644" s="25"/>
      <c r="K644" s="25"/>
    </row>
    <row r="645" spans="1:11" ht="12.75">
      <c r="A645" s="25"/>
      <c r="B645" s="25"/>
      <c r="C645" s="25"/>
      <c r="D645" s="25"/>
      <c r="E645" s="25"/>
      <c r="F645" s="25"/>
      <c r="G645" s="25"/>
      <c r="H645" s="25"/>
      <c r="I645" s="25"/>
      <c r="J645" s="25"/>
      <c r="K645" s="25"/>
    </row>
    <row r="646" spans="1:11" ht="12.75">
      <c r="A646" s="25"/>
      <c r="B646" s="25"/>
      <c r="C646" s="25"/>
      <c r="D646" s="25"/>
      <c r="E646" s="25"/>
      <c r="F646" s="25"/>
      <c r="G646" s="25"/>
      <c r="H646" s="25"/>
      <c r="I646" s="25"/>
      <c r="J646" s="25"/>
      <c r="K646" s="25"/>
    </row>
    <row r="647" spans="1:11" ht="12.75">
      <c r="A647" s="25"/>
      <c r="B647" s="25"/>
      <c r="C647" s="25"/>
      <c r="D647" s="25"/>
      <c r="E647" s="25"/>
      <c r="F647" s="25"/>
      <c r="G647" s="25"/>
      <c r="H647" s="25"/>
      <c r="I647" s="25"/>
      <c r="J647" s="25"/>
      <c r="K647" s="25"/>
    </row>
    <row r="648" spans="1:11" ht="12.75">
      <c r="A648" s="25"/>
      <c r="B648" s="25"/>
      <c r="C648" s="25"/>
      <c r="D648" s="25"/>
      <c r="E648" s="25"/>
      <c r="F648" s="25"/>
      <c r="G648" s="25"/>
      <c r="H648" s="25"/>
      <c r="I648" s="25"/>
      <c r="J648" s="25"/>
      <c r="K648" s="25"/>
    </row>
    <row r="649" spans="1:11" ht="12.75">
      <c r="A649" s="25"/>
      <c r="B649" s="25"/>
      <c r="C649" s="25"/>
      <c r="D649" s="25"/>
      <c r="E649" s="25"/>
      <c r="F649" s="25"/>
      <c r="G649" s="25"/>
      <c r="H649" s="25"/>
      <c r="I649" s="25"/>
      <c r="J649" s="25"/>
      <c r="K649" s="25"/>
    </row>
    <row r="650" spans="1:11" ht="12.75">
      <c r="A650" s="25"/>
      <c r="B650" s="25"/>
      <c r="C650" s="25"/>
      <c r="D650" s="25"/>
      <c r="E650" s="25"/>
      <c r="F650" s="25"/>
      <c r="G650" s="25"/>
      <c r="H650" s="25"/>
      <c r="I650" s="25"/>
      <c r="J650" s="25"/>
      <c r="K650" s="25"/>
    </row>
    <row r="651" spans="1:11" ht="12.75">
      <c r="A651" s="25"/>
      <c r="B651" s="25"/>
      <c r="C651" s="25"/>
      <c r="D651" s="25"/>
      <c r="E651" s="25"/>
      <c r="F651" s="25"/>
      <c r="G651" s="25"/>
      <c r="H651" s="25"/>
      <c r="I651" s="25"/>
      <c r="J651" s="25"/>
      <c r="K651" s="25"/>
    </row>
    <row r="652" spans="1:11" ht="12.75">
      <c r="A652" s="25"/>
      <c r="B652" s="25"/>
      <c r="C652" s="25"/>
      <c r="D652" s="25"/>
      <c r="E652" s="25"/>
      <c r="F652" s="25"/>
      <c r="G652" s="25"/>
      <c r="H652" s="25"/>
      <c r="I652" s="25"/>
      <c r="J652" s="25"/>
      <c r="K652" s="25"/>
    </row>
    <row r="653" spans="1:11" ht="12.75">
      <c r="A653" s="25"/>
      <c r="B653" s="25"/>
      <c r="C653" s="25"/>
      <c r="D653" s="25"/>
      <c r="E653" s="25"/>
      <c r="F653" s="25"/>
      <c r="G653" s="25"/>
      <c r="H653" s="25"/>
      <c r="I653" s="25"/>
      <c r="J653" s="25"/>
      <c r="K653" s="25"/>
    </row>
    <row r="654" spans="1:11" ht="12.75">
      <c r="A654" s="25"/>
      <c r="B654" s="25"/>
      <c r="C654" s="25"/>
      <c r="D654" s="25"/>
      <c r="E654" s="25"/>
      <c r="F654" s="25"/>
      <c r="G654" s="25"/>
      <c r="H654" s="25"/>
      <c r="I654" s="25"/>
      <c r="J654" s="25"/>
      <c r="K654" s="25"/>
    </row>
    <row r="655" spans="1:11" ht="12.75">
      <c r="A655" s="25"/>
      <c r="B655" s="25"/>
      <c r="C655" s="25"/>
      <c r="D655" s="25"/>
      <c r="E655" s="25"/>
      <c r="F655" s="25"/>
      <c r="G655" s="25"/>
      <c r="H655" s="25"/>
      <c r="I655" s="25"/>
      <c r="J655" s="25"/>
      <c r="K655" s="25"/>
    </row>
    <row r="656" spans="1:11" ht="12.75">
      <c r="A656" s="25"/>
      <c r="B656" s="25"/>
      <c r="C656" s="25"/>
      <c r="D656" s="25"/>
      <c r="E656" s="25"/>
      <c r="F656" s="25"/>
      <c r="G656" s="25"/>
      <c r="H656" s="25"/>
      <c r="I656" s="25"/>
      <c r="J656" s="25"/>
      <c r="K656" s="25"/>
    </row>
    <row r="657" spans="1:11" ht="12.75">
      <c r="A657" s="25"/>
      <c r="B657" s="25"/>
      <c r="C657" s="25"/>
      <c r="D657" s="25"/>
      <c r="E657" s="25"/>
      <c r="F657" s="25"/>
      <c r="G657" s="25"/>
      <c r="H657" s="25"/>
      <c r="I657" s="25"/>
      <c r="J657" s="25"/>
      <c r="K657" s="25"/>
    </row>
    <row r="658" spans="1:11" ht="12.75">
      <c r="A658" s="25"/>
      <c r="B658" s="25"/>
      <c r="C658" s="25"/>
      <c r="D658" s="25"/>
      <c r="E658" s="25"/>
      <c r="F658" s="25"/>
      <c r="G658" s="25"/>
      <c r="H658" s="25"/>
      <c r="I658" s="25"/>
      <c r="J658" s="25"/>
      <c r="K658" s="25"/>
    </row>
    <row r="659" spans="1:11" ht="12.75">
      <c r="A659" s="25"/>
      <c r="B659" s="25"/>
      <c r="C659" s="25"/>
      <c r="D659" s="25"/>
      <c r="E659" s="25"/>
      <c r="F659" s="25"/>
      <c r="G659" s="25"/>
      <c r="H659" s="25"/>
      <c r="I659" s="25"/>
      <c r="J659" s="25"/>
      <c r="K659" s="25"/>
    </row>
    <row r="660" spans="1:11" ht="12.75">
      <c r="A660" s="25"/>
      <c r="B660" s="25"/>
      <c r="C660" s="25"/>
      <c r="D660" s="25"/>
      <c r="E660" s="25"/>
      <c r="F660" s="25"/>
      <c r="G660" s="25"/>
      <c r="H660" s="25"/>
      <c r="I660" s="25"/>
      <c r="J660" s="25"/>
      <c r="K660" s="25"/>
    </row>
    <row r="661" spans="1:11" ht="12.75">
      <c r="A661" s="25"/>
      <c r="B661" s="25"/>
      <c r="C661" s="25"/>
      <c r="D661" s="25"/>
      <c r="E661" s="25"/>
      <c r="F661" s="25"/>
      <c r="G661" s="25"/>
      <c r="H661" s="25"/>
      <c r="I661" s="25"/>
      <c r="J661" s="25"/>
      <c r="K661" s="25"/>
    </row>
    <row r="662" spans="1:11" ht="12.75">
      <c r="A662" s="25"/>
      <c r="B662" s="25"/>
      <c r="C662" s="25"/>
      <c r="D662" s="25"/>
      <c r="E662" s="25"/>
      <c r="F662" s="25"/>
      <c r="G662" s="25"/>
      <c r="H662" s="25"/>
      <c r="I662" s="25"/>
      <c r="J662" s="25"/>
      <c r="K662" s="25"/>
    </row>
    <row r="663" spans="1:11" ht="12.75">
      <c r="A663" s="25"/>
      <c r="B663" s="25"/>
      <c r="C663" s="25"/>
      <c r="D663" s="25"/>
      <c r="E663" s="25"/>
      <c r="F663" s="25"/>
      <c r="G663" s="25"/>
      <c r="H663" s="25"/>
      <c r="I663" s="25"/>
      <c r="J663" s="25"/>
      <c r="K663" s="25"/>
    </row>
    <row r="664" spans="1:11" ht="12.75">
      <c r="A664" s="25"/>
      <c r="B664" s="25"/>
      <c r="C664" s="25"/>
      <c r="D664" s="25"/>
      <c r="E664" s="25"/>
      <c r="F664" s="25"/>
      <c r="G664" s="25"/>
      <c r="H664" s="25"/>
      <c r="I664" s="25"/>
      <c r="J664" s="25"/>
      <c r="K664" s="25"/>
    </row>
    <row r="665" spans="1:11" ht="12.75">
      <c r="A665" s="25"/>
      <c r="B665" s="25"/>
      <c r="C665" s="25"/>
      <c r="D665" s="25"/>
      <c r="E665" s="25"/>
      <c r="F665" s="25"/>
      <c r="G665" s="25"/>
      <c r="H665" s="25"/>
      <c r="I665" s="25"/>
      <c r="J665" s="25"/>
      <c r="K665" s="25"/>
    </row>
    <row r="666" spans="1:11" ht="12.75">
      <c r="A666" s="25"/>
      <c r="B666" s="25"/>
      <c r="C666" s="25"/>
      <c r="D666" s="25"/>
      <c r="E666" s="25"/>
      <c r="F666" s="25"/>
      <c r="G666" s="25"/>
      <c r="H666" s="25"/>
      <c r="I666" s="25"/>
      <c r="J666" s="25"/>
      <c r="K666" s="25"/>
    </row>
    <row r="667" spans="1:11" ht="12.75">
      <c r="A667" s="25"/>
      <c r="B667" s="25"/>
      <c r="C667" s="25"/>
      <c r="D667" s="25"/>
      <c r="E667" s="25"/>
      <c r="F667" s="25"/>
      <c r="G667" s="25"/>
      <c r="H667" s="25"/>
      <c r="I667" s="25"/>
      <c r="J667" s="25"/>
      <c r="K667" s="25"/>
    </row>
    <row r="668" spans="1:11" ht="12.75">
      <c r="A668" s="25"/>
      <c r="B668" s="25"/>
      <c r="C668" s="25"/>
      <c r="D668" s="25"/>
      <c r="E668" s="25"/>
      <c r="F668" s="25"/>
      <c r="G668" s="25"/>
      <c r="H668" s="25"/>
      <c r="I668" s="25"/>
      <c r="J668" s="25"/>
      <c r="K668" s="25"/>
    </row>
    <row r="669" spans="1:11" ht="12.75">
      <c r="A669" s="25"/>
      <c r="B669" s="25"/>
      <c r="C669" s="25"/>
      <c r="D669" s="25"/>
      <c r="E669" s="25"/>
      <c r="F669" s="25"/>
      <c r="G669" s="25"/>
      <c r="H669" s="25"/>
      <c r="I669" s="25"/>
      <c r="J669" s="25"/>
      <c r="K669" s="25"/>
    </row>
    <row r="670" spans="1:11" ht="12.75">
      <c r="A670" s="25"/>
      <c r="B670" s="25"/>
      <c r="C670" s="25"/>
      <c r="D670" s="25"/>
      <c r="E670" s="25"/>
      <c r="F670" s="25"/>
      <c r="G670" s="25"/>
      <c r="H670" s="25"/>
      <c r="I670" s="25"/>
      <c r="J670" s="25"/>
      <c r="K670" s="25"/>
    </row>
    <row r="671" spans="1:11" ht="12.75">
      <c r="A671" s="25"/>
      <c r="B671" s="25"/>
      <c r="C671" s="25"/>
      <c r="D671" s="25"/>
      <c r="E671" s="25"/>
      <c r="F671" s="25"/>
      <c r="G671" s="25"/>
      <c r="H671" s="25"/>
      <c r="I671" s="25"/>
      <c r="J671" s="25"/>
      <c r="K671" s="25"/>
    </row>
    <row r="672" spans="1:11" ht="12.75">
      <c r="A672" s="25"/>
      <c r="B672" s="25"/>
      <c r="C672" s="25"/>
      <c r="D672" s="25"/>
      <c r="E672" s="25"/>
      <c r="F672" s="25"/>
      <c r="G672" s="25"/>
      <c r="H672" s="25"/>
      <c r="I672" s="25"/>
      <c r="J672" s="25"/>
      <c r="K672" s="25"/>
    </row>
    <row r="673" spans="1:11" ht="12.75">
      <c r="A673" s="25"/>
      <c r="B673" s="25"/>
      <c r="C673" s="25"/>
      <c r="D673" s="25"/>
      <c r="E673" s="25"/>
      <c r="F673" s="25"/>
      <c r="G673" s="25"/>
      <c r="H673" s="25"/>
      <c r="I673" s="25"/>
      <c r="J673" s="25"/>
      <c r="K673" s="25"/>
    </row>
    <row r="674" spans="1:11" ht="12.75">
      <c r="A674" s="25"/>
      <c r="B674" s="25"/>
      <c r="C674" s="25"/>
      <c r="D674" s="25"/>
      <c r="E674" s="25"/>
      <c r="F674" s="25"/>
      <c r="G674" s="25"/>
      <c r="H674" s="25"/>
      <c r="I674" s="25"/>
      <c r="J674" s="25"/>
      <c r="K674" s="25"/>
    </row>
    <row r="675" spans="1:11" ht="12.75">
      <c r="A675" s="25"/>
      <c r="B675" s="25"/>
      <c r="C675" s="25"/>
      <c r="D675" s="25"/>
      <c r="E675" s="25"/>
      <c r="F675" s="25"/>
      <c r="G675" s="25"/>
      <c r="H675" s="25"/>
      <c r="I675" s="25"/>
      <c r="J675" s="25"/>
      <c r="K675" s="25"/>
    </row>
    <row r="676" spans="1:11" ht="12.75">
      <c r="A676" s="25"/>
      <c r="B676" s="25"/>
      <c r="C676" s="25"/>
      <c r="D676" s="25"/>
      <c r="E676" s="25"/>
      <c r="F676" s="25"/>
      <c r="G676" s="25"/>
      <c r="H676" s="25"/>
      <c r="I676" s="25"/>
      <c r="J676" s="25"/>
      <c r="K676" s="25"/>
    </row>
    <row r="677" spans="1:11" ht="12.75">
      <c r="A677" s="25"/>
      <c r="B677" s="25"/>
      <c r="C677" s="25"/>
      <c r="D677" s="25"/>
      <c r="E677" s="25"/>
      <c r="F677" s="25"/>
      <c r="G677" s="25"/>
      <c r="H677" s="25"/>
      <c r="I677" s="25"/>
      <c r="J677" s="25"/>
      <c r="K677" s="25"/>
    </row>
    <row r="678" spans="1:11" ht="12.75">
      <c r="A678" s="25"/>
      <c r="B678" s="25"/>
      <c r="C678" s="25"/>
      <c r="D678" s="25"/>
      <c r="E678" s="25"/>
      <c r="F678" s="25"/>
      <c r="G678" s="25"/>
      <c r="H678" s="25"/>
      <c r="I678" s="25"/>
      <c r="J678" s="25"/>
      <c r="K678" s="25"/>
    </row>
    <row r="679" spans="1:11" ht="12.75">
      <c r="A679" s="25"/>
      <c r="B679" s="25"/>
      <c r="C679" s="25"/>
      <c r="D679" s="25"/>
      <c r="E679" s="25"/>
      <c r="F679" s="25"/>
      <c r="G679" s="25"/>
      <c r="H679" s="25"/>
      <c r="I679" s="25"/>
      <c r="J679" s="25"/>
      <c r="K679" s="25"/>
    </row>
    <row r="680" spans="1:11" ht="12.75">
      <c r="A680" s="25"/>
      <c r="B680" s="25"/>
      <c r="C680" s="25"/>
      <c r="D680" s="25"/>
      <c r="E680" s="25"/>
      <c r="F680" s="25"/>
      <c r="G680" s="25"/>
      <c r="H680" s="25"/>
      <c r="I680" s="25"/>
      <c r="J680" s="25"/>
      <c r="K680" s="25"/>
    </row>
    <row r="681" spans="1:11" ht="12.75">
      <c r="A681" s="25"/>
      <c r="B681" s="25"/>
      <c r="C681" s="25"/>
      <c r="D681" s="25"/>
      <c r="E681" s="25"/>
      <c r="F681" s="25"/>
      <c r="G681" s="25"/>
      <c r="H681" s="25"/>
      <c r="I681" s="25"/>
      <c r="J681" s="25"/>
      <c r="K681" s="25"/>
    </row>
    <row r="682" spans="1:11" ht="12.75">
      <c r="A682" s="25"/>
      <c r="B682" s="25"/>
      <c r="C682" s="25"/>
      <c r="D682" s="25"/>
      <c r="E682" s="25"/>
      <c r="F682" s="25"/>
      <c r="G682" s="25"/>
      <c r="H682" s="25"/>
      <c r="I682" s="25"/>
      <c r="J682" s="25"/>
      <c r="K682" s="25"/>
    </row>
    <row r="683" spans="1:11" ht="12.75">
      <c r="A683" s="25"/>
      <c r="B683" s="25"/>
      <c r="C683" s="25"/>
      <c r="D683" s="25"/>
      <c r="E683" s="25"/>
      <c r="F683" s="25"/>
      <c r="G683" s="25"/>
      <c r="H683" s="25"/>
      <c r="I683" s="25"/>
      <c r="J683" s="25"/>
      <c r="K683" s="25"/>
    </row>
    <row r="684" spans="1:11" ht="12.75">
      <c r="A684" s="25"/>
      <c r="B684" s="25"/>
      <c r="C684" s="25"/>
      <c r="D684" s="25"/>
      <c r="E684" s="25"/>
      <c r="F684" s="25"/>
      <c r="G684" s="25"/>
      <c r="H684" s="25"/>
      <c r="I684" s="25"/>
      <c r="J684" s="25"/>
      <c r="K684" s="25"/>
    </row>
    <row r="685" spans="1:11" ht="12.75">
      <c r="A685" s="25"/>
      <c r="B685" s="25"/>
      <c r="C685" s="25"/>
      <c r="D685" s="25"/>
      <c r="E685" s="25"/>
      <c r="F685" s="25"/>
      <c r="G685" s="25"/>
      <c r="H685" s="25"/>
      <c r="I685" s="25"/>
      <c r="J685" s="25"/>
      <c r="K685" s="25"/>
    </row>
    <row r="686" spans="1:11" ht="12.75">
      <c r="A686" s="25"/>
      <c r="B686" s="25"/>
      <c r="C686" s="25"/>
      <c r="D686" s="25"/>
      <c r="E686" s="25"/>
      <c r="F686" s="25"/>
      <c r="G686" s="25"/>
      <c r="H686" s="25"/>
      <c r="I686" s="25"/>
      <c r="J686" s="25"/>
      <c r="K686" s="25"/>
    </row>
    <row r="687" spans="1:11" ht="12.75">
      <c r="A687" s="25"/>
      <c r="B687" s="25"/>
      <c r="C687" s="25"/>
      <c r="D687" s="25"/>
      <c r="E687" s="25"/>
      <c r="F687" s="25"/>
      <c r="G687" s="25"/>
      <c r="H687" s="25"/>
      <c r="I687" s="25"/>
      <c r="J687" s="25"/>
      <c r="K687" s="25"/>
    </row>
    <row r="688" spans="1:11" ht="12.75">
      <c r="A688" s="25"/>
      <c r="B688" s="25"/>
      <c r="C688" s="25"/>
      <c r="D688" s="25"/>
      <c r="E688" s="25"/>
      <c r="F688" s="25"/>
      <c r="G688" s="25"/>
      <c r="H688" s="25"/>
      <c r="I688" s="25"/>
      <c r="J688" s="25"/>
      <c r="K688" s="25"/>
    </row>
    <row r="689" spans="1:11" ht="12.75">
      <c r="A689" s="25"/>
      <c r="B689" s="25"/>
      <c r="C689" s="25"/>
      <c r="D689" s="25"/>
      <c r="E689" s="25"/>
      <c r="F689" s="25"/>
      <c r="G689" s="25"/>
      <c r="H689" s="25"/>
      <c r="I689" s="25"/>
      <c r="J689" s="25"/>
      <c r="K689" s="25"/>
    </row>
    <row r="690" spans="1:11" ht="12.75">
      <c r="A690" s="25"/>
      <c r="B690" s="25"/>
      <c r="C690" s="25"/>
      <c r="D690" s="25"/>
      <c r="E690" s="25"/>
      <c r="F690" s="25"/>
      <c r="G690" s="25"/>
      <c r="H690" s="25"/>
      <c r="I690" s="25"/>
      <c r="J690" s="25"/>
      <c r="K690" s="25"/>
    </row>
    <row r="691" spans="1:11" ht="12.75">
      <c r="A691" s="25"/>
      <c r="B691" s="25"/>
      <c r="C691" s="25"/>
      <c r="D691" s="25"/>
      <c r="E691" s="25"/>
      <c r="F691" s="25"/>
      <c r="G691" s="25"/>
      <c r="H691" s="25"/>
      <c r="I691" s="25"/>
      <c r="J691" s="25"/>
      <c r="K691" s="25"/>
    </row>
    <row r="692" spans="1:11" ht="12.75">
      <c r="A692" s="25"/>
      <c r="B692" s="25"/>
      <c r="C692" s="25"/>
      <c r="D692" s="25"/>
      <c r="E692" s="25"/>
      <c r="F692" s="25"/>
      <c r="G692" s="25"/>
      <c r="H692" s="25"/>
      <c r="I692" s="25"/>
      <c r="J692" s="25"/>
      <c r="K692" s="25"/>
    </row>
    <row r="693" spans="1:11" ht="12.75">
      <c r="A693" s="25"/>
      <c r="B693" s="25"/>
      <c r="C693" s="25"/>
      <c r="D693" s="25"/>
      <c r="E693" s="25"/>
      <c r="F693" s="25"/>
      <c r="G693" s="25"/>
      <c r="H693" s="25"/>
      <c r="I693" s="25"/>
      <c r="J693" s="25"/>
      <c r="K693" s="25"/>
    </row>
    <row r="694" spans="1:11" ht="12.75">
      <c r="A694" s="25"/>
      <c r="B694" s="25"/>
      <c r="C694" s="25"/>
      <c r="D694" s="25"/>
      <c r="E694" s="25"/>
      <c r="F694" s="25"/>
      <c r="G694" s="25"/>
      <c r="H694" s="25"/>
      <c r="I694" s="25"/>
      <c r="J694" s="25"/>
      <c r="K694" s="25"/>
    </row>
    <row r="695" spans="1:11" ht="12.75">
      <c r="A695" s="25"/>
      <c r="B695" s="25"/>
      <c r="C695" s="25"/>
      <c r="D695" s="25"/>
      <c r="E695" s="25"/>
      <c r="F695" s="25"/>
      <c r="G695" s="25"/>
      <c r="H695" s="25"/>
      <c r="I695" s="25"/>
      <c r="J695" s="25"/>
      <c r="K695" s="25"/>
    </row>
    <row r="696" spans="1:11" ht="12.75">
      <c r="A696" s="25"/>
      <c r="B696" s="25"/>
      <c r="C696" s="25"/>
      <c r="D696" s="25"/>
      <c r="E696" s="25"/>
      <c r="F696" s="25"/>
      <c r="G696" s="25"/>
      <c r="H696" s="25"/>
      <c r="I696" s="25"/>
      <c r="J696" s="25"/>
      <c r="K696" s="25"/>
    </row>
    <row r="697" spans="1:11" ht="12.75">
      <c r="A697" s="25"/>
      <c r="B697" s="25"/>
      <c r="C697" s="25"/>
      <c r="D697" s="25"/>
      <c r="E697" s="25"/>
      <c r="F697" s="25"/>
      <c r="G697" s="25"/>
      <c r="H697" s="25"/>
      <c r="I697" s="25"/>
      <c r="J697" s="25"/>
      <c r="K697" s="25"/>
    </row>
    <row r="698" spans="1:11" ht="12.75">
      <c r="A698" s="25"/>
      <c r="B698" s="25"/>
      <c r="C698" s="25"/>
      <c r="D698" s="25"/>
      <c r="E698" s="25"/>
      <c r="F698" s="25"/>
      <c r="G698" s="25"/>
      <c r="H698" s="25"/>
      <c r="I698" s="25"/>
      <c r="J698" s="25"/>
      <c r="K698" s="25"/>
    </row>
    <row r="699" spans="1:11" ht="12.75">
      <c r="A699" s="25"/>
      <c r="B699" s="25"/>
      <c r="C699" s="25"/>
      <c r="D699" s="25"/>
      <c r="E699" s="25"/>
      <c r="F699" s="25"/>
      <c r="G699" s="25"/>
      <c r="H699" s="25"/>
      <c r="I699" s="25"/>
      <c r="J699" s="25"/>
      <c r="K699" s="25"/>
    </row>
    <row r="700" spans="1:11" ht="12.75">
      <c r="A700" s="25"/>
      <c r="B700" s="25"/>
      <c r="C700" s="25"/>
      <c r="D700" s="25"/>
      <c r="E700" s="25"/>
      <c r="F700" s="25"/>
      <c r="G700" s="25"/>
      <c r="H700" s="25"/>
      <c r="I700" s="25"/>
      <c r="J700" s="25"/>
      <c r="K700" s="25"/>
    </row>
    <row r="701" spans="1:11" ht="12.75">
      <c r="A701" s="25"/>
      <c r="B701" s="25"/>
      <c r="C701" s="25"/>
      <c r="D701" s="25"/>
      <c r="E701" s="25"/>
      <c r="F701" s="25"/>
      <c r="G701" s="25"/>
      <c r="H701" s="25"/>
      <c r="I701" s="25"/>
      <c r="J701" s="25"/>
      <c r="K701" s="25"/>
    </row>
    <row r="702" spans="1:11" ht="12.75">
      <c r="A702" s="25"/>
      <c r="B702" s="25"/>
      <c r="C702" s="25"/>
      <c r="D702" s="25"/>
      <c r="E702" s="25"/>
      <c r="F702" s="25"/>
      <c r="G702" s="25"/>
      <c r="H702" s="25"/>
      <c r="I702" s="25"/>
      <c r="J702" s="25"/>
      <c r="K702" s="25"/>
    </row>
    <row r="703" spans="1:11" ht="12.75">
      <c r="A703" s="25"/>
      <c r="B703" s="25"/>
      <c r="C703" s="25"/>
      <c r="D703" s="25"/>
      <c r="E703" s="25"/>
      <c r="F703" s="25"/>
      <c r="G703" s="25"/>
      <c r="H703" s="25"/>
      <c r="I703" s="25"/>
      <c r="J703" s="25"/>
      <c r="K703" s="25"/>
    </row>
    <row r="704" spans="1:11" ht="12.75">
      <c r="A704" s="25"/>
      <c r="B704" s="25"/>
      <c r="C704" s="25"/>
      <c r="D704" s="25"/>
      <c r="E704" s="25"/>
      <c r="F704" s="25"/>
      <c r="G704" s="25"/>
      <c r="H704" s="25"/>
      <c r="I704" s="25"/>
      <c r="J704" s="25"/>
      <c r="K704" s="25"/>
    </row>
    <row r="705" spans="1:11" ht="12.75">
      <c r="A705" s="25"/>
      <c r="B705" s="25"/>
      <c r="C705" s="25"/>
      <c r="D705" s="25"/>
      <c r="E705" s="25"/>
      <c r="F705" s="25"/>
      <c r="G705" s="25"/>
      <c r="H705" s="25"/>
      <c r="I705" s="25"/>
      <c r="J705" s="25"/>
      <c r="K705" s="25"/>
    </row>
    <row r="706" spans="1:11" ht="12.75">
      <c r="A706" s="25"/>
      <c r="B706" s="25"/>
      <c r="C706" s="25"/>
      <c r="D706" s="25"/>
      <c r="E706" s="25"/>
      <c r="F706" s="25"/>
      <c r="G706" s="25"/>
      <c r="H706" s="25"/>
      <c r="I706" s="25"/>
      <c r="J706" s="25"/>
      <c r="K706" s="25"/>
    </row>
    <row r="707" spans="1:11" ht="12.75">
      <c r="A707" s="25"/>
      <c r="B707" s="25"/>
      <c r="C707" s="25"/>
      <c r="D707" s="25"/>
      <c r="E707" s="25"/>
      <c r="F707" s="25"/>
      <c r="G707" s="25"/>
      <c r="H707" s="25"/>
      <c r="I707" s="25"/>
      <c r="J707" s="25"/>
      <c r="K707" s="25"/>
    </row>
    <row r="708" spans="1:11" ht="12.75">
      <c r="A708" s="25"/>
      <c r="B708" s="25"/>
      <c r="C708" s="25"/>
      <c r="D708" s="25"/>
      <c r="E708" s="25"/>
      <c r="F708" s="25"/>
      <c r="G708" s="25"/>
      <c r="H708" s="25"/>
      <c r="I708" s="25"/>
      <c r="J708" s="25"/>
      <c r="K708" s="25"/>
    </row>
    <row r="709" spans="1:11" ht="12.75">
      <c r="A709" s="25"/>
      <c r="B709" s="25"/>
      <c r="C709" s="25"/>
      <c r="D709" s="25"/>
      <c r="E709" s="25"/>
      <c r="F709" s="25"/>
      <c r="G709" s="25"/>
      <c r="H709" s="25"/>
      <c r="I709" s="25"/>
      <c r="J709" s="25"/>
      <c r="K709" s="25"/>
    </row>
    <row r="710" spans="1:11" ht="12.75">
      <c r="A710" s="25"/>
      <c r="B710" s="25"/>
      <c r="C710" s="25"/>
      <c r="D710" s="25"/>
      <c r="E710" s="25"/>
      <c r="F710" s="25"/>
      <c r="G710" s="25"/>
      <c r="H710" s="25"/>
      <c r="I710" s="25"/>
      <c r="J710" s="25"/>
      <c r="K710" s="25"/>
    </row>
    <row r="711" spans="1:11" ht="12.75">
      <c r="A711" s="25"/>
      <c r="B711" s="25"/>
      <c r="C711" s="25"/>
      <c r="D711" s="25"/>
      <c r="E711" s="25"/>
      <c r="F711" s="25"/>
      <c r="G711" s="25"/>
      <c r="H711" s="25"/>
      <c r="I711" s="25"/>
      <c r="J711" s="25"/>
      <c r="K711" s="25"/>
    </row>
    <row r="712" spans="1:11" ht="12.75">
      <c r="A712" s="25"/>
      <c r="B712" s="25"/>
      <c r="C712" s="25"/>
      <c r="D712" s="25"/>
      <c r="E712" s="25"/>
      <c r="F712" s="25"/>
      <c r="G712" s="25"/>
      <c r="H712" s="25"/>
      <c r="I712" s="25"/>
      <c r="J712" s="25"/>
      <c r="K712" s="25"/>
    </row>
    <row r="713" spans="1:11" ht="12.75">
      <c r="A713" s="25"/>
      <c r="B713" s="25"/>
      <c r="C713" s="25"/>
      <c r="D713" s="25"/>
      <c r="E713" s="25"/>
      <c r="F713" s="25"/>
      <c r="G713" s="25"/>
      <c r="H713" s="25"/>
      <c r="I713" s="25"/>
      <c r="J713" s="25"/>
      <c r="K713" s="25"/>
    </row>
    <row r="714" spans="1:11" ht="12.75">
      <c r="A714" s="25"/>
      <c r="B714" s="25"/>
      <c r="C714" s="25"/>
      <c r="D714" s="25"/>
      <c r="E714" s="25"/>
      <c r="F714" s="25"/>
      <c r="G714" s="25"/>
      <c r="H714" s="25"/>
      <c r="I714" s="25"/>
      <c r="J714" s="25"/>
      <c r="K714" s="25"/>
    </row>
    <row r="715" spans="1:11" ht="12.75">
      <c r="A715" s="25"/>
      <c r="B715" s="25"/>
      <c r="C715" s="25"/>
      <c r="D715" s="25"/>
      <c r="E715" s="25"/>
      <c r="F715" s="25"/>
      <c r="G715" s="25"/>
      <c r="H715" s="25"/>
      <c r="I715" s="25"/>
      <c r="J715" s="25"/>
      <c r="K715" s="25"/>
    </row>
    <row r="716" spans="1:11" ht="12.75">
      <c r="A716" s="25"/>
      <c r="B716" s="25"/>
      <c r="C716" s="25"/>
      <c r="D716" s="25"/>
      <c r="E716" s="25"/>
      <c r="F716" s="25"/>
      <c r="G716" s="25"/>
      <c r="H716" s="25"/>
      <c r="I716" s="25"/>
      <c r="J716" s="25"/>
      <c r="K716" s="25"/>
    </row>
    <row r="717" spans="1:11" ht="12.75">
      <c r="A717" s="25"/>
      <c r="B717" s="25"/>
      <c r="C717" s="25"/>
      <c r="D717" s="25"/>
      <c r="E717" s="25"/>
      <c r="F717" s="25"/>
      <c r="G717" s="25"/>
      <c r="H717" s="25"/>
      <c r="I717" s="25"/>
      <c r="J717" s="25"/>
      <c r="K717" s="25"/>
    </row>
    <row r="718" spans="1:11" ht="12.75">
      <c r="A718" s="25"/>
      <c r="B718" s="25"/>
      <c r="C718" s="25"/>
      <c r="D718" s="25"/>
      <c r="E718" s="25"/>
      <c r="F718" s="25"/>
      <c r="G718" s="25"/>
      <c r="H718" s="25"/>
      <c r="I718" s="25"/>
      <c r="J718" s="25"/>
      <c r="K718" s="25"/>
    </row>
    <row r="719" spans="1:11" ht="12.75">
      <c r="A719" s="25"/>
      <c r="B719" s="25"/>
      <c r="C719" s="25"/>
      <c r="D719" s="25"/>
      <c r="E719" s="25"/>
      <c r="F719" s="25"/>
      <c r="G719" s="25"/>
      <c r="H719" s="25"/>
      <c r="I719" s="25"/>
      <c r="J719" s="25"/>
      <c r="K719" s="25"/>
    </row>
    <row r="720" spans="1:11" ht="12.75">
      <c r="A720" s="25"/>
      <c r="B720" s="25"/>
      <c r="C720" s="25"/>
      <c r="D720" s="25"/>
      <c r="E720" s="25"/>
      <c r="F720" s="25"/>
      <c r="G720" s="25"/>
      <c r="H720" s="25"/>
      <c r="I720" s="25"/>
      <c r="J720" s="25"/>
      <c r="K720" s="25"/>
    </row>
    <row r="721" spans="1:11" ht="12.75">
      <c r="A721" s="25"/>
      <c r="B721" s="25"/>
      <c r="C721" s="25"/>
      <c r="D721" s="25"/>
      <c r="E721" s="25"/>
      <c r="F721" s="25"/>
      <c r="G721" s="25"/>
      <c r="H721" s="25"/>
      <c r="I721" s="25"/>
      <c r="J721" s="25"/>
      <c r="K721" s="25"/>
    </row>
    <row r="722" spans="1:11" ht="12.75">
      <c r="A722" s="25"/>
      <c r="B722" s="25"/>
      <c r="C722" s="25"/>
      <c r="D722" s="25"/>
      <c r="E722" s="25"/>
      <c r="F722" s="25"/>
      <c r="G722" s="25"/>
      <c r="H722" s="25"/>
      <c r="I722" s="25"/>
      <c r="J722" s="25"/>
      <c r="K722" s="25"/>
    </row>
    <row r="723" spans="1:11" ht="12.75">
      <c r="A723" s="25"/>
      <c r="B723" s="25"/>
      <c r="C723" s="25"/>
      <c r="D723" s="25"/>
      <c r="E723" s="25"/>
      <c r="F723" s="25"/>
      <c r="G723" s="25"/>
      <c r="H723" s="25"/>
      <c r="I723" s="25"/>
      <c r="J723" s="25"/>
      <c r="K723" s="25"/>
    </row>
    <row r="724" spans="1:11" ht="12.75">
      <c r="A724" s="25"/>
      <c r="B724" s="25"/>
      <c r="C724" s="25"/>
      <c r="D724" s="25"/>
      <c r="E724" s="25"/>
      <c r="F724" s="25"/>
      <c r="G724" s="25"/>
      <c r="H724" s="25"/>
      <c r="I724" s="25"/>
      <c r="J724" s="25"/>
      <c r="K724" s="25"/>
    </row>
    <row r="725" spans="1:11" ht="12.75">
      <c r="A725" s="25"/>
      <c r="B725" s="25"/>
      <c r="C725" s="25"/>
      <c r="D725" s="25"/>
      <c r="E725" s="25"/>
      <c r="F725" s="25"/>
      <c r="G725" s="25"/>
      <c r="H725" s="25"/>
      <c r="I725" s="25"/>
      <c r="J725" s="25"/>
      <c r="K725" s="25"/>
    </row>
    <row r="726" spans="1:11" ht="12.75">
      <c r="A726" s="25"/>
      <c r="B726" s="25"/>
      <c r="C726" s="25"/>
      <c r="D726" s="25"/>
      <c r="E726" s="25"/>
      <c r="F726" s="25"/>
      <c r="G726" s="25"/>
      <c r="H726" s="25"/>
      <c r="I726" s="25"/>
      <c r="J726" s="25"/>
      <c r="K726" s="25"/>
    </row>
    <row r="727" spans="1:11" ht="12.75">
      <c r="A727" s="25"/>
      <c r="B727" s="25"/>
      <c r="C727" s="25"/>
      <c r="D727" s="25"/>
      <c r="E727" s="25"/>
      <c r="F727" s="25"/>
      <c r="G727" s="25"/>
      <c r="H727" s="25"/>
      <c r="I727" s="25"/>
      <c r="J727" s="25"/>
      <c r="K727" s="25"/>
    </row>
    <row r="728" spans="1:11" ht="12.75">
      <c r="A728" s="25"/>
      <c r="B728" s="25"/>
      <c r="C728" s="25"/>
      <c r="D728" s="25"/>
      <c r="E728" s="25"/>
      <c r="F728" s="25"/>
      <c r="G728" s="25"/>
      <c r="H728" s="25"/>
      <c r="I728" s="25"/>
      <c r="J728" s="25"/>
      <c r="K728" s="25"/>
    </row>
    <row r="729" spans="1:11" ht="12.75">
      <c r="A729" s="25"/>
      <c r="B729" s="25"/>
      <c r="C729" s="25"/>
      <c r="D729" s="25"/>
      <c r="E729" s="25"/>
      <c r="F729" s="25"/>
      <c r="G729" s="25"/>
      <c r="H729" s="25"/>
      <c r="I729" s="25"/>
      <c r="J729" s="25"/>
      <c r="K729" s="25"/>
    </row>
    <row r="730" spans="1:11" ht="12.75">
      <c r="A730" s="25"/>
      <c r="B730" s="25"/>
      <c r="C730" s="25"/>
      <c r="D730" s="25"/>
      <c r="E730" s="25"/>
      <c r="F730" s="25"/>
      <c r="G730" s="25"/>
      <c r="H730" s="25"/>
      <c r="I730" s="25"/>
      <c r="J730" s="25"/>
      <c r="K730" s="25"/>
    </row>
    <row r="731" spans="1:11" ht="12.75">
      <c r="A731" s="25"/>
      <c r="B731" s="25"/>
      <c r="C731" s="25"/>
      <c r="D731" s="25"/>
      <c r="E731" s="25"/>
      <c r="F731" s="25"/>
      <c r="G731" s="25"/>
      <c r="H731" s="25"/>
      <c r="I731" s="25"/>
      <c r="J731" s="25"/>
      <c r="K731" s="25"/>
    </row>
    <row r="732" spans="1:11" ht="12.75">
      <c r="A732" s="25"/>
      <c r="B732" s="25"/>
      <c r="C732" s="25"/>
      <c r="D732" s="25"/>
      <c r="E732" s="25"/>
      <c r="F732" s="25"/>
      <c r="G732" s="25"/>
      <c r="H732" s="25"/>
      <c r="I732" s="25"/>
      <c r="J732" s="25"/>
      <c r="K732" s="25"/>
    </row>
    <row r="733" spans="1:11" ht="12.75">
      <c r="A733" s="25"/>
      <c r="B733" s="25"/>
      <c r="C733" s="25"/>
      <c r="D733" s="25"/>
      <c r="E733" s="25"/>
      <c r="F733" s="25"/>
      <c r="G733" s="25"/>
      <c r="H733" s="25"/>
      <c r="I733" s="25"/>
      <c r="J733" s="25"/>
      <c r="K733" s="25"/>
    </row>
    <row r="734" spans="1:11" ht="12.75">
      <c r="A734" s="25"/>
      <c r="B734" s="25"/>
      <c r="C734" s="25"/>
      <c r="D734" s="25"/>
      <c r="E734" s="25"/>
      <c r="F734" s="25"/>
      <c r="G734" s="25"/>
      <c r="H734" s="25"/>
      <c r="I734" s="25"/>
      <c r="J734" s="25"/>
      <c r="K734" s="25"/>
    </row>
    <row r="735" spans="1:11" ht="12.75">
      <c r="A735" s="25"/>
      <c r="B735" s="25"/>
      <c r="C735" s="25"/>
      <c r="D735" s="25"/>
      <c r="E735" s="25"/>
      <c r="F735" s="25"/>
      <c r="G735" s="25"/>
      <c r="H735" s="25"/>
      <c r="I735" s="25"/>
      <c r="J735" s="25"/>
      <c r="K735" s="25"/>
    </row>
    <row r="736" spans="1:11" ht="12.75">
      <c r="A736" s="25"/>
      <c r="B736" s="25"/>
      <c r="C736" s="25"/>
      <c r="D736" s="25"/>
      <c r="E736" s="25"/>
      <c r="F736" s="25"/>
      <c r="G736" s="25"/>
      <c r="H736" s="25"/>
      <c r="I736" s="25"/>
      <c r="J736" s="25"/>
      <c r="K736" s="25"/>
    </row>
    <row r="737" spans="1:11" ht="12.75">
      <c r="A737" s="25"/>
      <c r="B737" s="25"/>
      <c r="C737" s="25"/>
      <c r="D737" s="25"/>
      <c r="E737" s="25"/>
      <c r="F737" s="25"/>
      <c r="G737" s="25"/>
      <c r="H737" s="25"/>
      <c r="I737" s="25"/>
      <c r="J737" s="25"/>
      <c r="K737" s="25"/>
    </row>
    <row r="738" spans="1:11" ht="12.75">
      <c r="A738" s="25"/>
      <c r="B738" s="25"/>
      <c r="C738" s="25"/>
      <c r="D738" s="25"/>
      <c r="E738" s="25"/>
      <c r="F738" s="25"/>
      <c r="G738" s="25"/>
      <c r="H738" s="25"/>
      <c r="I738" s="25"/>
      <c r="J738" s="25"/>
      <c r="K738" s="25"/>
    </row>
    <row r="739" spans="1:11" ht="12.75">
      <c r="A739" s="25"/>
      <c r="B739" s="25"/>
      <c r="C739" s="25"/>
      <c r="D739" s="25"/>
      <c r="E739" s="25"/>
      <c r="F739" s="25"/>
      <c r="G739" s="25"/>
      <c r="H739" s="25"/>
      <c r="I739" s="25"/>
      <c r="J739" s="25"/>
      <c r="K739" s="25"/>
    </row>
    <row r="740" spans="1:11" ht="12.75">
      <c r="A740" s="25"/>
      <c r="B740" s="25"/>
      <c r="C740" s="25"/>
      <c r="D740" s="25"/>
      <c r="E740" s="25"/>
      <c r="F740" s="25"/>
      <c r="G740" s="25"/>
      <c r="H740" s="25"/>
      <c r="I740" s="25"/>
      <c r="J740" s="25"/>
      <c r="K740" s="25"/>
    </row>
    <row r="741" spans="1:11" ht="12.75">
      <c r="A741" s="25"/>
      <c r="B741" s="25"/>
      <c r="C741" s="25"/>
      <c r="D741" s="25"/>
      <c r="E741" s="25"/>
      <c r="F741" s="25"/>
      <c r="G741" s="25"/>
      <c r="H741" s="25"/>
      <c r="I741" s="25"/>
      <c r="J741" s="25"/>
      <c r="K741" s="25"/>
    </row>
    <row r="742" spans="1:11" ht="12.75">
      <c r="A742" s="25"/>
      <c r="B742" s="25"/>
      <c r="C742" s="25"/>
      <c r="D742" s="25"/>
      <c r="E742" s="25"/>
      <c r="F742" s="25"/>
      <c r="G742" s="25"/>
      <c r="H742" s="25"/>
      <c r="I742" s="25"/>
      <c r="J742" s="25"/>
      <c r="K742" s="25"/>
    </row>
    <row r="743" spans="1:11" ht="12.75">
      <c r="A743" s="25"/>
      <c r="B743" s="25"/>
      <c r="C743" s="25"/>
      <c r="D743" s="25"/>
      <c r="E743" s="25"/>
      <c r="F743" s="25"/>
      <c r="G743" s="25"/>
      <c r="H743" s="25"/>
      <c r="I743" s="25"/>
      <c r="J743" s="25"/>
      <c r="K743" s="25"/>
    </row>
    <row r="744" spans="1:11" ht="12.75">
      <c r="A744" s="25"/>
      <c r="B744" s="25"/>
      <c r="C744" s="25"/>
      <c r="D744" s="25"/>
      <c r="E744" s="25"/>
      <c r="F744" s="25"/>
      <c r="G744" s="25"/>
      <c r="H744" s="25"/>
      <c r="I744" s="25"/>
      <c r="J744" s="25"/>
      <c r="K744" s="25"/>
    </row>
    <row r="745" spans="1:11" ht="12.75">
      <c r="A745" s="25"/>
      <c r="B745" s="25"/>
      <c r="C745" s="25"/>
      <c r="D745" s="25"/>
      <c r="E745" s="25"/>
      <c r="F745" s="25"/>
      <c r="G745" s="25"/>
      <c r="H745" s="25"/>
      <c r="I745" s="25"/>
      <c r="J745" s="25"/>
      <c r="K745" s="25"/>
    </row>
    <row r="746" spans="1:11" ht="12.75">
      <c r="A746" s="25"/>
      <c r="B746" s="25"/>
      <c r="C746" s="25"/>
      <c r="D746" s="25"/>
      <c r="E746" s="25"/>
      <c r="F746" s="25"/>
      <c r="G746" s="25"/>
      <c r="H746" s="25"/>
      <c r="I746" s="25"/>
      <c r="J746" s="25"/>
      <c r="K746" s="25"/>
    </row>
    <row r="747" spans="1:11" ht="12.75">
      <c r="A747" s="25"/>
      <c r="B747" s="25"/>
      <c r="C747" s="25"/>
      <c r="D747" s="25"/>
      <c r="E747" s="25"/>
      <c r="F747" s="25"/>
      <c r="G747" s="25"/>
      <c r="H747" s="25"/>
      <c r="I747" s="25"/>
      <c r="J747" s="25"/>
      <c r="K747" s="25"/>
    </row>
    <row r="748" spans="1:11" ht="12.75">
      <c r="A748" s="25"/>
      <c r="B748" s="25"/>
      <c r="C748" s="25"/>
      <c r="D748" s="25"/>
      <c r="E748" s="25"/>
      <c r="F748" s="25"/>
      <c r="G748" s="25"/>
      <c r="H748" s="25"/>
      <c r="I748" s="25"/>
      <c r="J748" s="25"/>
      <c r="K748" s="25"/>
    </row>
    <row r="749" spans="1:11" ht="12.75">
      <c r="A749" s="25"/>
      <c r="B749" s="25"/>
      <c r="C749" s="25"/>
      <c r="D749" s="25"/>
      <c r="E749" s="25"/>
      <c r="F749" s="25"/>
      <c r="G749" s="25"/>
      <c r="H749" s="25"/>
      <c r="I749" s="25"/>
      <c r="J749" s="25"/>
      <c r="K749" s="25"/>
    </row>
    <row r="750" spans="1:11" ht="12.75">
      <c r="A750" s="25"/>
      <c r="B750" s="25"/>
      <c r="C750" s="25"/>
      <c r="D750" s="25"/>
      <c r="E750" s="25"/>
      <c r="F750" s="25"/>
      <c r="G750" s="25"/>
      <c r="H750" s="25"/>
      <c r="I750" s="25"/>
      <c r="J750" s="25"/>
      <c r="K750" s="25"/>
    </row>
    <row r="751" spans="1:11" ht="12.75">
      <c r="A751" s="25"/>
      <c r="B751" s="25"/>
      <c r="C751" s="25"/>
      <c r="D751" s="25"/>
      <c r="E751" s="25"/>
      <c r="F751" s="25"/>
      <c r="G751" s="25"/>
      <c r="H751" s="25"/>
      <c r="I751" s="25"/>
      <c r="J751" s="25"/>
      <c r="K751" s="25"/>
    </row>
    <row r="752" spans="1:11" ht="12.75">
      <c r="A752" s="25"/>
      <c r="B752" s="25"/>
      <c r="C752" s="25"/>
      <c r="D752" s="25"/>
      <c r="E752" s="25"/>
      <c r="F752" s="25"/>
      <c r="G752" s="25"/>
      <c r="H752" s="25"/>
      <c r="I752" s="25"/>
      <c r="J752" s="25"/>
      <c r="K752" s="25"/>
    </row>
    <row r="753" spans="1:11" ht="12.75">
      <c r="A753" s="25"/>
      <c r="B753" s="25"/>
      <c r="C753" s="25"/>
      <c r="D753" s="25"/>
      <c r="E753" s="25"/>
      <c r="F753" s="25"/>
      <c r="G753" s="25"/>
      <c r="H753" s="25"/>
      <c r="I753" s="25"/>
      <c r="J753" s="25"/>
      <c r="K753" s="25"/>
    </row>
    <row r="754" spans="1:11" ht="12.75">
      <c r="A754" s="25"/>
      <c r="B754" s="25"/>
      <c r="C754" s="25"/>
      <c r="D754" s="25"/>
      <c r="E754" s="25"/>
      <c r="F754" s="25"/>
      <c r="G754" s="25"/>
      <c r="H754" s="25"/>
      <c r="I754" s="25"/>
      <c r="J754" s="25"/>
      <c r="K754" s="25"/>
    </row>
    <row r="755" spans="1:11" ht="12.75">
      <c r="A755" s="25"/>
      <c r="B755" s="25"/>
      <c r="C755" s="25"/>
      <c r="D755" s="25"/>
      <c r="E755" s="25"/>
      <c r="F755" s="25"/>
      <c r="G755" s="25"/>
      <c r="H755" s="25"/>
      <c r="I755" s="25"/>
      <c r="J755" s="25"/>
      <c r="K755" s="25"/>
    </row>
    <row r="756" spans="1:11" ht="12.75">
      <c r="A756" s="25"/>
      <c r="B756" s="25"/>
      <c r="C756" s="25"/>
      <c r="D756" s="25"/>
      <c r="E756" s="25"/>
      <c r="F756" s="25"/>
      <c r="G756" s="25"/>
      <c r="H756" s="25"/>
      <c r="I756" s="25"/>
      <c r="J756" s="25"/>
      <c r="K756" s="25"/>
    </row>
    <row r="757" spans="1:11" ht="12.75">
      <c r="A757" s="25"/>
      <c r="B757" s="25"/>
      <c r="C757" s="25"/>
      <c r="D757" s="25"/>
      <c r="E757" s="25"/>
      <c r="F757" s="25"/>
      <c r="G757" s="25"/>
      <c r="H757" s="25"/>
      <c r="I757" s="25"/>
      <c r="J757" s="25"/>
      <c r="K757" s="25"/>
    </row>
    <row r="758" spans="1:11" ht="12.75">
      <c r="A758" s="25"/>
      <c r="B758" s="25"/>
      <c r="C758" s="25"/>
      <c r="D758" s="25"/>
      <c r="E758" s="25"/>
      <c r="F758" s="25"/>
      <c r="G758" s="25"/>
      <c r="H758" s="25"/>
      <c r="I758" s="25"/>
      <c r="J758" s="25"/>
      <c r="K758" s="25"/>
    </row>
    <row r="759" spans="1:11" ht="12.75">
      <c r="A759" s="25"/>
      <c r="B759" s="25"/>
      <c r="C759" s="25"/>
      <c r="D759" s="25"/>
      <c r="E759" s="25"/>
      <c r="F759" s="25"/>
      <c r="G759" s="25"/>
      <c r="H759" s="25"/>
      <c r="I759" s="25"/>
      <c r="J759" s="25"/>
      <c r="K759" s="25"/>
    </row>
    <row r="760" spans="1:11" ht="12.75">
      <c r="A760" s="25"/>
      <c r="B760" s="25"/>
      <c r="C760" s="25"/>
      <c r="D760" s="25"/>
      <c r="E760" s="25"/>
      <c r="F760" s="25"/>
      <c r="G760" s="25"/>
      <c r="H760" s="25"/>
      <c r="I760" s="25"/>
      <c r="J760" s="25"/>
      <c r="K760" s="25"/>
    </row>
    <row r="761" spans="1:11" ht="12.75">
      <c r="A761" s="25"/>
      <c r="B761" s="25"/>
      <c r="C761" s="25"/>
      <c r="D761" s="25"/>
      <c r="E761" s="25"/>
      <c r="F761" s="25"/>
      <c r="G761" s="25"/>
      <c r="H761" s="25"/>
      <c r="I761" s="25"/>
      <c r="J761" s="25"/>
      <c r="K761" s="25"/>
    </row>
    <row r="762" spans="1:11" ht="12.75">
      <c r="A762" s="25"/>
      <c r="B762" s="25"/>
      <c r="C762" s="25"/>
      <c r="D762" s="25"/>
      <c r="E762" s="25"/>
      <c r="F762" s="25"/>
      <c r="G762" s="25"/>
      <c r="H762" s="25"/>
      <c r="I762" s="25"/>
      <c r="J762" s="25"/>
      <c r="K762" s="25"/>
    </row>
    <row r="763" spans="1:11" ht="12.75">
      <c r="A763" s="25"/>
      <c r="B763" s="25"/>
      <c r="C763" s="25"/>
      <c r="D763" s="25"/>
      <c r="E763" s="25"/>
      <c r="F763" s="25"/>
      <c r="G763" s="25"/>
      <c r="H763" s="25"/>
      <c r="I763" s="25"/>
      <c r="J763" s="25"/>
      <c r="K763" s="25"/>
    </row>
    <row r="764" spans="1:11" ht="12.75">
      <c r="A764" s="25"/>
      <c r="B764" s="25"/>
      <c r="C764" s="25"/>
      <c r="D764" s="25"/>
      <c r="E764" s="25"/>
      <c r="F764" s="25"/>
      <c r="G764" s="25"/>
      <c r="H764" s="25"/>
      <c r="I764" s="25"/>
      <c r="J764" s="25"/>
      <c r="K764" s="25"/>
    </row>
    <row r="765" spans="1:11" ht="12.75">
      <c r="A765" s="25"/>
      <c r="B765" s="25"/>
      <c r="C765" s="25"/>
      <c r="D765" s="25"/>
      <c r="E765" s="25"/>
      <c r="F765" s="25"/>
      <c r="G765" s="25"/>
      <c r="H765" s="25"/>
      <c r="I765" s="25"/>
      <c r="J765" s="25"/>
      <c r="K765" s="25"/>
    </row>
    <row r="766" spans="1:11" ht="12.75">
      <c r="A766" s="25"/>
      <c r="B766" s="25"/>
      <c r="C766" s="25"/>
      <c r="D766" s="25"/>
      <c r="E766" s="25"/>
      <c r="F766" s="25"/>
      <c r="G766" s="25"/>
      <c r="H766" s="25"/>
      <c r="I766" s="25"/>
      <c r="J766" s="25"/>
      <c r="K766" s="25"/>
    </row>
    <row r="767" spans="1:11" ht="12.75">
      <c r="A767" s="25"/>
      <c r="B767" s="25"/>
      <c r="C767" s="25"/>
      <c r="D767" s="25"/>
      <c r="E767" s="25"/>
      <c r="F767" s="25"/>
      <c r="G767" s="25"/>
      <c r="H767" s="25"/>
      <c r="I767" s="25"/>
      <c r="J767" s="25"/>
      <c r="K767" s="25"/>
    </row>
    <row r="768" spans="1:11" ht="12.75">
      <c r="A768" s="25"/>
      <c r="B768" s="25"/>
      <c r="C768" s="25"/>
      <c r="D768" s="25"/>
      <c r="E768" s="25"/>
      <c r="F768" s="25"/>
      <c r="G768" s="25"/>
      <c r="H768" s="25"/>
      <c r="I768" s="25"/>
      <c r="J768" s="25"/>
      <c r="K768" s="25"/>
    </row>
    <row r="769" spans="1:11" ht="12.75">
      <c r="A769" s="25"/>
      <c r="B769" s="25"/>
      <c r="C769" s="25"/>
      <c r="D769" s="25"/>
      <c r="E769" s="25"/>
      <c r="F769" s="25"/>
      <c r="G769" s="25"/>
      <c r="H769" s="25"/>
      <c r="I769" s="25"/>
      <c r="J769" s="25"/>
      <c r="K769" s="25"/>
    </row>
    <row r="770" spans="1:11" ht="12.75">
      <c r="A770" s="25"/>
      <c r="B770" s="25"/>
      <c r="C770" s="25"/>
      <c r="D770" s="25"/>
      <c r="E770" s="25"/>
      <c r="F770" s="25"/>
      <c r="G770" s="25"/>
      <c r="H770" s="25"/>
      <c r="I770" s="25"/>
      <c r="J770" s="25"/>
      <c r="K770" s="25"/>
    </row>
    <row r="771" spans="1:11" ht="12.75">
      <c r="A771" s="25"/>
      <c r="B771" s="25"/>
      <c r="C771" s="25"/>
      <c r="D771" s="25"/>
      <c r="E771" s="25"/>
      <c r="F771" s="25"/>
      <c r="G771" s="25"/>
      <c r="H771" s="25"/>
      <c r="I771" s="25"/>
      <c r="J771" s="25"/>
      <c r="K771" s="25"/>
    </row>
    <row r="772" spans="1:11" ht="12.75">
      <c r="A772" s="25"/>
      <c r="B772" s="25"/>
      <c r="C772" s="25"/>
      <c r="D772" s="25"/>
      <c r="E772" s="25"/>
      <c r="F772" s="25"/>
      <c r="G772" s="25"/>
      <c r="H772" s="25"/>
      <c r="I772" s="25"/>
      <c r="J772" s="25"/>
      <c r="K772" s="25"/>
    </row>
    <row r="773" spans="1:11" ht="12.75">
      <c r="A773" s="25"/>
      <c r="B773" s="25"/>
      <c r="C773" s="25"/>
      <c r="D773" s="25"/>
      <c r="E773" s="25"/>
      <c r="F773" s="25"/>
      <c r="G773" s="25"/>
      <c r="H773" s="25"/>
      <c r="I773" s="25"/>
      <c r="J773" s="25"/>
      <c r="K773" s="25"/>
    </row>
    <row r="774" spans="1:11" ht="12.75">
      <c r="A774" s="25"/>
      <c r="B774" s="25"/>
      <c r="C774" s="25"/>
      <c r="D774" s="25"/>
      <c r="E774" s="25"/>
      <c r="F774" s="25"/>
      <c r="G774" s="25"/>
      <c r="H774" s="25"/>
      <c r="I774" s="25"/>
      <c r="J774" s="25"/>
      <c r="K774" s="25"/>
    </row>
    <row r="775" spans="1:11" ht="12.75">
      <c r="A775" s="25"/>
      <c r="B775" s="25"/>
      <c r="C775" s="25"/>
      <c r="D775" s="25"/>
      <c r="E775" s="25"/>
      <c r="F775" s="25"/>
      <c r="G775" s="25"/>
      <c r="H775" s="25"/>
      <c r="I775" s="25"/>
      <c r="J775" s="25"/>
      <c r="K775" s="25"/>
    </row>
    <row r="776" spans="1:11" ht="12.75">
      <c r="A776" s="25"/>
      <c r="B776" s="25"/>
      <c r="C776" s="25"/>
      <c r="D776" s="25"/>
      <c r="E776" s="25"/>
      <c r="F776" s="25"/>
      <c r="G776" s="25"/>
      <c r="H776" s="25"/>
      <c r="I776" s="25"/>
      <c r="J776" s="25"/>
      <c r="K776" s="25"/>
    </row>
    <row r="777" spans="1:11" ht="12.75">
      <c r="A777" s="25"/>
      <c r="B777" s="25"/>
      <c r="C777" s="25"/>
      <c r="D777" s="25"/>
      <c r="E777" s="25"/>
      <c r="F777" s="25"/>
      <c r="G777" s="25"/>
      <c r="H777" s="25"/>
      <c r="I777" s="25"/>
      <c r="J777" s="25"/>
      <c r="K777" s="25"/>
    </row>
    <row r="778" spans="1:11" ht="12.75">
      <c r="A778" s="25"/>
      <c r="B778" s="25"/>
      <c r="C778" s="25"/>
      <c r="D778" s="25"/>
      <c r="E778" s="25"/>
      <c r="F778" s="25"/>
      <c r="G778" s="25"/>
      <c r="H778" s="25"/>
      <c r="I778" s="25"/>
      <c r="J778" s="25"/>
      <c r="K778" s="25"/>
    </row>
    <row r="779" spans="1:11" ht="12.75">
      <c r="A779" s="25"/>
      <c r="B779" s="25"/>
      <c r="C779" s="25"/>
      <c r="D779" s="25"/>
      <c r="E779" s="25"/>
      <c r="F779" s="25"/>
      <c r="G779" s="25"/>
      <c r="H779" s="25"/>
      <c r="I779" s="25"/>
      <c r="J779" s="25"/>
      <c r="K779" s="25"/>
    </row>
    <row r="780" spans="1:11" ht="12.75">
      <c r="A780" s="25"/>
      <c r="B780" s="25"/>
      <c r="C780" s="25"/>
      <c r="D780" s="25"/>
      <c r="E780" s="25"/>
      <c r="F780" s="25"/>
      <c r="G780" s="25"/>
      <c r="H780" s="25"/>
      <c r="I780" s="25"/>
      <c r="J780" s="25"/>
      <c r="K780" s="25"/>
    </row>
    <row r="781" spans="1:11" ht="12.75">
      <c r="A781" s="25"/>
      <c r="B781" s="25"/>
      <c r="C781" s="25"/>
      <c r="D781" s="25"/>
      <c r="E781" s="25"/>
      <c r="F781" s="25"/>
      <c r="G781" s="25"/>
      <c r="H781" s="25"/>
      <c r="I781" s="25"/>
      <c r="J781" s="25"/>
      <c r="K781" s="25"/>
    </row>
    <row r="782" spans="1:11" ht="12.75">
      <c r="A782" s="25"/>
      <c r="B782" s="25"/>
      <c r="C782" s="25"/>
      <c r="D782" s="25"/>
      <c r="E782" s="25"/>
      <c r="F782" s="25"/>
      <c r="G782" s="25"/>
      <c r="H782" s="25"/>
      <c r="I782" s="25"/>
      <c r="J782" s="25"/>
      <c r="K782" s="25"/>
    </row>
    <row r="783" spans="1:11" ht="12.75">
      <c r="A783" s="25"/>
      <c r="B783" s="25"/>
      <c r="C783" s="25"/>
      <c r="D783" s="25"/>
      <c r="E783" s="25"/>
      <c r="F783" s="25"/>
      <c r="G783" s="25"/>
      <c r="H783" s="25"/>
      <c r="I783" s="25"/>
      <c r="J783" s="25"/>
      <c r="K783" s="25"/>
    </row>
    <row r="784" spans="1:11" ht="12.75">
      <c r="A784" s="25"/>
      <c r="B784" s="25"/>
      <c r="C784" s="25"/>
      <c r="D784" s="25"/>
      <c r="E784" s="25"/>
      <c r="F784" s="25"/>
      <c r="G784" s="25"/>
      <c r="H784" s="25"/>
      <c r="I784" s="25"/>
      <c r="J784" s="25"/>
      <c r="K784" s="25"/>
    </row>
    <row r="785" spans="1:11" ht="12.75">
      <c r="A785" s="25"/>
      <c r="B785" s="25"/>
      <c r="C785" s="25"/>
      <c r="D785" s="25"/>
      <c r="E785" s="25"/>
      <c r="F785" s="25"/>
      <c r="G785" s="25"/>
      <c r="H785" s="25"/>
      <c r="I785" s="25"/>
      <c r="J785" s="25"/>
      <c r="K785" s="25"/>
    </row>
    <row r="786" spans="1:11" ht="12.75">
      <c r="A786" s="25"/>
      <c r="B786" s="25"/>
      <c r="C786" s="25"/>
      <c r="D786" s="25"/>
      <c r="E786" s="25"/>
      <c r="F786" s="25"/>
      <c r="G786" s="25"/>
      <c r="H786" s="25"/>
      <c r="I786" s="25"/>
      <c r="J786" s="25"/>
      <c r="K786" s="25"/>
    </row>
    <row r="787" spans="1:11" ht="12.75">
      <c r="A787" s="25"/>
      <c r="B787" s="25"/>
      <c r="C787" s="25"/>
      <c r="D787" s="25"/>
      <c r="E787" s="25"/>
      <c r="F787" s="25"/>
      <c r="G787" s="25"/>
      <c r="H787" s="25"/>
      <c r="I787" s="25"/>
      <c r="J787" s="25"/>
      <c r="K787" s="25"/>
    </row>
    <row r="788" spans="1:11" ht="12.75">
      <c r="A788" s="25"/>
      <c r="B788" s="25"/>
      <c r="C788" s="25"/>
      <c r="D788" s="25"/>
      <c r="E788" s="25"/>
      <c r="F788" s="25"/>
      <c r="G788" s="25"/>
      <c r="H788" s="25"/>
      <c r="I788" s="25"/>
      <c r="J788" s="25"/>
      <c r="K788" s="25"/>
    </row>
    <row r="789" spans="1:11" ht="12.75">
      <c r="A789" s="25"/>
      <c r="B789" s="25"/>
      <c r="C789" s="25"/>
      <c r="D789" s="25"/>
      <c r="E789" s="25"/>
      <c r="F789" s="25"/>
      <c r="G789" s="25"/>
      <c r="H789" s="25"/>
      <c r="I789" s="25"/>
      <c r="J789" s="25"/>
      <c r="K789" s="25"/>
    </row>
    <row r="790" spans="1:11" ht="12.75">
      <c r="A790" s="25"/>
      <c r="B790" s="25"/>
      <c r="C790" s="25"/>
      <c r="D790" s="25"/>
      <c r="E790" s="25"/>
      <c r="F790" s="25"/>
      <c r="G790" s="25"/>
      <c r="H790" s="25"/>
      <c r="I790" s="25"/>
      <c r="J790" s="25"/>
      <c r="K790" s="25"/>
    </row>
    <row r="791" spans="1:11" ht="12.75">
      <c r="A791" s="25"/>
      <c r="B791" s="25"/>
      <c r="C791" s="25"/>
      <c r="D791" s="25"/>
      <c r="E791" s="25"/>
      <c r="F791" s="25"/>
      <c r="G791" s="25"/>
      <c r="H791" s="25"/>
      <c r="I791" s="25"/>
      <c r="J791" s="25"/>
      <c r="K791" s="25"/>
    </row>
    <row r="792" spans="1:11" ht="12.75">
      <c r="A792" s="25"/>
      <c r="B792" s="25"/>
      <c r="C792" s="25"/>
      <c r="D792" s="25"/>
      <c r="E792" s="25"/>
      <c r="F792" s="25"/>
      <c r="G792" s="25"/>
      <c r="H792" s="25"/>
      <c r="I792" s="25"/>
      <c r="J792" s="25"/>
      <c r="K792" s="25"/>
    </row>
    <row r="793" spans="1:11" ht="12.75">
      <c r="A793" s="25"/>
      <c r="B793" s="25"/>
      <c r="C793" s="25"/>
      <c r="D793" s="25"/>
      <c r="E793" s="25"/>
      <c r="F793" s="25"/>
      <c r="G793" s="25"/>
      <c r="H793" s="25"/>
      <c r="I793" s="25"/>
      <c r="J793" s="25"/>
      <c r="K793" s="25"/>
    </row>
    <row r="794" spans="1:11" ht="12.75">
      <c r="A794" s="25"/>
      <c r="B794" s="25"/>
      <c r="C794" s="25"/>
      <c r="D794" s="25"/>
      <c r="E794" s="25"/>
      <c r="F794" s="25"/>
      <c r="G794" s="25"/>
      <c r="H794" s="25"/>
      <c r="I794" s="25"/>
      <c r="J794" s="25"/>
      <c r="K794" s="25"/>
    </row>
    <row r="795" spans="1:11" ht="12.75">
      <c r="A795" s="25"/>
      <c r="B795" s="25"/>
      <c r="C795" s="25"/>
      <c r="D795" s="25"/>
      <c r="E795" s="25"/>
      <c r="F795" s="25"/>
      <c r="G795" s="25"/>
      <c r="H795" s="25"/>
      <c r="I795" s="25"/>
      <c r="J795" s="25"/>
      <c r="K795" s="25"/>
    </row>
    <row r="796" spans="1:11" ht="12.75">
      <c r="A796" s="25"/>
      <c r="B796" s="25"/>
      <c r="C796" s="25"/>
      <c r="D796" s="25"/>
      <c r="E796" s="25"/>
      <c r="F796" s="25"/>
      <c r="G796" s="25"/>
      <c r="H796" s="25"/>
      <c r="I796" s="25"/>
      <c r="J796" s="25"/>
      <c r="K796" s="25"/>
    </row>
    <row r="797" spans="1:11" ht="12.75">
      <c r="A797" s="25"/>
      <c r="B797" s="25"/>
      <c r="C797" s="25"/>
      <c r="D797" s="25"/>
      <c r="E797" s="25"/>
      <c r="F797" s="25"/>
      <c r="G797" s="25"/>
      <c r="H797" s="25"/>
      <c r="I797" s="25"/>
      <c r="J797" s="25"/>
      <c r="K797" s="25"/>
    </row>
    <row r="798" spans="1:11" ht="12.75">
      <c r="A798" s="25"/>
      <c r="B798" s="25"/>
      <c r="C798" s="25"/>
      <c r="D798" s="25"/>
      <c r="E798" s="25"/>
      <c r="F798" s="25"/>
      <c r="G798" s="25"/>
      <c r="H798" s="25"/>
      <c r="I798" s="25"/>
      <c r="J798" s="25"/>
      <c r="K798" s="25"/>
    </row>
    <row r="799" spans="1:11" ht="12.75">
      <c r="A799" s="25"/>
      <c r="B799" s="25"/>
      <c r="C799" s="25"/>
      <c r="D799" s="25"/>
      <c r="E799" s="25"/>
      <c r="F799" s="25"/>
      <c r="G799" s="25"/>
      <c r="H799" s="25"/>
      <c r="I799" s="25"/>
      <c r="J799" s="25"/>
      <c r="K799" s="25"/>
    </row>
    <row r="800" spans="1:11" ht="12.75">
      <c r="A800" s="25"/>
      <c r="B800" s="25"/>
      <c r="C800" s="25"/>
      <c r="D800" s="25"/>
      <c r="E800" s="25"/>
      <c r="F800" s="25"/>
      <c r="G800" s="25"/>
      <c r="H800" s="25"/>
      <c r="I800" s="25"/>
      <c r="J800" s="25"/>
      <c r="K800" s="25"/>
    </row>
    <row r="801" spans="1:11" ht="12.75">
      <c r="A801" s="25"/>
      <c r="B801" s="25"/>
      <c r="C801" s="25"/>
      <c r="D801" s="25"/>
      <c r="E801" s="25"/>
      <c r="F801" s="25"/>
      <c r="G801" s="25"/>
      <c r="H801" s="25"/>
      <c r="I801" s="25"/>
      <c r="J801" s="25"/>
      <c r="K801" s="25"/>
    </row>
    <row r="802" spans="1:11" ht="12.75">
      <c r="A802" s="25"/>
      <c r="B802" s="25"/>
      <c r="C802" s="25"/>
      <c r="D802" s="25"/>
      <c r="E802" s="25"/>
      <c r="F802" s="25"/>
      <c r="G802" s="25"/>
      <c r="H802" s="25"/>
      <c r="I802" s="25"/>
      <c r="J802" s="25"/>
      <c r="K802" s="25"/>
    </row>
    <row r="803" spans="1:11" ht="12.75">
      <c r="A803" s="25"/>
      <c r="B803" s="25"/>
      <c r="C803" s="25"/>
      <c r="D803" s="25"/>
      <c r="E803" s="25"/>
      <c r="F803" s="25"/>
      <c r="G803" s="25"/>
      <c r="H803" s="25"/>
      <c r="I803" s="25"/>
      <c r="J803" s="25"/>
      <c r="K803" s="25"/>
    </row>
    <row r="804" spans="1:11" ht="12.75">
      <c r="A804" s="25"/>
      <c r="B804" s="25"/>
      <c r="C804" s="25"/>
      <c r="D804" s="25"/>
      <c r="E804" s="25"/>
      <c r="F804" s="25"/>
      <c r="G804" s="25"/>
      <c r="H804" s="25"/>
      <c r="I804" s="25"/>
      <c r="J804" s="25"/>
      <c r="K804" s="25"/>
    </row>
    <row r="805" spans="1:11" ht="12.75">
      <c r="A805" s="25"/>
      <c r="B805" s="25"/>
      <c r="C805" s="25"/>
      <c r="D805" s="25"/>
      <c r="E805" s="25"/>
      <c r="F805" s="25"/>
      <c r="G805" s="25"/>
      <c r="H805" s="25"/>
      <c r="I805" s="25"/>
      <c r="J805" s="25"/>
      <c r="K805" s="25"/>
    </row>
    <row r="806" spans="1:11" ht="12.75">
      <c r="A806" s="25"/>
      <c r="B806" s="25"/>
      <c r="C806" s="25"/>
      <c r="D806" s="25"/>
      <c r="E806" s="25"/>
      <c r="F806" s="25"/>
      <c r="G806" s="25"/>
      <c r="H806" s="25"/>
      <c r="I806" s="25"/>
      <c r="J806" s="25"/>
      <c r="K806" s="25"/>
    </row>
    <row r="807" spans="1:11" ht="12.75">
      <c r="A807" s="25"/>
      <c r="B807" s="25"/>
      <c r="C807" s="25"/>
      <c r="D807" s="25"/>
      <c r="E807" s="25"/>
      <c r="F807" s="25"/>
      <c r="G807" s="25"/>
      <c r="H807" s="25"/>
      <c r="I807" s="25"/>
      <c r="J807" s="25"/>
      <c r="K807" s="25"/>
    </row>
    <row r="808" spans="1:11" ht="12.75">
      <c r="A808" s="25"/>
      <c r="B808" s="25"/>
      <c r="C808" s="25"/>
      <c r="D808" s="25"/>
      <c r="E808" s="25"/>
      <c r="F808" s="25"/>
      <c r="G808" s="25"/>
      <c r="H808" s="25"/>
      <c r="I808" s="25"/>
      <c r="J808" s="25"/>
      <c r="K808" s="25"/>
    </row>
    <row r="809" spans="1:11" ht="12.75">
      <c r="A809" s="25"/>
      <c r="B809" s="25"/>
      <c r="C809" s="25"/>
      <c r="D809" s="25"/>
      <c r="E809" s="25"/>
      <c r="F809" s="25"/>
      <c r="G809" s="25"/>
      <c r="H809" s="25"/>
      <c r="I809" s="25"/>
      <c r="J809" s="25"/>
      <c r="K809" s="25"/>
    </row>
    <row r="810" spans="1:11" ht="12.75">
      <c r="A810" s="25"/>
      <c r="B810" s="25"/>
      <c r="C810" s="25"/>
      <c r="D810" s="25"/>
      <c r="E810" s="25"/>
      <c r="F810" s="25"/>
      <c r="G810" s="25"/>
      <c r="H810" s="25"/>
      <c r="I810" s="25"/>
      <c r="J810" s="25"/>
      <c r="K810" s="25"/>
    </row>
    <row r="811" spans="1:11" ht="12.75">
      <c r="A811" s="25"/>
      <c r="B811" s="25"/>
      <c r="C811" s="25"/>
      <c r="D811" s="25"/>
      <c r="E811" s="25"/>
      <c r="F811" s="25"/>
      <c r="G811" s="25"/>
      <c r="H811" s="25"/>
      <c r="I811" s="25"/>
      <c r="J811" s="25"/>
      <c r="K811" s="25"/>
    </row>
    <row r="812" spans="1:11" ht="12.75">
      <c r="A812" s="25"/>
      <c r="B812" s="25"/>
      <c r="C812" s="25"/>
      <c r="D812" s="25"/>
      <c r="E812" s="25"/>
      <c r="F812" s="25"/>
      <c r="G812" s="25"/>
      <c r="H812" s="25"/>
      <c r="I812" s="25"/>
      <c r="J812" s="25"/>
      <c r="K812" s="25"/>
    </row>
    <row r="813" spans="1:11" ht="12.75">
      <c r="A813" s="25"/>
      <c r="B813" s="25"/>
      <c r="C813" s="25"/>
      <c r="D813" s="25"/>
      <c r="E813" s="25"/>
      <c r="F813" s="25"/>
      <c r="G813" s="25"/>
      <c r="H813" s="25"/>
      <c r="I813" s="25"/>
      <c r="J813" s="25"/>
      <c r="K813" s="25"/>
    </row>
    <row r="814" spans="1:11" ht="12.75">
      <c r="A814" s="25"/>
      <c r="B814" s="25"/>
      <c r="C814" s="25"/>
      <c r="D814" s="25"/>
      <c r="E814" s="25"/>
      <c r="F814" s="25"/>
      <c r="G814" s="25"/>
      <c r="H814" s="25"/>
      <c r="I814" s="25"/>
      <c r="J814" s="25"/>
      <c r="K814" s="25"/>
    </row>
    <row r="815" spans="1:11" ht="12.75">
      <c r="A815" s="25"/>
      <c r="B815" s="25"/>
      <c r="C815" s="25"/>
      <c r="D815" s="25"/>
      <c r="E815" s="25"/>
      <c r="F815" s="25"/>
      <c r="G815" s="25"/>
      <c r="H815" s="25"/>
      <c r="I815" s="25"/>
      <c r="J815" s="25"/>
      <c r="K815" s="25"/>
    </row>
    <row r="816" spans="1:11" ht="12.75">
      <c r="A816" s="25"/>
      <c r="B816" s="25"/>
      <c r="C816" s="25"/>
      <c r="D816" s="25"/>
      <c r="E816" s="25"/>
      <c r="F816" s="25"/>
      <c r="G816" s="25"/>
      <c r="H816" s="25"/>
      <c r="I816" s="25"/>
      <c r="J816" s="25"/>
      <c r="K816" s="25"/>
    </row>
    <row r="817" spans="1:11" ht="12.75">
      <c r="A817" s="25"/>
      <c r="B817" s="25"/>
      <c r="C817" s="25"/>
      <c r="D817" s="25"/>
      <c r="E817" s="25"/>
      <c r="F817" s="25"/>
      <c r="G817" s="25"/>
      <c r="H817" s="25"/>
      <c r="I817" s="25"/>
      <c r="J817" s="25"/>
      <c r="K817" s="25"/>
    </row>
    <row r="818" spans="1:11" ht="12.75">
      <c r="A818" s="25"/>
      <c r="B818" s="25"/>
      <c r="C818" s="25"/>
      <c r="D818" s="25"/>
      <c r="E818" s="25"/>
      <c r="F818" s="25"/>
      <c r="G818" s="25"/>
      <c r="H818" s="25"/>
      <c r="I818" s="25"/>
      <c r="J818" s="25"/>
      <c r="K818" s="25"/>
    </row>
    <row r="819" spans="1:11" ht="12.75">
      <c r="A819" s="25"/>
      <c r="B819" s="25"/>
      <c r="C819" s="25"/>
      <c r="D819" s="25"/>
      <c r="E819" s="25"/>
      <c r="F819" s="25"/>
      <c r="G819" s="25"/>
      <c r="H819" s="25"/>
      <c r="I819" s="25"/>
      <c r="J819" s="25"/>
      <c r="K819" s="25"/>
    </row>
    <row r="820" spans="1:11" ht="12.75">
      <c r="A820" s="25"/>
      <c r="B820" s="25"/>
      <c r="C820" s="25"/>
      <c r="D820" s="25"/>
      <c r="E820" s="25"/>
      <c r="F820" s="25"/>
      <c r="G820" s="25"/>
      <c r="H820" s="25"/>
      <c r="I820" s="25"/>
      <c r="J820" s="25"/>
      <c r="K820" s="25"/>
    </row>
    <row r="821" spans="1:11" ht="12.75">
      <c r="A821" s="25"/>
      <c r="B821" s="25"/>
      <c r="C821" s="25"/>
      <c r="D821" s="25"/>
      <c r="E821" s="25"/>
      <c r="F821" s="25"/>
      <c r="G821" s="25"/>
      <c r="H821" s="25"/>
      <c r="I821" s="25"/>
      <c r="J821" s="25"/>
      <c r="K821" s="25"/>
    </row>
    <row r="822" spans="1:11" ht="12.75">
      <c r="A822" s="25"/>
      <c r="B822" s="25"/>
      <c r="C822" s="25"/>
      <c r="D822" s="25"/>
      <c r="E822" s="25"/>
      <c r="F822" s="25"/>
      <c r="G822" s="25"/>
      <c r="H822" s="25"/>
      <c r="I822" s="25"/>
      <c r="J822" s="25"/>
      <c r="K822" s="25"/>
    </row>
    <row r="823" spans="1:11" ht="12.75">
      <c r="A823" s="25"/>
      <c r="B823" s="25"/>
      <c r="C823" s="25"/>
      <c r="D823" s="25"/>
      <c r="E823" s="25"/>
      <c r="F823" s="25"/>
      <c r="G823" s="25"/>
      <c r="H823" s="25"/>
      <c r="I823" s="25"/>
      <c r="J823" s="25"/>
      <c r="K823" s="25"/>
    </row>
    <row r="824" spans="1:11" ht="12.75">
      <c r="A824" s="25"/>
      <c r="B824" s="25"/>
      <c r="C824" s="25"/>
      <c r="D824" s="25"/>
      <c r="E824" s="25"/>
      <c r="F824" s="25"/>
      <c r="G824" s="25"/>
      <c r="H824" s="25"/>
      <c r="I824" s="25"/>
      <c r="J824" s="25"/>
      <c r="K824" s="25"/>
    </row>
    <row r="825" spans="1:11" ht="12.75">
      <c r="A825" s="25"/>
      <c r="B825" s="25"/>
      <c r="C825" s="25"/>
      <c r="D825" s="25"/>
      <c r="E825" s="25"/>
      <c r="F825" s="25"/>
      <c r="G825" s="25"/>
      <c r="H825" s="25"/>
      <c r="I825" s="25"/>
      <c r="J825" s="25"/>
      <c r="K825" s="25"/>
    </row>
    <row r="826" spans="1:11" ht="12.75">
      <c r="A826" s="25"/>
      <c r="B826" s="25"/>
      <c r="C826" s="25"/>
      <c r="D826" s="25"/>
      <c r="E826" s="25"/>
      <c r="F826" s="25"/>
      <c r="G826" s="25"/>
      <c r="H826" s="25"/>
      <c r="I826" s="25"/>
      <c r="J826" s="25"/>
      <c r="K826" s="25"/>
    </row>
    <row r="827" spans="1:11" ht="12.75">
      <c r="A827" s="25"/>
      <c r="B827" s="25"/>
      <c r="C827" s="25"/>
      <c r="D827" s="25"/>
      <c r="E827" s="25"/>
      <c r="F827" s="25"/>
      <c r="G827" s="25"/>
      <c r="H827" s="25"/>
      <c r="I827" s="25"/>
      <c r="J827" s="25"/>
      <c r="K827" s="25"/>
    </row>
    <row r="828" spans="1:11" ht="12.75">
      <c r="A828" s="25"/>
      <c r="B828" s="25"/>
      <c r="C828" s="25"/>
      <c r="D828" s="25"/>
      <c r="E828" s="25"/>
      <c r="F828" s="25"/>
      <c r="G828" s="25"/>
      <c r="H828" s="25"/>
      <c r="I828" s="25"/>
      <c r="J828" s="25"/>
      <c r="K828" s="25"/>
    </row>
    <row r="829" spans="1:11" ht="12.75">
      <c r="A829" s="25"/>
      <c r="B829" s="25"/>
      <c r="C829" s="25"/>
      <c r="D829" s="25"/>
      <c r="E829" s="25"/>
      <c r="F829" s="25"/>
      <c r="G829" s="25"/>
      <c r="H829" s="25"/>
      <c r="I829" s="25"/>
      <c r="J829" s="25"/>
      <c r="K829" s="25"/>
    </row>
    <row r="830" spans="1:11" ht="12.75">
      <c r="A830" s="25"/>
      <c r="B830" s="25"/>
      <c r="C830" s="25"/>
      <c r="D830" s="25"/>
      <c r="E830" s="25"/>
      <c r="F830" s="25"/>
      <c r="G830" s="25"/>
      <c r="H830" s="25"/>
      <c r="I830" s="25"/>
      <c r="J830" s="25"/>
      <c r="K830" s="25"/>
    </row>
    <row r="831" spans="1:11" ht="12.75">
      <c r="A831" s="25"/>
      <c r="B831" s="25"/>
      <c r="C831" s="25"/>
      <c r="D831" s="25"/>
      <c r="E831" s="25"/>
      <c r="F831" s="25"/>
      <c r="G831" s="25"/>
      <c r="H831" s="25"/>
      <c r="I831" s="25"/>
      <c r="J831" s="25"/>
      <c r="K831" s="25"/>
    </row>
    <row r="832" spans="1:11" ht="12.75">
      <c r="A832" s="25"/>
      <c r="B832" s="25"/>
      <c r="C832" s="25"/>
      <c r="D832" s="25"/>
      <c r="E832" s="25"/>
      <c r="F832" s="25"/>
      <c r="G832" s="25"/>
      <c r="H832" s="25"/>
      <c r="I832" s="25"/>
      <c r="J832" s="25"/>
      <c r="K832" s="25"/>
    </row>
    <row r="833" spans="1:11" ht="12.75">
      <c r="A833" s="25"/>
      <c r="B833" s="25"/>
      <c r="C833" s="25"/>
      <c r="D833" s="25"/>
      <c r="E833" s="25"/>
      <c r="F833" s="25"/>
      <c r="G833" s="25"/>
      <c r="H833" s="25"/>
      <c r="I833" s="25"/>
      <c r="J833" s="25"/>
      <c r="K833" s="25"/>
    </row>
    <row r="834" spans="1:11" ht="12.75">
      <c r="A834" s="25"/>
      <c r="B834" s="25"/>
      <c r="C834" s="25"/>
      <c r="D834" s="25"/>
      <c r="E834" s="25"/>
      <c r="F834" s="25"/>
      <c r="G834" s="25"/>
      <c r="H834" s="25"/>
      <c r="I834" s="25"/>
      <c r="J834" s="25"/>
      <c r="K834" s="25"/>
    </row>
    <row r="835" spans="1:11" ht="12.75">
      <c r="A835" s="25"/>
      <c r="B835" s="25"/>
      <c r="C835" s="25"/>
      <c r="D835" s="25"/>
      <c r="E835" s="25"/>
      <c r="F835" s="25"/>
      <c r="G835" s="25"/>
      <c r="H835" s="25"/>
      <c r="I835" s="25"/>
      <c r="J835" s="25"/>
      <c r="K835" s="25"/>
    </row>
    <row r="836" spans="1:11" ht="12.75">
      <c r="A836" s="25"/>
      <c r="B836" s="25"/>
      <c r="C836" s="25"/>
      <c r="D836" s="25"/>
      <c r="E836" s="25"/>
      <c r="F836" s="25"/>
      <c r="G836" s="25"/>
      <c r="H836" s="25"/>
      <c r="I836" s="25"/>
      <c r="J836" s="25"/>
      <c r="K836" s="25"/>
    </row>
    <row r="837" spans="1:11" ht="12.75">
      <c r="A837" s="25"/>
      <c r="B837" s="25"/>
      <c r="C837" s="25"/>
      <c r="D837" s="25"/>
      <c r="E837" s="25"/>
      <c r="F837" s="25"/>
      <c r="G837" s="25"/>
      <c r="H837" s="25"/>
      <c r="I837" s="25"/>
      <c r="J837" s="25"/>
      <c r="K837" s="25"/>
    </row>
    <row r="838" spans="1:11" ht="12.75">
      <c r="A838" s="25"/>
      <c r="B838" s="25"/>
      <c r="C838" s="25"/>
      <c r="D838" s="25"/>
      <c r="E838" s="25"/>
      <c r="F838" s="25"/>
      <c r="G838" s="25"/>
      <c r="H838" s="25"/>
      <c r="I838" s="25"/>
      <c r="J838" s="25"/>
      <c r="K838" s="25"/>
    </row>
    <row r="839" spans="1:11" ht="12.75">
      <c r="A839" s="25"/>
      <c r="B839" s="25"/>
      <c r="C839" s="25"/>
      <c r="D839" s="25"/>
      <c r="E839" s="25"/>
      <c r="F839" s="25"/>
      <c r="G839" s="25"/>
      <c r="H839" s="25"/>
      <c r="I839" s="25"/>
      <c r="J839" s="25"/>
      <c r="K839" s="25"/>
    </row>
    <row r="840" spans="1:11" ht="12.75">
      <c r="A840" s="25"/>
      <c r="B840" s="25"/>
      <c r="C840" s="25"/>
      <c r="D840" s="25"/>
      <c r="E840" s="25"/>
      <c r="F840" s="25"/>
      <c r="G840" s="25"/>
      <c r="H840" s="25"/>
      <c r="I840" s="25"/>
      <c r="J840" s="25"/>
      <c r="K840" s="25"/>
    </row>
    <row r="841" spans="1:11" ht="12.75">
      <c r="A841" s="25"/>
      <c r="B841" s="25"/>
      <c r="C841" s="25"/>
      <c r="D841" s="25"/>
      <c r="E841" s="25"/>
      <c r="F841" s="25"/>
      <c r="G841" s="25"/>
      <c r="H841" s="25"/>
      <c r="I841" s="25"/>
      <c r="J841" s="25"/>
      <c r="K841" s="25"/>
    </row>
    <row r="842" spans="1:11" ht="12.75">
      <c r="A842" s="25"/>
      <c r="B842" s="25"/>
      <c r="C842" s="25"/>
      <c r="D842" s="25"/>
      <c r="E842" s="25"/>
      <c r="F842" s="25"/>
      <c r="G842" s="25"/>
      <c r="H842" s="25"/>
      <c r="I842" s="25"/>
      <c r="J842" s="25"/>
      <c r="K842" s="25"/>
    </row>
    <row r="843" spans="1:11" ht="12.75">
      <c r="A843" s="25"/>
      <c r="B843" s="25"/>
      <c r="C843" s="25"/>
      <c r="D843" s="25"/>
      <c r="E843" s="25"/>
      <c r="F843" s="25"/>
      <c r="G843" s="25"/>
      <c r="H843" s="25"/>
      <c r="I843" s="25"/>
      <c r="J843" s="25"/>
      <c r="K843" s="25"/>
    </row>
    <row r="844" spans="1:11" ht="12.75">
      <c r="A844" s="25"/>
      <c r="B844" s="25"/>
      <c r="C844" s="25"/>
      <c r="D844" s="25"/>
      <c r="E844" s="25"/>
      <c r="F844" s="25"/>
      <c r="G844" s="25"/>
      <c r="H844" s="25"/>
      <c r="I844" s="25"/>
      <c r="J844" s="25"/>
      <c r="K844" s="25"/>
    </row>
    <row r="845" spans="1:11" ht="12.75">
      <c r="A845" s="25"/>
      <c r="B845" s="25"/>
      <c r="C845" s="25"/>
      <c r="D845" s="25"/>
      <c r="E845" s="25"/>
      <c r="F845" s="25"/>
      <c r="G845" s="25"/>
      <c r="H845" s="25"/>
      <c r="I845" s="25"/>
      <c r="J845" s="25"/>
      <c r="K845" s="25"/>
    </row>
    <row r="846" spans="1:11" ht="12.75">
      <c r="A846" s="25"/>
      <c r="B846" s="25"/>
      <c r="C846" s="25"/>
      <c r="D846" s="25"/>
      <c r="E846" s="25"/>
      <c r="F846" s="25"/>
      <c r="G846" s="25"/>
      <c r="H846" s="25"/>
      <c r="I846" s="25"/>
      <c r="J846" s="25"/>
      <c r="K846" s="25"/>
    </row>
    <row r="847" spans="1:11" ht="12.75">
      <c r="A847" s="25"/>
      <c r="B847" s="25"/>
      <c r="C847" s="25"/>
      <c r="D847" s="25"/>
      <c r="E847" s="25"/>
      <c r="F847" s="25"/>
      <c r="G847" s="25"/>
      <c r="H847" s="25"/>
      <c r="I847" s="25"/>
      <c r="J847" s="25"/>
      <c r="K847" s="25"/>
    </row>
    <row r="848" spans="1:11" ht="12.75">
      <c r="A848" s="25"/>
      <c r="B848" s="25"/>
      <c r="C848" s="25"/>
      <c r="D848" s="25"/>
      <c r="E848" s="25"/>
      <c r="F848" s="25"/>
      <c r="G848" s="25"/>
      <c r="H848" s="25"/>
      <c r="I848" s="25"/>
      <c r="J848" s="25"/>
      <c r="K848" s="25"/>
    </row>
    <row r="849" spans="1:11" ht="12.75">
      <c r="A849" s="25"/>
      <c r="B849" s="25"/>
      <c r="C849" s="25"/>
      <c r="D849" s="25"/>
      <c r="E849" s="25"/>
      <c r="F849" s="25"/>
      <c r="G849" s="25"/>
      <c r="H849" s="25"/>
      <c r="I849" s="25"/>
      <c r="J849" s="25"/>
      <c r="K849" s="25"/>
    </row>
    <row r="850" spans="1:11" ht="12.75">
      <c r="A850" s="25"/>
      <c r="B850" s="25"/>
      <c r="C850" s="25"/>
      <c r="D850" s="25"/>
      <c r="E850" s="25"/>
      <c r="F850" s="25"/>
      <c r="G850" s="25"/>
      <c r="H850" s="25"/>
      <c r="I850" s="25"/>
      <c r="J850" s="25"/>
      <c r="K850" s="25"/>
    </row>
    <row r="851" spans="1:11" ht="12.75">
      <c r="A851" s="25"/>
      <c r="B851" s="25"/>
      <c r="C851" s="25"/>
      <c r="D851" s="25"/>
      <c r="E851" s="25"/>
      <c r="F851" s="25"/>
      <c r="G851" s="25"/>
      <c r="H851" s="25"/>
      <c r="I851" s="25"/>
      <c r="J851" s="25"/>
      <c r="K851" s="25"/>
    </row>
    <row r="852" spans="1:11" ht="12.75">
      <c r="A852" s="25"/>
      <c r="B852" s="25"/>
      <c r="C852" s="25"/>
      <c r="D852" s="25"/>
      <c r="E852" s="25"/>
      <c r="F852" s="25"/>
      <c r="G852" s="25"/>
      <c r="H852" s="25"/>
      <c r="I852" s="25"/>
      <c r="J852" s="25"/>
      <c r="K852" s="25"/>
    </row>
    <row r="853" spans="1:11" ht="12.75">
      <c r="A853" s="25"/>
      <c r="B853" s="25"/>
      <c r="C853" s="25"/>
      <c r="D853" s="25"/>
      <c r="E853" s="25"/>
      <c r="F853" s="25"/>
      <c r="G853" s="25"/>
      <c r="H853" s="25"/>
      <c r="I853" s="25"/>
      <c r="J853" s="25"/>
      <c r="K853" s="25"/>
    </row>
    <row r="854" spans="1:11" ht="12.75">
      <c r="A854" s="25"/>
      <c r="B854" s="25"/>
      <c r="C854" s="25"/>
      <c r="D854" s="25"/>
      <c r="E854" s="25"/>
      <c r="F854" s="25"/>
      <c r="G854" s="25"/>
      <c r="H854" s="25"/>
      <c r="I854" s="25"/>
      <c r="J854" s="25"/>
      <c r="K854" s="25"/>
    </row>
    <row r="855" spans="1:11" ht="12.75">
      <c r="A855" s="25"/>
      <c r="B855" s="25"/>
      <c r="C855" s="25"/>
      <c r="D855" s="25"/>
      <c r="E855" s="25"/>
      <c r="F855" s="25"/>
      <c r="G855" s="25"/>
      <c r="H855" s="25"/>
      <c r="I855" s="25"/>
      <c r="J855" s="25"/>
      <c r="K855" s="25"/>
    </row>
    <row r="856" spans="1:11" ht="12.75">
      <c r="A856" s="25"/>
      <c r="B856" s="25"/>
      <c r="C856" s="25"/>
      <c r="D856" s="25"/>
      <c r="E856" s="25"/>
      <c r="F856" s="25"/>
      <c r="G856" s="25"/>
      <c r="H856" s="25"/>
      <c r="I856" s="25"/>
      <c r="J856" s="25"/>
      <c r="K856" s="25"/>
    </row>
    <row r="857" spans="1:11" ht="12.75">
      <c r="A857" s="25"/>
      <c r="B857" s="25"/>
      <c r="C857" s="25"/>
      <c r="D857" s="25"/>
      <c r="E857" s="25"/>
      <c r="F857" s="25"/>
      <c r="G857" s="25"/>
      <c r="H857" s="25"/>
      <c r="I857" s="25"/>
      <c r="J857" s="25"/>
      <c r="K857" s="25"/>
    </row>
    <row r="858" spans="1:11" ht="12.75">
      <c r="A858" s="25"/>
      <c r="B858" s="25"/>
      <c r="C858" s="25"/>
      <c r="D858" s="25"/>
      <c r="E858" s="25"/>
      <c r="F858" s="25"/>
      <c r="G858" s="25"/>
      <c r="H858" s="25"/>
      <c r="I858" s="25"/>
      <c r="J858" s="25"/>
      <c r="K858" s="25"/>
    </row>
    <row r="859" spans="1:11" ht="12.75">
      <c r="A859" s="25"/>
      <c r="B859" s="25"/>
      <c r="C859" s="25"/>
      <c r="D859" s="25"/>
      <c r="E859" s="25"/>
      <c r="F859" s="25"/>
      <c r="G859" s="25"/>
      <c r="H859" s="25"/>
      <c r="I859" s="25"/>
      <c r="J859" s="25"/>
      <c r="K859" s="25"/>
    </row>
    <row r="860" spans="1:11" ht="12.75">
      <c r="A860" s="25"/>
      <c r="B860" s="25"/>
      <c r="C860" s="25"/>
      <c r="D860" s="25"/>
      <c r="E860" s="25"/>
      <c r="F860" s="25"/>
      <c r="G860" s="25"/>
      <c r="H860" s="25"/>
      <c r="I860" s="25"/>
      <c r="J860" s="25"/>
      <c r="K860" s="25"/>
    </row>
    <row r="861" spans="1:11" ht="12.75">
      <c r="A861" s="25"/>
      <c r="B861" s="25"/>
      <c r="C861" s="25"/>
      <c r="D861" s="25"/>
      <c r="E861" s="25"/>
      <c r="F861" s="25"/>
      <c r="G861" s="25"/>
      <c r="H861" s="25"/>
      <c r="I861" s="25"/>
      <c r="J861" s="25"/>
      <c r="K861" s="25"/>
    </row>
    <row r="862" spans="1:11" ht="12.75">
      <c r="A862" s="25"/>
      <c r="B862" s="25"/>
      <c r="C862" s="25"/>
      <c r="D862" s="25"/>
      <c r="E862" s="25"/>
      <c r="F862" s="25"/>
      <c r="G862" s="25"/>
      <c r="H862" s="25"/>
      <c r="I862" s="25"/>
      <c r="J862" s="25"/>
      <c r="K862" s="25"/>
    </row>
    <row r="863" spans="1:11" ht="12.75">
      <c r="A863" s="25"/>
      <c r="B863" s="25"/>
      <c r="C863" s="25"/>
      <c r="D863" s="25"/>
      <c r="E863" s="25"/>
      <c r="F863" s="25"/>
      <c r="G863" s="25"/>
      <c r="H863" s="25"/>
      <c r="I863" s="25"/>
      <c r="J863" s="25"/>
      <c r="K863" s="25"/>
    </row>
    <row r="864" spans="1:11" ht="12.75">
      <c r="A864" s="25"/>
      <c r="B864" s="25"/>
      <c r="C864" s="25"/>
      <c r="D864" s="25"/>
      <c r="E864" s="25"/>
      <c r="F864" s="25"/>
      <c r="G864" s="25"/>
      <c r="H864" s="25"/>
      <c r="I864" s="25"/>
      <c r="J864" s="25"/>
      <c r="K864" s="25"/>
    </row>
    <row r="865" spans="1:11" ht="12.75">
      <c r="A865" s="25"/>
      <c r="B865" s="25"/>
      <c r="C865" s="25"/>
      <c r="D865" s="25"/>
      <c r="E865" s="25"/>
      <c r="F865" s="25"/>
      <c r="G865" s="25"/>
      <c r="H865" s="25"/>
      <c r="I865" s="25"/>
      <c r="J865" s="25"/>
      <c r="K865" s="25"/>
    </row>
    <row r="866" spans="1:11" ht="12.75">
      <c r="A866" s="25"/>
      <c r="B866" s="25"/>
      <c r="C866" s="25"/>
      <c r="D866" s="25"/>
      <c r="E866" s="25"/>
      <c r="F866" s="25"/>
      <c r="G866" s="25"/>
      <c r="H866" s="25"/>
      <c r="I866" s="25"/>
      <c r="J866" s="25"/>
      <c r="K866" s="25"/>
    </row>
    <row r="867" spans="1:11" ht="12.75">
      <c r="A867" s="25"/>
      <c r="B867" s="25"/>
      <c r="C867" s="25"/>
      <c r="D867" s="25"/>
      <c r="E867" s="25"/>
      <c r="F867" s="25"/>
      <c r="G867" s="25"/>
      <c r="H867" s="25"/>
      <c r="I867" s="25"/>
      <c r="J867" s="25"/>
      <c r="K867" s="25"/>
    </row>
    <row r="868" spans="1:11" ht="12.75">
      <c r="A868" s="25"/>
      <c r="B868" s="25"/>
      <c r="C868" s="25"/>
      <c r="D868" s="25"/>
      <c r="E868" s="25"/>
      <c r="F868" s="25"/>
      <c r="G868" s="25"/>
      <c r="H868" s="25"/>
      <c r="I868" s="25"/>
      <c r="J868" s="25"/>
      <c r="K868" s="25"/>
    </row>
    <row r="869" spans="1:11" ht="12.75">
      <c r="A869" s="25"/>
      <c r="B869" s="25"/>
      <c r="C869" s="25"/>
      <c r="D869" s="25"/>
      <c r="E869" s="25"/>
      <c r="F869" s="25"/>
      <c r="G869" s="25"/>
      <c r="H869" s="25"/>
      <c r="I869" s="25"/>
      <c r="J869" s="25"/>
      <c r="K869" s="25"/>
    </row>
    <row r="870" spans="1:11" ht="12.75">
      <c r="A870" s="25"/>
      <c r="B870" s="25"/>
      <c r="C870" s="25"/>
      <c r="D870" s="25"/>
      <c r="E870" s="25"/>
      <c r="F870" s="25"/>
      <c r="G870" s="25"/>
      <c r="H870" s="25"/>
      <c r="I870" s="25"/>
      <c r="J870" s="25"/>
      <c r="K870" s="25"/>
    </row>
    <row r="871" spans="1:11" ht="12.75">
      <c r="A871" s="25"/>
      <c r="B871" s="25"/>
      <c r="C871" s="25"/>
      <c r="D871" s="25"/>
      <c r="E871" s="25"/>
      <c r="F871" s="25"/>
      <c r="G871" s="25"/>
      <c r="H871" s="25"/>
      <c r="I871" s="25"/>
      <c r="J871" s="25"/>
      <c r="K871" s="25"/>
    </row>
    <row r="872" spans="1:11" ht="12.75">
      <c r="A872" s="25"/>
      <c r="B872" s="25"/>
      <c r="C872" s="25"/>
      <c r="D872" s="25"/>
      <c r="E872" s="25"/>
      <c r="F872" s="25"/>
      <c r="G872" s="25"/>
      <c r="H872" s="25"/>
      <c r="I872" s="25"/>
      <c r="J872" s="25"/>
      <c r="K872" s="25"/>
    </row>
    <row r="873" spans="1:11" ht="12.75">
      <c r="A873" s="25"/>
      <c r="B873" s="25"/>
      <c r="C873" s="25"/>
      <c r="D873" s="25"/>
      <c r="E873" s="25"/>
      <c r="F873" s="25"/>
      <c r="G873" s="25"/>
      <c r="H873" s="25"/>
      <c r="I873" s="25"/>
      <c r="J873" s="25"/>
      <c r="K873" s="25"/>
    </row>
    <row r="874" spans="1:11" ht="12.75">
      <c r="A874" s="25"/>
      <c r="B874" s="25"/>
      <c r="C874" s="25"/>
      <c r="D874" s="25"/>
      <c r="E874" s="25"/>
      <c r="F874" s="25"/>
      <c r="G874" s="25"/>
      <c r="H874" s="25"/>
      <c r="I874" s="25"/>
      <c r="J874" s="25"/>
      <c r="K874" s="25"/>
    </row>
    <row r="875" spans="1:11" ht="12.75">
      <c r="A875" s="25"/>
      <c r="B875" s="25"/>
      <c r="C875" s="25"/>
      <c r="D875" s="25"/>
      <c r="E875" s="25"/>
      <c r="F875" s="25"/>
      <c r="G875" s="25"/>
      <c r="H875" s="25"/>
      <c r="I875" s="25"/>
      <c r="J875" s="25"/>
      <c r="K875" s="25"/>
    </row>
    <row r="876" spans="1:11" ht="12.75">
      <c r="A876" s="25"/>
      <c r="B876" s="25"/>
      <c r="C876" s="25"/>
      <c r="D876" s="25"/>
      <c r="E876" s="25"/>
      <c r="F876" s="25"/>
      <c r="G876" s="25"/>
      <c r="H876" s="25"/>
      <c r="I876" s="25"/>
      <c r="J876" s="25"/>
      <c r="K876" s="25"/>
    </row>
    <row r="877" spans="1:11" ht="12.75">
      <c r="A877" s="25"/>
      <c r="B877" s="25"/>
      <c r="C877" s="25"/>
      <c r="D877" s="25"/>
      <c r="E877" s="25"/>
      <c r="F877" s="25"/>
      <c r="G877" s="25"/>
      <c r="H877" s="25"/>
      <c r="I877" s="25"/>
      <c r="J877" s="25"/>
      <c r="K877" s="25"/>
    </row>
    <row r="878" spans="1:11" ht="12.75">
      <c r="A878" s="25"/>
      <c r="B878" s="25"/>
      <c r="C878" s="25"/>
      <c r="D878" s="25"/>
      <c r="E878" s="25"/>
      <c r="F878" s="25"/>
      <c r="G878" s="25"/>
      <c r="H878" s="25"/>
      <c r="I878" s="25"/>
      <c r="J878" s="25"/>
      <c r="K878" s="25"/>
    </row>
    <row r="879" spans="1:11" ht="12.75">
      <c r="A879" s="25"/>
      <c r="B879" s="25"/>
      <c r="C879" s="25"/>
      <c r="D879" s="25"/>
      <c r="E879" s="25"/>
      <c r="F879" s="25"/>
      <c r="G879" s="25"/>
      <c r="H879" s="25"/>
      <c r="I879" s="25"/>
      <c r="J879" s="25"/>
      <c r="K879" s="25"/>
    </row>
    <row r="880" spans="1:11" ht="12.75">
      <c r="A880" s="25"/>
      <c r="B880" s="25"/>
      <c r="C880" s="25"/>
      <c r="D880" s="25"/>
      <c r="E880" s="25"/>
      <c r="F880" s="25"/>
      <c r="G880" s="25"/>
      <c r="H880" s="25"/>
      <c r="I880" s="25"/>
      <c r="J880" s="25"/>
      <c r="K880" s="25"/>
    </row>
    <row r="881" spans="1:11" ht="12.75">
      <c r="A881" s="25"/>
      <c r="B881" s="25"/>
      <c r="C881" s="25"/>
      <c r="D881" s="25"/>
      <c r="E881" s="25"/>
      <c r="F881" s="25"/>
      <c r="G881" s="25"/>
      <c r="H881" s="25"/>
      <c r="I881" s="25"/>
      <c r="J881" s="25"/>
      <c r="K881" s="25"/>
    </row>
    <row r="882" spans="1:11" ht="12.75">
      <c r="A882" s="25"/>
      <c r="B882" s="25"/>
      <c r="C882" s="25"/>
      <c r="D882" s="25"/>
      <c r="E882" s="25"/>
      <c r="F882" s="25"/>
      <c r="G882" s="25"/>
      <c r="H882" s="25"/>
      <c r="I882" s="25"/>
      <c r="J882" s="25"/>
      <c r="K882" s="25"/>
    </row>
    <row r="883" spans="1:11" ht="12.75">
      <c r="A883" s="25"/>
      <c r="B883" s="25"/>
      <c r="C883" s="25"/>
      <c r="D883" s="25"/>
      <c r="E883" s="25"/>
      <c r="F883" s="25"/>
      <c r="G883" s="25"/>
      <c r="H883" s="25"/>
      <c r="I883" s="25"/>
      <c r="J883" s="25"/>
      <c r="K883" s="25"/>
    </row>
    <row r="884" spans="1:11" ht="12.75">
      <c r="A884" s="25"/>
      <c r="B884" s="25"/>
      <c r="C884" s="25"/>
      <c r="D884" s="25"/>
      <c r="E884" s="25"/>
      <c r="F884" s="25"/>
      <c r="G884" s="25"/>
      <c r="H884" s="25"/>
      <c r="I884" s="25"/>
      <c r="J884" s="25"/>
      <c r="K884" s="25"/>
    </row>
    <row r="885" spans="1:11" ht="12.75">
      <c r="A885" s="25"/>
      <c r="B885" s="25"/>
      <c r="C885" s="25"/>
      <c r="D885" s="25"/>
      <c r="E885" s="25"/>
      <c r="F885" s="25"/>
      <c r="G885" s="25"/>
      <c r="H885" s="25"/>
      <c r="I885" s="25"/>
      <c r="J885" s="25"/>
      <c r="K885" s="25"/>
    </row>
    <row r="886" spans="1:11" ht="12.75">
      <c r="A886" s="25"/>
      <c r="B886" s="25"/>
      <c r="C886" s="25"/>
      <c r="D886" s="25"/>
      <c r="E886" s="25"/>
      <c r="F886" s="25"/>
      <c r="G886" s="25"/>
      <c r="H886" s="25"/>
      <c r="I886" s="25"/>
      <c r="J886" s="25"/>
      <c r="K886" s="25"/>
    </row>
    <row r="887" spans="1:11" ht="12.75">
      <c r="A887" s="25"/>
      <c r="B887" s="25"/>
      <c r="C887" s="25"/>
      <c r="D887" s="25"/>
      <c r="E887" s="25"/>
      <c r="F887" s="25"/>
      <c r="G887" s="25"/>
      <c r="H887" s="25"/>
      <c r="I887" s="25"/>
      <c r="J887" s="25"/>
      <c r="K887" s="25"/>
    </row>
    <row r="888" spans="1:11" ht="12.75">
      <c r="A888" s="25"/>
      <c r="B888" s="25"/>
      <c r="C888" s="25"/>
      <c r="D888" s="25"/>
      <c r="E888" s="25"/>
      <c r="F888" s="25"/>
      <c r="G888" s="25"/>
      <c r="H888" s="25"/>
      <c r="I888" s="25"/>
      <c r="J888" s="25"/>
      <c r="K888" s="25"/>
    </row>
    <row r="889" spans="1:11" ht="12.75">
      <c r="A889" s="25"/>
      <c r="B889" s="25"/>
      <c r="C889" s="25"/>
      <c r="D889" s="25"/>
      <c r="E889" s="25"/>
      <c r="F889" s="25"/>
      <c r="G889" s="25"/>
      <c r="H889" s="25"/>
      <c r="I889" s="25"/>
      <c r="J889" s="25"/>
      <c r="K889" s="25"/>
    </row>
    <row r="890" spans="1:11" ht="12.75">
      <c r="A890" s="25"/>
      <c r="B890" s="25"/>
      <c r="C890" s="25"/>
      <c r="D890" s="25"/>
      <c r="E890" s="25"/>
      <c r="F890" s="25"/>
      <c r="G890" s="25"/>
      <c r="H890" s="25"/>
      <c r="I890" s="25"/>
      <c r="J890" s="25"/>
      <c r="K890" s="25"/>
    </row>
    <row r="891" spans="1:11" ht="12.75">
      <c r="A891" s="25"/>
      <c r="B891" s="25"/>
      <c r="C891" s="25"/>
      <c r="D891" s="25"/>
      <c r="E891" s="25"/>
      <c r="F891" s="25"/>
      <c r="G891" s="25"/>
      <c r="H891" s="25"/>
      <c r="I891" s="25"/>
      <c r="J891" s="25"/>
      <c r="K891" s="25"/>
    </row>
    <row r="892" spans="1:11" ht="12.75">
      <c r="A892" s="25"/>
      <c r="B892" s="25"/>
      <c r="C892" s="25"/>
      <c r="D892" s="25"/>
      <c r="E892" s="25"/>
      <c r="F892" s="25"/>
      <c r="G892" s="25"/>
      <c r="H892" s="25"/>
      <c r="I892" s="25"/>
      <c r="J892" s="25"/>
      <c r="K892" s="25"/>
    </row>
    <row r="893" spans="1:11" ht="12.75">
      <c r="A893" s="25"/>
      <c r="B893" s="25"/>
      <c r="C893" s="25"/>
      <c r="D893" s="25"/>
      <c r="E893" s="25"/>
      <c r="F893" s="25"/>
      <c r="G893" s="25"/>
      <c r="H893" s="25"/>
      <c r="I893" s="25"/>
      <c r="J893" s="25"/>
      <c r="K893" s="25"/>
    </row>
    <row r="894" spans="1:11" ht="12.75">
      <c r="A894" s="25"/>
      <c r="B894" s="25"/>
      <c r="C894" s="25"/>
      <c r="D894" s="25"/>
      <c r="E894" s="25"/>
      <c r="F894" s="25"/>
      <c r="G894" s="25"/>
      <c r="H894" s="25"/>
      <c r="I894" s="25"/>
      <c r="J894" s="25"/>
      <c r="K894" s="25"/>
    </row>
    <row r="895" spans="1:11" ht="12.75">
      <c r="A895" s="25"/>
      <c r="B895" s="25"/>
      <c r="C895" s="25"/>
      <c r="D895" s="25"/>
      <c r="E895" s="25"/>
      <c r="F895" s="25"/>
      <c r="G895" s="25"/>
      <c r="H895" s="25"/>
      <c r="I895" s="25"/>
      <c r="J895" s="25"/>
      <c r="K895" s="25"/>
    </row>
    <row r="896" spans="1:11" ht="12.75">
      <c r="A896" s="25"/>
      <c r="B896" s="25"/>
      <c r="C896" s="25"/>
      <c r="D896" s="25"/>
      <c r="E896" s="25"/>
      <c r="F896" s="25"/>
      <c r="G896" s="25"/>
      <c r="H896" s="25"/>
      <c r="I896" s="25"/>
      <c r="J896" s="25"/>
      <c r="K896" s="25"/>
    </row>
    <row r="897" spans="1:11" ht="12.75">
      <c r="A897" s="25"/>
      <c r="B897" s="25"/>
      <c r="C897" s="25"/>
      <c r="D897" s="25"/>
      <c r="E897" s="25"/>
      <c r="F897" s="25"/>
      <c r="G897" s="25"/>
      <c r="H897" s="25"/>
      <c r="I897" s="25"/>
      <c r="J897" s="25"/>
      <c r="K897" s="25"/>
    </row>
    <row r="898" spans="1:11" ht="12.75">
      <c r="A898" s="25"/>
      <c r="B898" s="25"/>
      <c r="C898" s="25"/>
      <c r="D898" s="25"/>
      <c r="E898" s="25"/>
      <c r="F898" s="25"/>
      <c r="G898" s="25"/>
      <c r="H898" s="25"/>
      <c r="I898" s="25"/>
      <c r="J898" s="25"/>
      <c r="K898" s="25"/>
    </row>
    <row r="899" spans="1:11" ht="12.75">
      <c r="A899" s="25"/>
      <c r="B899" s="25"/>
      <c r="C899" s="25"/>
      <c r="D899" s="25"/>
      <c r="E899" s="25"/>
      <c r="F899" s="25"/>
      <c r="G899" s="25"/>
      <c r="H899" s="25"/>
      <c r="I899" s="25"/>
      <c r="J899" s="25"/>
      <c r="K899" s="25"/>
    </row>
    <row r="900" spans="1:11" ht="12.75">
      <c r="A900" s="25"/>
      <c r="B900" s="25"/>
      <c r="C900" s="25"/>
      <c r="D900" s="25"/>
      <c r="E900" s="25"/>
      <c r="F900" s="25"/>
      <c r="G900" s="25"/>
      <c r="H900" s="25"/>
      <c r="I900" s="25"/>
      <c r="J900" s="25"/>
      <c r="K900" s="25"/>
    </row>
    <row r="901" spans="1:11" ht="12.75">
      <c r="A901" s="25"/>
      <c r="B901" s="25"/>
      <c r="C901" s="25"/>
      <c r="D901" s="25"/>
      <c r="E901" s="25"/>
      <c r="F901" s="25"/>
      <c r="G901" s="25"/>
      <c r="H901" s="25"/>
      <c r="I901" s="25"/>
      <c r="J901" s="25"/>
      <c r="K901" s="25"/>
    </row>
    <row r="902" spans="1:11" ht="12.75">
      <c r="A902" s="25"/>
      <c r="B902" s="25"/>
      <c r="C902" s="25"/>
      <c r="D902" s="25"/>
      <c r="E902" s="25"/>
      <c r="F902" s="25"/>
      <c r="G902" s="25"/>
      <c r="H902" s="25"/>
      <c r="I902" s="25"/>
      <c r="J902" s="25"/>
      <c r="K902" s="25"/>
    </row>
    <row r="903" spans="1:11" ht="12.75">
      <c r="A903" s="25"/>
      <c r="B903" s="25"/>
      <c r="C903" s="25"/>
      <c r="D903" s="25"/>
      <c r="E903" s="25"/>
      <c r="F903" s="25"/>
      <c r="G903" s="25"/>
      <c r="H903" s="25"/>
      <c r="I903" s="25"/>
      <c r="J903" s="25"/>
      <c r="K903" s="25"/>
    </row>
    <row r="904" spans="1:11" ht="12.75">
      <c r="A904" s="25"/>
      <c r="B904" s="25"/>
      <c r="C904" s="25"/>
      <c r="D904" s="25"/>
      <c r="E904" s="25"/>
      <c r="F904" s="25"/>
      <c r="G904" s="25"/>
      <c r="H904" s="25"/>
      <c r="I904" s="25"/>
      <c r="J904" s="25"/>
      <c r="K904" s="25"/>
    </row>
    <row r="905" spans="1:11" ht="12.75">
      <c r="A905" s="25"/>
      <c r="B905" s="25"/>
      <c r="C905" s="25"/>
      <c r="D905" s="25"/>
      <c r="E905" s="25"/>
      <c r="F905" s="25"/>
      <c r="G905" s="25"/>
      <c r="H905" s="25"/>
      <c r="I905" s="25"/>
      <c r="J905" s="25"/>
      <c r="K905" s="25"/>
    </row>
    <row r="906" spans="1:11" ht="12.75">
      <c r="A906" s="25"/>
      <c r="B906" s="25"/>
      <c r="C906" s="25"/>
      <c r="D906" s="25"/>
      <c r="E906" s="25"/>
      <c r="F906" s="25"/>
      <c r="G906" s="25"/>
      <c r="H906" s="25"/>
      <c r="I906" s="25"/>
      <c r="J906" s="25"/>
      <c r="K906" s="25"/>
    </row>
    <row r="907" spans="1:11" ht="12.75">
      <c r="A907" s="25"/>
      <c r="B907" s="25"/>
      <c r="C907" s="25"/>
      <c r="D907" s="25"/>
      <c r="E907" s="25"/>
      <c r="F907" s="25"/>
      <c r="G907" s="25"/>
      <c r="H907" s="25"/>
      <c r="I907" s="25"/>
      <c r="J907" s="25"/>
      <c r="K907" s="25"/>
    </row>
    <row r="908" spans="1:11" ht="12.75">
      <c r="A908" s="25"/>
      <c r="B908" s="25"/>
      <c r="C908" s="25"/>
      <c r="D908" s="25"/>
      <c r="E908" s="25"/>
      <c r="F908" s="25"/>
      <c r="G908" s="25"/>
      <c r="H908" s="25"/>
      <c r="I908" s="25"/>
      <c r="J908" s="25"/>
      <c r="K908" s="25"/>
    </row>
    <row r="909" spans="1:11" ht="12.75">
      <c r="A909" s="25"/>
      <c r="B909" s="25"/>
      <c r="C909" s="25"/>
      <c r="D909" s="25"/>
      <c r="E909" s="25"/>
      <c r="F909" s="25"/>
      <c r="G909" s="25"/>
      <c r="H909" s="25"/>
      <c r="I909" s="25"/>
      <c r="J909" s="25"/>
      <c r="K909" s="25"/>
    </row>
    <row r="910" spans="1:11" ht="12.75">
      <c r="A910" s="25"/>
      <c r="B910" s="25"/>
      <c r="C910" s="25"/>
      <c r="D910" s="25"/>
      <c r="E910" s="25"/>
      <c r="F910" s="25"/>
      <c r="G910" s="25"/>
      <c r="H910" s="25"/>
      <c r="I910" s="25"/>
      <c r="J910" s="25"/>
      <c r="K910" s="25"/>
    </row>
    <row r="911" spans="1:11" ht="12.75">
      <c r="A911" s="25"/>
      <c r="B911" s="25"/>
      <c r="C911" s="25"/>
      <c r="D911" s="25"/>
      <c r="E911" s="25"/>
      <c r="F911" s="25"/>
      <c r="G911" s="25"/>
      <c r="H911" s="25"/>
      <c r="I911" s="25"/>
      <c r="J911" s="25"/>
      <c r="K911" s="25"/>
    </row>
    <row r="912" spans="1:11" ht="12.75">
      <c r="A912" s="25"/>
      <c r="B912" s="25"/>
      <c r="C912" s="25"/>
      <c r="D912" s="25"/>
      <c r="E912" s="25"/>
      <c r="F912" s="25"/>
      <c r="G912" s="25"/>
      <c r="H912" s="25"/>
      <c r="I912" s="25"/>
      <c r="J912" s="25"/>
      <c r="K912" s="25"/>
    </row>
    <row r="913" spans="1:11" ht="12.75">
      <c r="A913" s="25"/>
      <c r="B913" s="25"/>
      <c r="C913" s="25"/>
      <c r="D913" s="25"/>
      <c r="E913" s="25"/>
      <c r="F913" s="25"/>
      <c r="G913" s="25"/>
      <c r="H913" s="25"/>
      <c r="I913" s="25"/>
      <c r="J913" s="25"/>
      <c r="K913" s="25"/>
    </row>
    <row r="914" spans="1:11" ht="12.75">
      <c r="A914" s="25"/>
      <c r="B914" s="25"/>
      <c r="C914" s="25"/>
      <c r="D914" s="25"/>
      <c r="E914" s="25"/>
      <c r="F914" s="25"/>
      <c r="G914" s="25"/>
      <c r="H914" s="25"/>
      <c r="I914" s="25"/>
      <c r="J914" s="25"/>
      <c r="K914" s="25"/>
    </row>
    <row r="915" spans="1:11" ht="12.75">
      <c r="A915" s="25"/>
      <c r="B915" s="25"/>
      <c r="C915" s="25"/>
      <c r="D915" s="25"/>
      <c r="E915" s="25"/>
      <c r="F915" s="25"/>
      <c r="G915" s="25"/>
      <c r="H915" s="25"/>
      <c r="I915" s="25"/>
      <c r="J915" s="25"/>
      <c r="K915" s="25"/>
    </row>
    <row r="916" spans="1:11" ht="12.75">
      <c r="A916" s="25"/>
      <c r="B916" s="25"/>
      <c r="C916" s="25"/>
      <c r="D916" s="25"/>
      <c r="E916" s="25"/>
      <c r="F916" s="25"/>
      <c r="G916" s="25"/>
      <c r="H916" s="25"/>
      <c r="I916" s="25"/>
      <c r="J916" s="25"/>
      <c r="K916" s="25"/>
    </row>
    <row r="917" spans="1:11" ht="12.75">
      <c r="A917" s="25"/>
      <c r="B917" s="25"/>
      <c r="C917" s="25"/>
      <c r="D917" s="25"/>
      <c r="E917" s="25"/>
      <c r="F917" s="25"/>
      <c r="G917" s="25"/>
      <c r="H917" s="25"/>
      <c r="I917" s="25"/>
      <c r="J917" s="25"/>
      <c r="K917" s="25"/>
    </row>
    <row r="918" spans="1:11" ht="12.75">
      <c r="A918" s="25"/>
      <c r="B918" s="25"/>
      <c r="C918" s="25"/>
      <c r="D918" s="25"/>
      <c r="E918" s="25"/>
      <c r="F918" s="25"/>
      <c r="G918" s="25"/>
      <c r="H918" s="25"/>
      <c r="I918" s="25"/>
      <c r="J918" s="25"/>
      <c r="K918" s="25"/>
    </row>
    <row r="919" spans="1:11" ht="12.75">
      <c r="A919" s="25"/>
      <c r="B919" s="25"/>
      <c r="C919" s="25"/>
      <c r="D919" s="25"/>
      <c r="E919" s="25"/>
      <c r="F919" s="25"/>
      <c r="G919" s="25"/>
      <c r="H919" s="25"/>
      <c r="I919" s="25"/>
      <c r="J919" s="25"/>
      <c r="K919" s="25"/>
    </row>
    <row r="920" spans="1:11" ht="12.75">
      <c r="A920" s="25"/>
      <c r="B920" s="25"/>
      <c r="C920" s="25"/>
      <c r="D920" s="25"/>
      <c r="E920" s="25"/>
      <c r="F920" s="25"/>
      <c r="G920" s="25"/>
      <c r="H920" s="25"/>
      <c r="I920" s="25"/>
      <c r="J920" s="25"/>
      <c r="K920" s="25"/>
    </row>
    <row r="921" spans="1:11" ht="12.75">
      <c r="A921" s="25"/>
      <c r="B921" s="25"/>
      <c r="C921" s="25"/>
      <c r="D921" s="25"/>
      <c r="E921" s="25"/>
      <c r="F921" s="25"/>
      <c r="G921" s="25"/>
      <c r="H921" s="25"/>
      <c r="I921" s="25"/>
      <c r="J921" s="25"/>
      <c r="K921" s="25"/>
    </row>
    <row r="922" spans="1:11" ht="12.75">
      <c r="A922" s="25"/>
      <c r="B922" s="25"/>
      <c r="C922" s="25"/>
      <c r="D922" s="25"/>
      <c r="E922" s="25"/>
      <c r="F922" s="25"/>
      <c r="G922" s="25"/>
      <c r="H922" s="25"/>
      <c r="I922" s="25"/>
      <c r="J922" s="25"/>
      <c r="K922" s="25"/>
    </row>
    <row r="923" spans="1:11" ht="12.75">
      <c r="A923" s="25"/>
      <c r="B923" s="25"/>
      <c r="C923" s="25"/>
      <c r="D923" s="25"/>
      <c r="E923" s="25"/>
      <c r="F923" s="25"/>
      <c r="G923" s="25"/>
      <c r="H923" s="25"/>
      <c r="I923" s="25"/>
      <c r="J923" s="25"/>
      <c r="K923" s="25"/>
    </row>
    <row r="924" spans="1:11" ht="12.75">
      <c r="A924" s="25"/>
      <c r="B924" s="25"/>
      <c r="C924" s="25"/>
      <c r="D924" s="25"/>
      <c r="E924" s="25"/>
      <c r="F924" s="25"/>
      <c r="G924" s="25"/>
      <c r="H924" s="25"/>
      <c r="I924" s="25"/>
      <c r="J924" s="25"/>
      <c r="K924" s="25"/>
    </row>
    <row r="925" spans="1:11" ht="12.75">
      <c r="A925" s="25"/>
      <c r="B925" s="25"/>
      <c r="C925" s="25"/>
      <c r="D925" s="25"/>
      <c r="E925" s="25"/>
      <c r="F925" s="25"/>
      <c r="G925" s="25"/>
      <c r="H925" s="25"/>
      <c r="I925" s="25"/>
      <c r="J925" s="25"/>
      <c r="K925" s="25"/>
    </row>
    <row r="926" spans="1:11" ht="12.75">
      <c r="A926" s="25"/>
      <c r="B926" s="25"/>
      <c r="C926" s="25"/>
      <c r="D926" s="25"/>
      <c r="E926" s="25"/>
      <c r="F926" s="25"/>
      <c r="G926" s="25"/>
      <c r="H926" s="25"/>
      <c r="I926" s="25"/>
      <c r="J926" s="25"/>
      <c r="K926" s="25"/>
    </row>
    <row r="927" spans="1:11" ht="12.75">
      <c r="A927" s="25"/>
      <c r="B927" s="25"/>
      <c r="C927" s="25"/>
      <c r="D927" s="25"/>
      <c r="E927" s="25"/>
      <c r="F927" s="25"/>
      <c r="G927" s="25"/>
      <c r="H927" s="25"/>
      <c r="I927" s="25"/>
      <c r="J927" s="25"/>
      <c r="K927" s="25"/>
    </row>
    <row r="928" spans="1:11" ht="12.75">
      <c r="A928" s="25"/>
      <c r="B928" s="25"/>
      <c r="C928" s="25"/>
      <c r="D928" s="25"/>
      <c r="E928" s="25"/>
      <c r="F928" s="25"/>
      <c r="G928" s="25"/>
      <c r="H928" s="25"/>
      <c r="I928" s="25"/>
      <c r="J928" s="25"/>
      <c r="K928" s="25"/>
    </row>
    <row r="929" spans="1:11" ht="12.75">
      <c r="A929" s="25"/>
      <c r="B929" s="25"/>
      <c r="C929" s="25"/>
      <c r="D929" s="25"/>
      <c r="E929" s="25"/>
      <c r="F929" s="25"/>
      <c r="G929" s="25"/>
      <c r="H929" s="25"/>
      <c r="I929" s="25"/>
      <c r="J929" s="25"/>
      <c r="K929" s="25"/>
    </row>
    <row r="930" spans="1:11" ht="12.75">
      <c r="A930" s="25"/>
      <c r="B930" s="25"/>
      <c r="C930" s="25"/>
      <c r="D930" s="25"/>
      <c r="E930" s="25"/>
      <c r="F930" s="25"/>
      <c r="G930" s="25"/>
      <c r="H930" s="25"/>
      <c r="I930" s="25"/>
      <c r="J930" s="25"/>
      <c r="K930" s="25"/>
    </row>
    <row r="931" spans="1:11" ht="12.75">
      <c r="A931" s="25"/>
      <c r="B931" s="25"/>
      <c r="C931" s="25"/>
      <c r="D931" s="25"/>
      <c r="E931" s="25"/>
      <c r="F931" s="25"/>
      <c r="G931" s="25"/>
      <c r="H931" s="25"/>
      <c r="I931" s="25"/>
      <c r="J931" s="25"/>
      <c r="K931" s="25"/>
    </row>
    <row r="932" spans="1:11" ht="12.75">
      <c r="A932" s="25"/>
      <c r="B932" s="25"/>
      <c r="C932" s="25"/>
      <c r="D932" s="25"/>
      <c r="E932" s="25"/>
      <c r="F932" s="25"/>
      <c r="G932" s="25"/>
      <c r="H932" s="25"/>
      <c r="I932" s="25"/>
      <c r="J932" s="25"/>
      <c r="K932" s="25"/>
    </row>
    <row r="933" spans="1:11" ht="12.75">
      <c r="A933" s="25"/>
      <c r="B933" s="25"/>
      <c r="C933" s="25"/>
      <c r="D933" s="25"/>
      <c r="E933" s="25"/>
      <c r="F933" s="25"/>
      <c r="G933" s="25"/>
      <c r="H933" s="25"/>
      <c r="I933" s="25"/>
      <c r="J933" s="25"/>
      <c r="K933" s="25"/>
    </row>
    <row r="934" spans="1:11" ht="12.75">
      <c r="A934" s="25"/>
      <c r="B934" s="25"/>
      <c r="C934" s="25"/>
      <c r="D934" s="25"/>
      <c r="E934" s="25"/>
      <c r="F934" s="25"/>
      <c r="G934" s="25"/>
      <c r="H934" s="25"/>
      <c r="I934" s="25"/>
      <c r="J934" s="25"/>
      <c r="K934" s="25"/>
    </row>
    <row r="935" spans="1:11" ht="12.75">
      <c r="A935" s="25"/>
      <c r="B935" s="25"/>
      <c r="C935" s="25"/>
      <c r="D935" s="25"/>
      <c r="E935" s="25"/>
      <c r="F935" s="25"/>
      <c r="G935" s="25"/>
      <c r="H935" s="25"/>
      <c r="I935" s="25"/>
      <c r="J935" s="25"/>
      <c r="K935" s="25"/>
    </row>
    <row r="936" spans="1:11" ht="12.75">
      <c r="A936" s="25"/>
      <c r="B936" s="25"/>
      <c r="C936" s="25"/>
      <c r="D936" s="25"/>
      <c r="E936" s="25"/>
      <c r="F936" s="25"/>
      <c r="G936" s="25"/>
      <c r="H936" s="25"/>
      <c r="I936" s="25"/>
      <c r="J936" s="25"/>
      <c r="K936" s="25"/>
    </row>
    <row r="937" spans="1:11" ht="12.75">
      <c r="A937" s="25"/>
      <c r="B937" s="25"/>
      <c r="C937" s="25"/>
      <c r="D937" s="25"/>
      <c r="E937" s="25"/>
      <c r="F937" s="25"/>
      <c r="G937" s="25"/>
      <c r="H937" s="25"/>
      <c r="I937" s="25"/>
      <c r="J937" s="25"/>
      <c r="K937" s="25"/>
    </row>
    <row r="938" spans="1:11" ht="12.75">
      <c r="A938" s="25"/>
      <c r="B938" s="25"/>
      <c r="C938" s="25"/>
      <c r="D938" s="25"/>
      <c r="E938" s="25"/>
      <c r="F938" s="25"/>
      <c r="G938" s="25"/>
      <c r="H938" s="25"/>
      <c r="I938" s="25"/>
      <c r="J938" s="25"/>
      <c r="K938" s="25"/>
    </row>
    <row r="939" spans="1:11" ht="12.75">
      <c r="A939" s="25"/>
      <c r="B939" s="25"/>
      <c r="C939" s="25"/>
      <c r="D939" s="25"/>
      <c r="E939" s="25"/>
      <c r="F939" s="25"/>
      <c r="G939" s="25"/>
      <c r="H939" s="25"/>
      <c r="I939" s="25"/>
      <c r="J939" s="25"/>
      <c r="K939" s="25"/>
    </row>
    <row r="940" spans="1:11" ht="12.75">
      <c r="A940" s="25"/>
      <c r="B940" s="25"/>
      <c r="C940" s="25"/>
      <c r="D940" s="25"/>
      <c r="E940" s="25"/>
      <c r="F940" s="25"/>
      <c r="G940" s="25"/>
      <c r="H940" s="25"/>
      <c r="I940" s="25"/>
      <c r="J940" s="25"/>
      <c r="K940" s="25"/>
    </row>
    <row r="941" spans="1:11" ht="12.75">
      <c r="A941" s="25"/>
      <c r="B941" s="25"/>
      <c r="C941" s="25"/>
      <c r="D941" s="25"/>
      <c r="E941" s="25"/>
      <c r="F941" s="25"/>
      <c r="G941" s="25"/>
      <c r="H941" s="25"/>
      <c r="I941" s="25"/>
      <c r="J941" s="25"/>
      <c r="K941" s="25"/>
    </row>
    <row r="942" spans="1:11" ht="12.75">
      <c r="A942" s="25"/>
      <c r="B942" s="25"/>
      <c r="C942" s="25"/>
      <c r="D942" s="25"/>
      <c r="E942" s="25"/>
      <c r="F942" s="25"/>
      <c r="G942" s="25"/>
      <c r="H942" s="25"/>
      <c r="I942" s="25"/>
      <c r="J942" s="25"/>
      <c r="K942" s="25"/>
    </row>
    <row r="943" spans="1:11" ht="12.75">
      <c r="A943" s="25"/>
      <c r="B943" s="25"/>
      <c r="C943" s="25"/>
      <c r="D943" s="25"/>
      <c r="E943" s="25"/>
      <c r="F943" s="25"/>
      <c r="G943" s="25"/>
      <c r="H943" s="25"/>
      <c r="I943" s="25"/>
      <c r="J943" s="25"/>
      <c r="K943" s="25"/>
    </row>
    <row r="944" spans="1:11" ht="12.75">
      <c r="A944" s="25"/>
      <c r="B944" s="25"/>
      <c r="C944" s="25"/>
      <c r="D944" s="25"/>
      <c r="E944" s="25"/>
      <c r="F944" s="25"/>
      <c r="G944" s="25"/>
      <c r="H944" s="25"/>
      <c r="I944" s="25"/>
      <c r="J944" s="25"/>
      <c r="K944" s="25"/>
    </row>
    <row r="945" spans="1:11" ht="12.75">
      <c r="A945" s="25"/>
      <c r="B945" s="25"/>
      <c r="C945" s="25"/>
      <c r="D945" s="25"/>
      <c r="E945" s="25"/>
      <c r="F945" s="25"/>
      <c r="G945" s="25"/>
      <c r="H945" s="25"/>
      <c r="I945" s="25"/>
      <c r="J945" s="25"/>
      <c r="K945" s="25"/>
    </row>
    <row r="946" spans="1:11" ht="12.75">
      <c r="A946" s="25"/>
      <c r="B946" s="25"/>
      <c r="C946" s="25"/>
      <c r="D946" s="25"/>
      <c r="E946" s="25"/>
      <c r="F946" s="25"/>
      <c r="G946" s="25"/>
      <c r="H946" s="25"/>
      <c r="I946" s="25"/>
      <c r="J946" s="25"/>
      <c r="K946" s="25"/>
    </row>
    <row r="947" spans="1:11" ht="12.75">
      <c r="A947" s="25"/>
      <c r="B947" s="25"/>
      <c r="C947" s="25"/>
      <c r="D947" s="25"/>
      <c r="E947" s="25"/>
      <c r="F947" s="25"/>
      <c r="G947" s="25"/>
      <c r="H947" s="25"/>
      <c r="I947" s="25"/>
      <c r="J947" s="25"/>
      <c r="K947" s="25"/>
    </row>
    <row r="948" spans="1:11" ht="12.75">
      <c r="A948" s="25"/>
      <c r="B948" s="25"/>
      <c r="C948" s="25"/>
      <c r="D948" s="25"/>
      <c r="E948" s="25"/>
      <c r="F948" s="25"/>
      <c r="G948" s="25"/>
      <c r="H948" s="25"/>
      <c r="I948" s="25"/>
      <c r="J948" s="25"/>
      <c r="K948" s="25"/>
    </row>
    <row r="949" spans="1:11" ht="12.75">
      <c r="A949" s="25"/>
      <c r="B949" s="25"/>
      <c r="C949" s="25"/>
      <c r="D949" s="25"/>
      <c r="E949" s="25"/>
      <c r="F949" s="25"/>
      <c r="G949" s="25"/>
      <c r="H949" s="25"/>
      <c r="I949" s="25"/>
      <c r="J949" s="25"/>
      <c r="K949" s="25"/>
    </row>
    <row r="950" spans="1:11" ht="12.75">
      <c r="A950" s="25"/>
      <c r="B950" s="25"/>
      <c r="C950" s="25"/>
      <c r="D950" s="25"/>
      <c r="E950" s="25"/>
      <c r="F950" s="25"/>
      <c r="G950" s="25"/>
      <c r="H950" s="25"/>
      <c r="I950" s="25"/>
      <c r="J950" s="25"/>
      <c r="K950" s="25"/>
    </row>
    <row r="951" spans="1:11" ht="12.75">
      <c r="A951" s="25"/>
      <c r="B951" s="25"/>
      <c r="C951" s="25"/>
      <c r="D951" s="25"/>
      <c r="E951" s="25"/>
      <c r="F951" s="25"/>
      <c r="G951" s="25"/>
      <c r="H951" s="25"/>
      <c r="I951" s="25"/>
      <c r="J951" s="25"/>
      <c r="K951" s="25"/>
    </row>
    <row r="952" spans="1:11" ht="12.75">
      <c r="A952" s="25"/>
      <c r="B952" s="25"/>
      <c r="C952" s="25"/>
      <c r="D952" s="25"/>
      <c r="E952" s="25"/>
      <c r="F952" s="25"/>
      <c r="G952" s="25"/>
      <c r="H952" s="25"/>
      <c r="I952" s="25"/>
      <c r="J952" s="25"/>
      <c r="K952" s="25"/>
    </row>
    <row r="953" spans="1:11" ht="12.75">
      <c r="A953" s="25"/>
      <c r="B953" s="25"/>
      <c r="C953" s="25"/>
      <c r="D953" s="25"/>
      <c r="E953" s="25"/>
      <c r="F953" s="25"/>
      <c r="G953" s="25"/>
      <c r="H953" s="25"/>
      <c r="I953" s="25"/>
      <c r="J953" s="25"/>
      <c r="K953" s="25"/>
    </row>
    <row r="954" spans="1:11" ht="12.75">
      <c r="A954" s="25"/>
      <c r="B954" s="25"/>
      <c r="C954" s="25"/>
      <c r="D954" s="25"/>
      <c r="E954" s="25"/>
      <c r="F954" s="25"/>
      <c r="G954" s="25"/>
      <c r="H954" s="25"/>
      <c r="I954" s="25"/>
      <c r="J954" s="25"/>
      <c r="K954" s="25"/>
    </row>
    <row r="955" spans="1:11" ht="12.75">
      <c r="A955" s="25"/>
      <c r="B955" s="25"/>
      <c r="C955" s="25"/>
      <c r="D955" s="25"/>
      <c r="E955" s="25"/>
      <c r="F955" s="25"/>
      <c r="G955" s="25"/>
      <c r="H955" s="25"/>
      <c r="I955" s="25"/>
      <c r="J955" s="25"/>
      <c r="K955" s="25"/>
    </row>
    <row r="956" spans="1:11" ht="12.75">
      <c r="A956" s="25"/>
      <c r="B956" s="25"/>
      <c r="C956" s="25"/>
      <c r="D956" s="25"/>
      <c r="E956" s="25"/>
      <c r="F956" s="25"/>
      <c r="G956" s="25"/>
      <c r="H956" s="25"/>
      <c r="I956" s="25"/>
      <c r="J956" s="25"/>
      <c r="K956" s="25"/>
    </row>
    <row r="957" spans="1:11" ht="12.75">
      <c r="A957" s="25"/>
      <c r="B957" s="25"/>
      <c r="C957" s="25"/>
      <c r="D957" s="25"/>
      <c r="E957" s="25"/>
      <c r="F957" s="25"/>
      <c r="G957" s="25"/>
      <c r="H957" s="25"/>
      <c r="I957" s="25"/>
      <c r="J957" s="25"/>
      <c r="K957" s="25"/>
    </row>
    <row r="958" spans="1:11" ht="12.75">
      <c r="A958" s="25"/>
      <c r="B958" s="25"/>
      <c r="C958" s="25"/>
      <c r="D958" s="25"/>
      <c r="E958" s="25"/>
      <c r="F958" s="25"/>
      <c r="G958" s="25"/>
      <c r="H958" s="25"/>
      <c r="I958" s="25"/>
      <c r="J958" s="25"/>
      <c r="K958" s="25"/>
    </row>
    <row r="959" spans="1:11" ht="12.75">
      <c r="A959" s="25"/>
      <c r="B959" s="25"/>
      <c r="C959" s="25"/>
      <c r="D959" s="25"/>
      <c r="E959" s="25"/>
      <c r="F959" s="25"/>
      <c r="G959" s="25"/>
      <c r="H959" s="25"/>
      <c r="I959" s="25"/>
      <c r="J959" s="25"/>
      <c r="K959" s="25"/>
    </row>
    <row r="960" spans="1:11" ht="12.75">
      <c r="A960" s="25"/>
      <c r="B960" s="25"/>
      <c r="C960" s="25"/>
      <c r="D960" s="25"/>
      <c r="E960" s="25"/>
      <c r="F960" s="25"/>
      <c r="G960" s="25"/>
      <c r="H960" s="25"/>
      <c r="I960" s="25"/>
      <c r="J960" s="25"/>
      <c r="K960" s="25"/>
    </row>
    <row r="961" spans="1:11" ht="12.75">
      <c r="A961" s="25"/>
      <c r="B961" s="25"/>
      <c r="C961" s="25"/>
      <c r="D961" s="25"/>
      <c r="E961" s="25"/>
      <c r="F961" s="25"/>
      <c r="G961" s="25"/>
      <c r="H961" s="25"/>
      <c r="I961" s="25"/>
      <c r="J961" s="25"/>
      <c r="K961" s="25"/>
    </row>
    <row r="962" spans="1:11" ht="12.75">
      <c r="A962" s="25"/>
      <c r="B962" s="25"/>
      <c r="C962" s="25"/>
      <c r="D962" s="25"/>
      <c r="E962" s="25"/>
      <c r="F962" s="25"/>
      <c r="G962" s="25"/>
      <c r="H962" s="25"/>
      <c r="I962" s="25"/>
      <c r="J962" s="25"/>
      <c r="K962" s="25"/>
    </row>
    <row r="963" spans="1:11" ht="12.75">
      <c r="A963" s="25"/>
      <c r="B963" s="25"/>
      <c r="C963" s="25"/>
      <c r="D963" s="25"/>
      <c r="E963" s="25"/>
      <c r="F963" s="25"/>
      <c r="G963" s="25"/>
      <c r="H963" s="25"/>
      <c r="I963" s="25"/>
      <c r="J963" s="25"/>
      <c r="K963" s="25"/>
    </row>
    <row r="964" spans="1:11" ht="12.75">
      <c r="A964" s="25"/>
      <c r="B964" s="25"/>
      <c r="C964" s="25"/>
      <c r="D964" s="25"/>
      <c r="E964" s="25"/>
      <c r="F964" s="25"/>
      <c r="G964" s="25"/>
      <c r="H964" s="25"/>
      <c r="I964" s="25"/>
      <c r="J964" s="25"/>
      <c r="K964" s="25"/>
    </row>
    <row r="965" spans="1:11" ht="12.75">
      <c r="A965" s="25"/>
      <c r="B965" s="25"/>
      <c r="C965" s="25"/>
      <c r="D965" s="25"/>
      <c r="E965" s="25"/>
      <c r="F965" s="25"/>
      <c r="G965" s="25"/>
      <c r="H965" s="25"/>
      <c r="I965" s="25"/>
      <c r="J965" s="25"/>
      <c r="K965" s="25"/>
    </row>
    <row r="966" spans="1:11" ht="12.75">
      <c r="A966" s="25"/>
      <c r="B966" s="25"/>
      <c r="C966" s="25"/>
      <c r="D966" s="25"/>
      <c r="E966" s="25"/>
      <c r="F966" s="25"/>
      <c r="G966" s="25"/>
      <c r="H966" s="25"/>
      <c r="I966" s="25"/>
      <c r="J966" s="25"/>
      <c r="K966" s="25"/>
    </row>
    <row r="967" spans="1:11" ht="12.75">
      <c r="A967" s="25"/>
      <c r="B967" s="25"/>
      <c r="C967" s="25"/>
      <c r="D967" s="25"/>
      <c r="E967" s="25"/>
      <c r="F967" s="25"/>
      <c r="G967" s="25"/>
      <c r="H967" s="25"/>
      <c r="I967" s="25"/>
      <c r="J967" s="25"/>
      <c r="K967" s="25"/>
    </row>
    <row r="968" spans="1:11" ht="12.75">
      <c r="A968" s="25"/>
      <c r="B968" s="25"/>
      <c r="C968" s="25"/>
      <c r="D968" s="25"/>
      <c r="E968" s="25"/>
      <c r="F968" s="25"/>
      <c r="G968" s="25"/>
      <c r="H968" s="25"/>
      <c r="I968" s="25"/>
      <c r="J968" s="25"/>
      <c r="K968" s="25"/>
    </row>
    <row r="969" spans="1:11" ht="12.75">
      <c r="A969" s="25"/>
      <c r="B969" s="25"/>
      <c r="C969" s="25"/>
      <c r="D969" s="25"/>
      <c r="E969" s="25"/>
      <c r="F969" s="25"/>
      <c r="G969" s="25"/>
      <c r="H969" s="25"/>
      <c r="I969" s="25"/>
      <c r="J969" s="25"/>
      <c r="K969" s="25"/>
    </row>
    <row r="970" spans="1:11" ht="12.75">
      <c r="A970" s="25"/>
      <c r="B970" s="25"/>
      <c r="C970" s="25"/>
      <c r="D970" s="25"/>
      <c r="E970" s="25"/>
      <c r="F970" s="25"/>
      <c r="G970" s="25"/>
      <c r="H970" s="25"/>
      <c r="I970" s="25"/>
      <c r="J970" s="25"/>
      <c r="K970" s="25"/>
    </row>
    <row r="971" spans="1:11" ht="12.75">
      <c r="A971" s="25"/>
      <c r="B971" s="25"/>
      <c r="C971" s="25"/>
      <c r="D971" s="25"/>
      <c r="E971" s="25"/>
      <c r="F971" s="25"/>
      <c r="G971" s="25"/>
      <c r="H971" s="25"/>
      <c r="I971" s="25"/>
      <c r="J971" s="25"/>
      <c r="K971" s="25"/>
    </row>
    <row r="972" spans="1:11" ht="12.75">
      <c r="A972" s="25"/>
      <c r="B972" s="25"/>
      <c r="C972" s="25"/>
      <c r="D972" s="25"/>
      <c r="E972" s="25"/>
      <c r="F972" s="25"/>
      <c r="G972" s="25"/>
      <c r="H972" s="25"/>
      <c r="I972" s="25"/>
      <c r="J972" s="25"/>
      <c r="K972" s="25"/>
    </row>
    <row r="973" spans="1:11" ht="12.75">
      <c r="A973" s="25"/>
      <c r="B973" s="25"/>
      <c r="C973" s="25"/>
      <c r="D973" s="25"/>
      <c r="E973" s="25"/>
      <c r="F973" s="25"/>
      <c r="G973" s="25"/>
      <c r="H973" s="25"/>
      <c r="I973" s="25"/>
      <c r="J973" s="25"/>
      <c r="K973" s="25"/>
    </row>
    <row r="974" spans="1:11" ht="12.75">
      <c r="A974" s="25"/>
      <c r="B974" s="25"/>
      <c r="C974" s="25"/>
      <c r="D974" s="25"/>
      <c r="E974" s="25"/>
      <c r="F974" s="25"/>
      <c r="G974" s="25"/>
      <c r="H974" s="25"/>
      <c r="I974" s="25"/>
      <c r="J974" s="25"/>
      <c r="K974" s="25"/>
    </row>
    <row r="975" spans="1:11" ht="12.75">
      <c r="A975" s="25"/>
      <c r="B975" s="25"/>
      <c r="C975" s="25"/>
      <c r="D975" s="25"/>
      <c r="E975" s="25"/>
      <c r="F975" s="25"/>
      <c r="G975" s="25"/>
      <c r="H975" s="25"/>
      <c r="I975" s="25"/>
      <c r="J975" s="25"/>
      <c r="K975" s="25"/>
    </row>
    <row r="976" spans="1:11" ht="12.75">
      <c r="A976" s="25"/>
      <c r="B976" s="25"/>
      <c r="C976" s="25"/>
      <c r="D976" s="25"/>
      <c r="E976" s="25"/>
      <c r="F976" s="25"/>
      <c r="G976" s="25"/>
      <c r="H976" s="25"/>
      <c r="I976" s="25"/>
      <c r="J976" s="25"/>
      <c r="K976" s="25"/>
    </row>
    <row r="977" spans="1:11" ht="12.75">
      <c r="A977" s="25"/>
      <c r="B977" s="25"/>
      <c r="C977" s="25"/>
      <c r="D977" s="25"/>
      <c r="E977" s="25"/>
      <c r="F977" s="25"/>
      <c r="G977" s="25"/>
      <c r="H977" s="25"/>
      <c r="I977" s="25"/>
      <c r="J977" s="25"/>
      <c r="K977" s="25"/>
    </row>
    <row r="978" spans="1:11" ht="12.75">
      <c r="A978" s="25"/>
      <c r="B978" s="25"/>
      <c r="C978" s="25"/>
      <c r="D978" s="25"/>
      <c r="E978" s="25"/>
      <c r="F978" s="25"/>
      <c r="G978" s="25"/>
      <c r="H978" s="25"/>
      <c r="I978" s="25"/>
      <c r="J978" s="25"/>
      <c r="K978" s="25"/>
    </row>
    <row r="979" spans="1:11" ht="12.75">
      <c r="A979" s="25"/>
      <c r="B979" s="25"/>
      <c r="C979" s="25"/>
      <c r="D979" s="25"/>
      <c r="E979" s="25"/>
      <c r="F979" s="25"/>
      <c r="G979" s="25"/>
      <c r="H979" s="25"/>
      <c r="I979" s="25"/>
      <c r="J979" s="25"/>
      <c r="K979" s="25"/>
    </row>
    <row r="980" spans="1:11" ht="12.75">
      <c r="A980" s="25"/>
      <c r="B980" s="25"/>
      <c r="C980" s="25"/>
      <c r="D980" s="25"/>
      <c r="E980" s="25"/>
      <c r="F980" s="25"/>
      <c r="G980" s="25"/>
      <c r="H980" s="25"/>
      <c r="I980" s="25"/>
      <c r="J980" s="25"/>
      <c r="K980" s="25"/>
    </row>
    <row r="981" spans="1:11" ht="12.75">
      <c r="A981" s="25"/>
      <c r="B981" s="25"/>
      <c r="C981" s="25"/>
      <c r="D981" s="25"/>
      <c r="E981" s="25"/>
      <c r="F981" s="25"/>
      <c r="G981" s="25"/>
      <c r="H981" s="25"/>
      <c r="I981" s="25"/>
      <c r="J981" s="25"/>
      <c r="K981" s="25"/>
    </row>
    <row r="982" spans="1:11" ht="12.75">
      <c r="A982" s="25"/>
      <c r="B982" s="25"/>
      <c r="C982" s="25"/>
      <c r="D982" s="25"/>
      <c r="E982" s="25"/>
      <c r="F982" s="25"/>
      <c r="G982" s="25"/>
      <c r="H982" s="25"/>
      <c r="I982" s="25"/>
      <c r="J982" s="25"/>
      <c r="K982" s="25"/>
    </row>
    <row r="983" spans="1:11" ht="12.75">
      <c r="A983" s="25"/>
      <c r="B983" s="25"/>
      <c r="C983" s="25"/>
      <c r="D983" s="25"/>
      <c r="E983" s="25"/>
      <c r="F983" s="25"/>
      <c r="G983" s="25"/>
      <c r="H983" s="25"/>
      <c r="I983" s="25"/>
      <c r="J983" s="25"/>
      <c r="K983" s="25"/>
    </row>
    <row r="984" spans="1:11" ht="12.75">
      <c r="A984" s="25"/>
      <c r="B984" s="25"/>
      <c r="C984" s="25"/>
      <c r="D984" s="25"/>
      <c r="E984" s="25"/>
      <c r="F984" s="25"/>
      <c r="G984" s="25"/>
      <c r="H984" s="25"/>
      <c r="I984" s="25"/>
      <c r="J984" s="25"/>
      <c r="K984" s="25"/>
    </row>
    <row r="985" spans="1:11" ht="12.75">
      <c r="A985" s="25"/>
      <c r="B985" s="25"/>
      <c r="C985" s="25"/>
      <c r="D985" s="25"/>
      <c r="E985" s="25"/>
      <c r="F985" s="25"/>
      <c r="G985" s="25"/>
      <c r="H985" s="25"/>
      <c r="I985" s="25"/>
      <c r="J985" s="25"/>
      <c r="K985" s="25"/>
    </row>
    <row r="986" spans="1:11" ht="12.75">
      <c r="A986" s="25"/>
      <c r="B986" s="25"/>
      <c r="C986" s="25"/>
      <c r="D986" s="25"/>
      <c r="E986" s="25"/>
      <c r="F986" s="25"/>
      <c r="G986" s="25"/>
      <c r="H986" s="25"/>
      <c r="I986" s="25"/>
      <c r="J986" s="25"/>
      <c r="K986" s="25"/>
    </row>
    <row r="987" spans="1:11" ht="12.75">
      <c r="A987" s="25"/>
      <c r="B987" s="25"/>
      <c r="C987" s="25"/>
      <c r="D987" s="25"/>
      <c r="E987" s="25"/>
      <c r="F987" s="25"/>
      <c r="G987" s="25"/>
      <c r="H987" s="25"/>
      <c r="I987" s="25"/>
      <c r="J987" s="25"/>
      <c r="K987" s="25"/>
    </row>
    <row r="988" spans="1:11" ht="12.75">
      <c r="A988" s="25"/>
      <c r="B988" s="25"/>
      <c r="C988" s="25"/>
      <c r="D988" s="25"/>
      <c r="E988" s="25"/>
      <c r="F988" s="25"/>
      <c r="G988" s="25"/>
      <c r="H988" s="25"/>
      <c r="I988" s="25"/>
      <c r="J988" s="25"/>
      <c r="K988" s="25"/>
    </row>
    <row r="989" spans="1:11" ht="12.75">
      <c r="A989" s="25"/>
      <c r="B989" s="25"/>
      <c r="C989" s="25"/>
      <c r="D989" s="25"/>
      <c r="E989" s="25"/>
      <c r="F989" s="25"/>
      <c r="G989" s="25"/>
      <c r="H989" s="25"/>
      <c r="I989" s="25"/>
      <c r="J989" s="25"/>
      <c r="K989" s="25"/>
    </row>
    <row r="990" spans="1:11" ht="12.75">
      <c r="A990" s="25"/>
      <c r="B990" s="25"/>
      <c r="C990" s="25"/>
      <c r="D990" s="25"/>
      <c r="E990" s="25"/>
      <c r="F990" s="25"/>
      <c r="G990" s="25"/>
      <c r="H990" s="25"/>
      <c r="I990" s="25"/>
      <c r="J990" s="25"/>
      <c r="K990" s="25"/>
    </row>
    <row r="991" spans="1:11" ht="12.75">
      <c r="A991" s="25"/>
      <c r="B991" s="25"/>
      <c r="C991" s="25"/>
      <c r="D991" s="25"/>
      <c r="E991" s="25"/>
      <c r="F991" s="25"/>
      <c r="G991" s="25"/>
      <c r="H991" s="25"/>
      <c r="I991" s="25"/>
      <c r="J991" s="25"/>
      <c r="K991" s="25"/>
    </row>
    <row r="992" spans="1:11" ht="12.75">
      <c r="A992" s="25"/>
      <c r="B992" s="25"/>
      <c r="C992" s="25"/>
      <c r="D992" s="25"/>
      <c r="E992" s="25"/>
      <c r="F992" s="25"/>
      <c r="G992" s="25"/>
      <c r="H992" s="25"/>
      <c r="I992" s="25"/>
      <c r="J992" s="25"/>
      <c r="K992" s="25"/>
    </row>
    <row r="993" spans="1:11" ht="12.75">
      <c r="A993" s="25"/>
      <c r="B993" s="25"/>
      <c r="C993" s="25"/>
      <c r="D993" s="25"/>
      <c r="E993" s="25"/>
      <c r="F993" s="25"/>
      <c r="G993" s="25"/>
      <c r="H993" s="25"/>
      <c r="I993" s="25"/>
      <c r="J993" s="25"/>
      <c r="K993" s="25"/>
    </row>
    <row r="994" spans="1:11" ht="12.75">
      <c r="A994" s="25"/>
      <c r="B994" s="25"/>
      <c r="C994" s="25"/>
      <c r="D994" s="25"/>
      <c r="E994" s="25"/>
      <c r="F994" s="25"/>
      <c r="G994" s="25"/>
      <c r="H994" s="25"/>
      <c r="I994" s="25"/>
      <c r="J994" s="25"/>
      <c r="K994" s="25"/>
    </row>
    <row r="995" spans="1:11" ht="12.75">
      <c r="A995" s="25"/>
      <c r="B995" s="25"/>
      <c r="C995" s="25"/>
      <c r="D995" s="25"/>
      <c r="E995" s="25"/>
      <c r="F995" s="25"/>
      <c r="G995" s="25"/>
      <c r="H995" s="25"/>
      <c r="I995" s="25"/>
      <c r="J995" s="25"/>
      <c r="K995" s="25"/>
    </row>
    <row r="996" spans="1:11" ht="12.75">
      <c r="A996" s="25"/>
      <c r="B996" s="25"/>
      <c r="C996" s="25"/>
      <c r="D996" s="25"/>
      <c r="E996" s="25"/>
      <c r="F996" s="25"/>
      <c r="G996" s="25"/>
      <c r="H996" s="25"/>
      <c r="I996" s="25"/>
      <c r="J996" s="25"/>
      <c r="K996" s="25"/>
    </row>
    <row r="997" spans="1:11" ht="12.75">
      <c r="A997" s="25"/>
      <c r="B997" s="25"/>
      <c r="C997" s="25"/>
      <c r="D997" s="25"/>
      <c r="E997" s="25"/>
      <c r="F997" s="25"/>
      <c r="G997" s="25"/>
      <c r="H997" s="25"/>
      <c r="I997" s="25"/>
      <c r="J997" s="25"/>
      <c r="K997" s="25"/>
    </row>
    <row r="998" spans="1:11" ht="12.75">
      <c r="A998" s="25"/>
      <c r="B998" s="25"/>
      <c r="C998" s="25"/>
      <c r="D998" s="25"/>
      <c r="E998" s="25"/>
      <c r="F998" s="25"/>
      <c r="G998" s="25"/>
      <c r="H998" s="25"/>
      <c r="I998" s="25"/>
      <c r="J998" s="25"/>
      <c r="K998" s="25"/>
    </row>
  </sheetData>
  <sheetProtection/>
  <mergeCells count="12">
    <mergeCell ref="F41:J45"/>
    <mergeCell ref="A15:D45"/>
    <mergeCell ref="B4:J4"/>
    <mergeCell ref="E5:J5"/>
    <mergeCell ref="A5:D5"/>
    <mergeCell ref="A6:D6"/>
    <mergeCell ref="E6:J6"/>
    <mergeCell ref="H28:J39"/>
    <mergeCell ref="B1:G2"/>
    <mergeCell ref="B3:G3"/>
    <mergeCell ref="B8:I12"/>
    <mergeCell ref="F15:J25"/>
  </mergeCells>
  <printOptions/>
  <pageMargins left="0.42" right="0.4" top="0.72" bottom="0.43" header="0" footer="0"/>
  <pageSetup fitToHeight="1" fitToWidth="1" horizontalDpi="300" verticalDpi="300" orientation="portrait" scale="81" r:id="rId2"/>
  <drawing r:id="rId1"/>
</worksheet>
</file>

<file path=xl/worksheets/sheet3.xml><?xml version="1.0" encoding="utf-8"?>
<worksheet xmlns="http://schemas.openxmlformats.org/spreadsheetml/2006/main" xmlns:r="http://schemas.openxmlformats.org/officeDocument/2006/relationships">
  <dimension ref="A1:AG165"/>
  <sheetViews>
    <sheetView zoomScalePageLayoutView="0" workbookViewId="0" topLeftCell="E5">
      <pane xSplit="8835" ySplit="945" topLeftCell="L91" activePane="bottomLeft" state="split"/>
      <selection pane="topLeft" activeCell="E6" sqref="E6"/>
      <selection pane="topRight" activeCell="S7" sqref="S7"/>
      <selection pane="bottomLeft" activeCell="G112" sqref="G112:J112"/>
      <selection pane="bottomRight" activeCell="L105" sqref="L105"/>
    </sheetView>
  </sheetViews>
  <sheetFormatPr defaultColWidth="11.421875" defaultRowHeight="12.75"/>
  <cols>
    <col min="1" max="1" width="9.57421875" style="0" customWidth="1"/>
    <col min="2" max="2" width="12.140625" style="14" customWidth="1"/>
    <col min="3" max="3" width="8.421875" style="16" customWidth="1"/>
    <col min="4" max="4" width="8.421875" style="493" customWidth="1"/>
    <col min="5" max="5" width="10.421875" style="493" customWidth="1"/>
    <col min="6" max="6" width="5.140625" style="199" customWidth="1"/>
    <col min="7" max="7" width="19.8515625" style="0" customWidth="1"/>
    <col min="8" max="8" width="14.421875" style="0" customWidth="1"/>
    <col min="9" max="9" width="17.8515625" style="0" customWidth="1"/>
    <col min="10" max="10" width="14.7109375" style="0" customWidth="1"/>
    <col min="11" max="11" width="6.57421875" style="0" bestFit="1" customWidth="1"/>
    <col min="12" max="12" width="61.00390625" style="0" customWidth="1"/>
    <col min="13" max="13" width="2.140625" style="0" customWidth="1"/>
    <col min="14" max="14" width="14.57421875" style="0" customWidth="1"/>
    <col min="15" max="15" width="7.421875" style="1" customWidth="1"/>
    <col min="16" max="18" width="7.7109375" style="0" customWidth="1"/>
    <col min="19" max="19" width="7.7109375" style="332" customWidth="1"/>
    <col min="20" max="22" width="7.7109375" style="0" customWidth="1"/>
    <col min="23" max="23" width="7.7109375" style="326" customWidth="1"/>
    <col min="24" max="26" width="7.7109375" style="0" customWidth="1"/>
    <col min="27" max="27" width="7.7109375" style="326" customWidth="1"/>
    <col min="28" max="30" width="7.7109375" style="0" customWidth="1"/>
    <col min="31" max="31" width="7.7109375" style="326" customWidth="1"/>
    <col min="32" max="33" width="11.421875" style="25" customWidth="1"/>
  </cols>
  <sheetData>
    <row r="1" spans="1:30" ht="12.75">
      <c r="A1" s="2"/>
      <c r="B1" s="770" t="s">
        <v>166</v>
      </c>
      <c r="C1" s="770"/>
      <c r="D1" s="770"/>
      <c r="E1" s="770"/>
      <c r="F1" s="770"/>
      <c r="G1" s="770"/>
      <c r="H1" s="770"/>
      <c r="I1" s="770"/>
      <c r="J1" s="770"/>
      <c r="K1" s="1"/>
      <c r="L1" s="1"/>
      <c r="M1" s="1"/>
      <c r="N1" s="1"/>
      <c r="P1" s="1"/>
      <c r="Q1" s="1"/>
      <c r="R1" s="1"/>
      <c r="S1" s="329"/>
      <c r="T1" s="1"/>
      <c r="U1" s="1"/>
      <c r="V1" s="1"/>
      <c r="X1" s="1"/>
      <c r="Y1" s="1"/>
      <c r="Z1" s="1"/>
      <c r="AB1" s="1"/>
      <c r="AC1" s="1"/>
      <c r="AD1" s="1"/>
    </row>
    <row r="2" spans="1:30" ht="12.75">
      <c r="A2" s="2"/>
      <c r="B2" s="770"/>
      <c r="C2" s="770"/>
      <c r="D2" s="770"/>
      <c r="E2" s="770"/>
      <c r="F2" s="770"/>
      <c r="G2" s="770"/>
      <c r="H2" s="770"/>
      <c r="I2" s="770"/>
      <c r="J2" s="770"/>
      <c r="K2" s="1"/>
      <c r="L2" s="1"/>
      <c r="M2" s="1"/>
      <c r="N2" s="1"/>
      <c r="P2" s="1"/>
      <c r="Q2" s="1"/>
      <c r="R2" s="1"/>
      <c r="S2" s="329"/>
      <c r="T2" s="1"/>
      <c r="U2" s="1"/>
      <c r="V2" s="1"/>
      <c r="X2" s="1"/>
      <c r="Y2" s="1"/>
      <c r="Z2" s="1"/>
      <c r="AB2" s="1"/>
      <c r="AC2" s="1"/>
      <c r="AD2" s="1"/>
    </row>
    <row r="3" spans="1:30" ht="12.75">
      <c r="A3" s="2"/>
      <c r="B3" s="770" t="s">
        <v>627</v>
      </c>
      <c r="C3" s="770"/>
      <c r="D3" s="770"/>
      <c r="E3" s="770"/>
      <c r="F3" s="770"/>
      <c r="G3" s="770"/>
      <c r="H3" s="770"/>
      <c r="I3" s="770"/>
      <c r="J3" s="770"/>
      <c r="K3" s="1"/>
      <c r="L3" s="1"/>
      <c r="M3" s="1"/>
      <c r="N3" s="1"/>
      <c r="P3" s="1"/>
      <c r="Q3" s="1" t="s">
        <v>198</v>
      </c>
      <c r="R3" s="1"/>
      <c r="S3" s="329"/>
      <c r="T3" s="1"/>
      <c r="U3" s="1"/>
      <c r="V3" s="1"/>
      <c r="X3" s="1"/>
      <c r="Y3" s="1"/>
      <c r="Z3" s="1"/>
      <c r="AB3" s="1"/>
      <c r="AC3" s="1"/>
      <c r="AD3" s="1"/>
    </row>
    <row r="4" spans="1:30" ht="13.5" thickBot="1">
      <c r="A4" s="11"/>
      <c r="B4" s="804" t="s">
        <v>148</v>
      </c>
      <c r="C4" s="804"/>
      <c r="D4" s="804"/>
      <c r="E4" s="804"/>
      <c r="F4" s="804"/>
      <c r="G4" s="804"/>
      <c r="H4" s="804"/>
      <c r="I4" s="804"/>
      <c r="J4" s="804"/>
      <c r="K4" s="804"/>
      <c r="L4" s="804"/>
      <c r="M4" s="12"/>
      <c r="N4" s="1"/>
      <c r="P4" s="1"/>
      <c r="Q4" s="1"/>
      <c r="R4" s="1"/>
      <c r="S4" s="329"/>
      <c r="T4" s="1"/>
      <c r="U4" s="1"/>
      <c r="V4" s="1"/>
      <c r="X4" s="1"/>
      <c r="Y4" s="1"/>
      <c r="Z4" s="1"/>
      <c r="AB4" s="1"/>
      <c r="AC4" s="1"/>
      <c r="AD4" s="1"/>
    </row>
    <row r="5" spans="1:31" ht="40.5" customHeight="1" thickBot="1">
      <c r="A5" s="2"/>
      <c r="B5" s="3"/>
      <c r="C5" s="17" t="s">
        <v>196</v>
      </c>
      <c r="D5" s="491" t="s">
        <v>23</v>
      </c>
      <c r="E5" s="491" t="s">
        <v>24</v>
      </c>
      <c r="F5" s="3"/>
      <c r="G5" s="3"/>
      <c r="H5" s="3"/>
      <c r="I5" s="3"/>
      <c r="J5" s="3"/>
      <c r="K5" s="3"/>
      <c r="L5" s="87"/>
      <c r="M5" s="1"/>
      <c r="N5" s="18" t="s">
        <v>176</v>
      </c>
      <c r="O5" s="18" t="s">
        <v>197</v>
      </c>
      <c r="P5" s="19" t="s">
        <v>177</v>
      </c>
      <c r="Q5" s="19" t="s">
        <v>178</v>
      </c>
      <c r="R5" s="19" t="s">
        <v>179</v>
      </c>
      <c r="S5" s="330" t="s">
        <v>420</v>
      </c>
      <c r="T5" s="19" t="s">
        <v>180</v>
      </c>
      <c r="U5" s="19" t="s">
        <v>181</v>
      </c>
      <c r="V5" s="19" t="s">
        <v>182</v>
      </c>
      <c r="W5" s="333" t="s">
        <v>419</v>
      </c>
      <c r="X5" s="19" t="s">
        <v>183</v>
      </c>
      <c r="Y5" s="19" t="s">
        <v>184</v>
      </c>
      <c r="Z5" s="19" t="s">
        <v>185</v>
      </c>
      <c r="AA5" s="333" t="s">
        <v>421</v>
      </c>
      <c r="AB5" s="19" t="s">
        <v>186</v>
      </c>
      <c r="AC5" s="19" t="s">
        <v>187</v>
      </c>
      <c r="AD5" s="20" t="s">
        <v>188</v>
      </c>
      <c r="AE5" s="333" t="s">
        <v>626</v>
      </c>
    </row>
    <row r="6" spans="1:33" s="228" customFormat="1" ht="15.75" customHeight="1" thickBot="1">
      <c r="A6" s="334"/>
      <c r="B6" s="335"/>
      <c r="C6" s="336"/>
      <c r="D6" s="491"/>
      <c r="E6" s="491"/>
      <c r="F6" s="335"/>
      <c r="G6" s="828" t="s">
        <v>629</v>
      </c>
      <c r="H6" s="828"/>
      <c r="I6" s="828"/>
      <c r="J6" s="828"/>
      <c r="K6" s="828"/>
      <c r="L6" s="829"/>
      <c r="M6" s="334"/>
      <c r="N6" s="341"/>
      <c r="O6" s="36">
        <f>+S6+W6+AA6+AE6</f>
        <v>28</v>
      </c>
      <c r="P6" s="341">
        <f>SUM(P7:P8)</f>
        <v>1</v>
      </c>
      <c r="Q6" s="341">
        <f aca="true" t="shared" si="0" ref="Q6:AD6">SUM(Q7:Q8)</f>
        <v>5</v>
      </c>
      <c r="R6" s="341">
        <f t="shared" si="0"/>
        <v>3</v>
      </c>
      <c r="S6" s="337">
        <f>SUM(P6:R6)</f>
        <v>9</v>
      </c>
      <c r="T6" s="341">
        <f t="shared" si="0"/>
        <v>3</v>
      </c>
      <c r="U6" s="341">
        <f t="shared" si="0"/>
        <v>3</v>
      </c>
      <c r="V6" s="341">
        <f t="shared" si="0"/>
        <v>2</v>
      </c>
      <c r="W6" s="337">
        <f>SUM(T6:V6)</f>
        <v>8</v>
      </c>
      <c r="X6" s="341">
        <f t="shared" si="0"/>
        <v>0</v>
      </c>
      <c r="Y6" s="341">
        <f t="shared" si="0"/>
        <v>3</v>
      </c>
      <c r="Z6" s="341">
        <f t="shared" si="0"/>
        <v>3</v>
      </c>
      <c r="AA6" s="337">
        <f>SUM(X6:Z6)</f>
        <v>6</v>
      </c>
      <c r="AB6" s="341">
        <f t="shared" si="0"/>
        <v>3</v>
      </c>
      <c r="AC6" s="341">
        <f t="shared" si="0"/>
        <v>1</v>
      </c>
      <c r="AD6" s="341">
        <f t="shared" si="0"/>
        <v>1</v>
      </c>
      <c r="AE6" s="337">
        <f>SUM(AB6:AD6)</f>
        <v>5</v>
      </c>
      <c r="AF6" s="340"/>
      <c r="AG6" s="340"/>
    </row>
    <row r="7" spans="1:31" ht="30" customHeight="1" thickBot="1">
      <c r="A7" s="26"/>
      <c r="B7" s="27"/>
      <c r="C7" s="28" t="s">
        <v>632</v>
      </c>
      <c r="D7" s="492"/>
      <c r="E7" s="492"/>
      <c r="F7" s="200">
        <v>1</v>
      </c>
      <c r="G7" s="819" t="s">
        <v>630</v>
      </c>
      <c r="H7" s="820"/>
      <c r="I7" s="820"/>
      <c r="J7" s="821"/>
      <c r="K7" s="3">
        <f>+F7+0.1</f>
        <v>1.1</v>
      </c>
      <c r="L7" s="29" t="s">
        <v>631</v>
      </c>
      <c r="M7" s="1"/>
      <c r="N7" s="327" t="s">
        <v>225</v>
      </c>
      <c r="O7" s="36">
        <f aca="true" t="shared" si="1" ref="O7:O71">+S7+W7+AA7+AE7</f>
        <v>17</v>
      </c>
      <c r="P7" s="121"/>
      <c r="Q7" s="121">
        <v>4</v>
      </c>
      <c r="R7" s="121">
        <v>2</v>
      </c>
      <c r="S7" s="331">
        <f>SUM(P7:R7)</f>
        <v>6</v>
      </c>
      <c r="T7" s="121">
        <v>2</v>
      </c>
      <c r="U7" s="121">
        <v>2</v>
      </c>
      <c r="V7" s="121">
        <v>1</v>
      </c>
      <c r="W7" s="327">
        <f>SUM(T7:V7)</f>
        <v>5</v>
      </c>
      <c r="X7" s="121"/>
      <c r="Y7" s="121">
        <v>2</v>
      </c>
      <c r="Z7" s="121">
        <v>2</v>
      </c>
      <c r="AA7" s="327">
        <f>SUM(X7:Z7)</f>
        <v>4</v>
      </c>
      <c r="AB7" s="121">
        <v>2</v>
      </c>
      <c r="AC7" s="121"/>
      <c r="AD7" s="122"/>
      <c r="AE7" s="327">
        <f>SUM(AB7:AD7)</f>
        <v>2</v>
      </c>
    </row>
    <row r="8" spans="1:31" ht="29.25" customHeight="1" thickBot="1">
      <c r="A8" s="26"/>
      <c r="B8" s="27"/>
      <c r="C8" s="28" t="s">
        <v>632</v>
      </c>
      <c r="D8" s="492"/>
      <c r="E8" s="492"/>
      <c r="F8" s="200">
        <v>2</v>
      </c>
      <c r="G8" s="819" t="s">
        <v>633</v>
      </c>
      <c r="H8" s="820"/>
      <c r="I8" s="820"/>
      <c r="J8" s="821"/>
      <c r="K8" s="3">
        <f>+F8+0.1</f>
        <v>2.1</v>
      </c>
      <c r="L8" s="29" t="s">
        <v>634</v>
      </c>
      <c r="M8" s="1"/>
      <c r="N8" s="327" t="s">
        <v>225</v>
      </c>
      <c r="O8" s="36">
        <f t="shared" si="1"/>
        <v>11</v>
      </c>
      <c r="P8" s="121">
        <v>1</v>
      </c>
      <c r="Q8" s="121">
        <v>1</v>
      </c>
      <c r="R8" s="121">
        <v>1</v>
      </c>
      <c r="S8" s="331">
        <f>SUM(P8:R8)</f>
        <v>3</v>
      </c>
      <c r="T8" s="121">
        <v>1</v>
      </c>
      <c r="U8" s="121">
        <v>1</v>
      </c>
      <c r="V8" s="121">
        <v>1</v>
      </c>
      <c r="W8" s="327">
        <f aca="true" t="shared" si="2" ref="W8:W84">SUM(T8:V8)</f>
        <v>3</v>
      </c>
      <c r="X8" s="121"/>
      <c r="Y8" s="121">
        <v>1</v>
      </c>
      <c r="Z8" s="121">
        <v>1</v>
      </c>
      <c r="AA8" s="327">
        <f aca="true" t="shared" si="3" ref="AA8:AA72">SUM(X8:Z8)</f>
        <v>2</v>
      </c>
      <c r="AB8" s="121">
        <v>1</v>
      </c>
      <c r="AC8" s="121">
        <v>1</v>
      </c>
      <c r="AD8" s="122">
        <v>1</v>
      </c>
      <c r="AE8" s="327">
        <f aca="true" t="shared" si="4" ref="AE8:AE72">SUM(AB8:AD8)</f>
        <v>3</v>
      </c>
    </row>
    <row r="9" spans="1:33" s="228" customFormat="1" ht="15.75" customHeight="1" thickBot="1">
      <c r="A9" s="339"/>
      <c r="B9" s="27"/>
      <c r="C9" s="28"/>
      <c r="D9" s="492"/>
      <c r="E9" s="492"/>
      <c r="F9" s="200"/>
      <c r="G9" s="828" t="s">
        <v>639</v>
      </c>
      <c r="H9" s="828"/>
      <c r="I9" s="828"/>
      <c r="J9" s="828"/>
      <c r="K9" s="828"/>
      <c r="L9" s="829"/>
      <c r="M9" s="334"/>
      <c r="N9" s="358"/>
      <c r="O9" s="36">
        <f>SUM(O10:O30)</f>
        <v>157</v>
      </c>
      <c r="P9" s="337">
        <f>SUM(P10:P29)</f>
        <v>7</v>
      </c>
      <c r="Q9" s="337">
        <f>SUM(Q10:Q29)</f>
        <v>18</v>
      </c>
      <c r="R9" s="337">
        <f>SUM(R10:R29)</f>
        <v>18</v>
      </c>
      <c r="S9" s="337">
        <f>SUM(P9:R9)</f>
        <v>43</v>
      </c>
      <c r="T9" s="337">
        <f>SUM(T10:T29)</f>
        <v>18</v>
      </c>
      <c r="U9" s="337">
        <f>SUM(U10:U29)</f>
        <v>12</v>
      </c>
      <c r="V9" s="337">
        <f>SUM(V10:V29)</f>
        <v>12</v>
      </c>
      <c r="W9" s="337">
        <f t="shared" si="2"/>
        <v>42</v>
      </c>
      <c r="X9" s="337">
        <f>SUM(X10:X29)</f>
        <v>3</v>
      </c>
      <c r="Y9" s="337">
        <f>SUM(Y10:Y29)</f>
        <v>10</v>
      </c>
      <c r="Z9" s="337">
        <f>SUM(Z10:Z29)</f>
        <v>16</v>
      </c>
      <c r="AA9" s="327">
        <f t="shared" si="3"/>
        <v>29</v>
      </c>
      <c r="AB9" s="337">
        <f>SUM(AB10:AB29)</f>
        <v>15</v>
      </c>
      <c r="AC9" s="337">
        <f>SUM(AC10:AC29)</f>
        <v>10</v>
      </c>
      <c r="AD9" s="337">
        <f>SUM(AD10:AD29)</f>
        <v>6</v>
      </c>
      <c r="AE9" s="327">
        <f t="shared" si="4"/>
        <v>31</v>
      </c>
      <c r="AF9" s="340"/>
      <c r="AG9" s="340"/>
    </row>
    <row r="10" spans="1:31" s="404" customFormat="1" ht="29.25" customHeight="1" thickBot="1">
      <c r="A10" s="398"/>
      <c r="B10" s="399"/>
      <c r="C10" s="400">
        <v>2.3</v>
      </c>
      <c r="D10" s="492"/>
      <c r="E10" s="492"/>
      <c r="F10" s="401">
        <v>3</v>
      </c>
      <c r="G10" s="816" t="s">
        <v>644</v>
      </c>
      <c r="H10" s="817"/>
      <c r="I10" s="817"/>
      <c r="J10" s="818"/>
      <c r="K10" s="402">
        <f aca="true" t="shared" si="5" ref="K10:K21">+F10+0.1</f>
        <v>3.1</v>
      </c>
      <c r="L10" s="403" t="s">
        <v>645</v>
      </c>
      <c r="N10" s="405" t="s">
        <v>231</v>
      </c>
      <c r="O10" s="406">
        <f t="shared" si="1"/>
        <v>12</v>
      </c>
      <c r="P10" s="405">
        <v>1</v>
      </c>
      <c r="Q10" s="405">
        <v>1</v>
      </c>
      <c r="R10" s="405">
        <v>1</v>
      </c>
      <c r="S10" s="407">
        <f>SUM(P10:R10)</f>
        <v>3</v>
      </c>
      <c r="T10" s="405">
        <v>1</v>
      </c>
      <c r="U10" s="405">
        <v>1</v>
      </c>
      <c r="V10" s="405">
        <v>1</v>
      </c>
      <c r="W10" s="405">
        <f t="shared" si="2"/>
        <v>3</v>
      </c>
      <c r="X10" s="405">
        <v>1</v>
      </c>
      <c r="Y10" s="405">
        <v>1</v>
      </c>
      <c r="Z10" s="405">
        <v>1</v>
      </c>
      <c r="AA10" s="405">
        <f t="shared" si="3"/>
        <v>3</v>
      </c>
      <c r="AB10" s="405">
        <v>1</v>
      </c>
      <c r="AC10" s="405">
        <v>1</v>
      </c>
      <c r="AD10" s="408">
        <v>1</v>
      </c>
      <c r="AE10" s="405">
        <f t="shared" si="4"/>
        <v>3</v>
      </c>
    </row>
    <row r="11" spans="1:31" s="404" customFormat="1" ht="29.25" customHeight="1" thickBot="1">
      <c r="A11" s="398"/>
      <c r="B11" s="399"/>
      <c r="C11" s="400"/>
      <c r="D11" s="492"/>
      <c r="E11" s="492"/>
      <c r="F11" s="401"/>
      <c r="G11" s="816" t="s">
        <v>762</v>
      </c>
      <c r="H11" s="817"/>
      <c r="I11" s="817"/>
      <c r="J11" s="818"/>
      <c r="K11" s="402"/>
      <c r="L11" s="403" t="s">
        <v>763</v>
      </c>
      <c r="N11" s="405" t="s">
        <v>228</v>
      </c>
      <c r="O11" s="406">
        <f t="shared" si="1"/>
        <v>2</v>
      </c>
      <c r="P11" s="405"/>
      <c r="Q11" s="405"/>
      <c r="R11" s="405"/>
      <c r="S11" s="407">
        <f aca="true" t="shared" si="6" ref="S11:S76">SUM(P11:R11)</f>
        <v>0</v>
      </c>
      <c r="T11" s="405"/>
      <c r="U11" s="405">
        <v>1</v>
      </c>
      <c r="V11" s="405"/>
      <c r="W11" s="405">
        <f t="shared" si="2"/>
        <v>1</v>
      </c>
      <c r="X11" s="405"/>
      <c r="Y11" s="405"/>
      <c r="Z11" s="405"/>
      <c r="AA11" s="405">
        <f t="shared" si="3"/>
        <v>0</v>
      </c>
      <c r="AB11" s="405"/>
      <c r="AC11" s="405">
        <v>1</v>
      </c>
      <c r="AD11" s="408"/>
      <c r="AE11" s="405">
        <f t="shared" si="4"/>
        <v>1</v>
      </c>
    </row>
    <row r="12" spans="1:31" s="404" customFormat="1" ht="29.25" customHeight="1" thickBot="1">
      <c r="A12" s="398"/>
      <c r="B12" s="399"/>
      <c r="C12" s="400">
        <v>2.3</v>
      </c>
      <c r="D12" s="492"/>
      <c r="E12" s="492"/>
      <c r="F12" s="401">
        <v>4</v>
      </c>
      <c r="G12" s="816" t="s">
        <v>643</v>
      </c>
      <c r="H12" s="817"/>
      <c r="I12" s="817"/>
      <c r="J12" s="818"/>
      <c r="K12" s="402">
        <f>+F12+0.1</f>
        <v>4.1</v>
      </c>
      <c r="L12" s="403" t="s">
        <v>646</v>
      </c>
      <c r="N12" s="405" t="s">
        <v>638</v>
      </c>
      <c r="O12" s="406">
        <f t="shared" si="1"/>
        <v>6</v>
      </c>
      <c r="P12" s="405"/>
      <c r="Q12" s="405">
        <v>2</v>
      </c>
      <c r="R12" s="405">
        <v>1</v>
      </c>
      <c r="S12" s="407">
        <f t="shared" si="6"/>
        <v>3</v>
      </c>
      <c r="T12" s="405">
        <v>1</v>
      </c>
      <c r="U12" s="405"/>
      <c r="V12" s="405"/>
      <c r="W12" s="405">
        <f t="shared" si="2"/>
        <v>1</v>
      </c>
      <c r="X12" s="405"/>
      <c r="Y12" s="405"/>
      <c r="Z12" s="405">
        <v>1</v>
      </c>
      <c r="AA12" s="405">
        <f t="shared" si="3"/>
        <v>1</v>
      </c>
      <c r="AB12" s="405">
        <v>1</v>
      </c>
      <c r="AC12" s="405"/>
      <c r="AD12" s="408"/>
      <c r="AE12" s="405">
        <f t="shared" si="4"/>
        <v>1</v>
      </c>
    </row>
    <row r="13" spans="1:31" s="404" customFormat="1" ht="29.25" customHeight="1" thickBot="1">
      <c r="A13" s="398"/>
      <c r="B13" s="399"/>
      <c r="C13" s="400">
        <v>4.4</v>
      </c>
      <c r="D13" s="492"/>
      <c r="E13" s="492"/>
      <c r="F13" s="401">
        <v>5</v>
      </c>
      <c r="G13" s="816" t="s">
        <v>642</v>
      </c>
      <c r="H13" s="817"/>
      <c r="I13" s="817"/>
      <c r="J13" s="818"/>
      <c r="K13" s="402">
        <f t="shared" si="5"/>
        <v>5.1</v>
      </c>
      <c r="L13" s="403" t="s">
        <v>764</v>
      </c>
      <c r="N13" s="405" t="s">
        <v>551</v>
      </c>
      <c r="O13" s="406">
        <f t="shared" si="1"/>
        <v>8</v>
      </c>
      <c r="P13" s="405"/>
      <c r="Q13" s="405"/>
      <c r="R13" s="405">
        <v>4</v>
      </c>
      <c r="S13" s="407">
        <f t="shared" si="6"/>
        <v>4</v>
      </c>
      <c r="T13" s="405">
        <v>4</v>
      </c>
      <c r="U13" s="405"/>
      <c r="V13" s="405"/>
      <c r="W13" s="405">
        <f t="shared" si="2"/>
        <v>4</v>
      </c>
      <c r="X13" s="405"/>
      <c r="Y13" s="405"/>
      <c r="Z13" s="405"/>
      <c r="AA13" s="405">
        <f t="shared" si="3"/>
        <v>0</v>
      </c>
      <c r="AB13" s="405"/>
      <c r="AC13" s="405"/>
      <c r="AD13" s="408"/>
      <c r="AE13" s="405">
        <f t="shared" si="4"/>
        <v>0</v>
      </c>
    </row>
    <row r="14" spans="1:31" s="404" customFormat="1" ht="29.25" customHeight="1" thickBot="1">
      <c r="A14" s="398"/>
      <c r="B14" s="399"/>
      <c r="C14" s="400" t="s">
        <v>648</v>
      </c>
      <c r="D14" s="492"/>
      <c r="E14" s="492"/>
      <c r="F14" s="401">
        <v>6</v>
      </c>
      <c r="G14" s="816" t="s">
        <v>649</v>
      </c>
      <c r="H14" s="817"/>
      <c r="I14" s="817"/>
      <c r="J14" s="818"/>
      <c r="K14" s="402">
        <f t="shared" si="5"/>
        <v>6.1</v>
      </c>
      <c r="L14" s="403" t="s">
        <v>647</v>
      </c>
      <c r="N14" s="406" t="s">
        <v>225</v>
      </c>
      <c r="O14" s="406">
        <f t="shared" si="1"/>
        <v>2</v>
      </c>
      <c r="P14" s="406">
        <v>1</v>
      </c>
      <c r="Q14" s="406"/>
      <c r="R14" s="406"/>
      <c r="S14" s="407">
        <f t="shared" si="6"/>
        <v>1</v>
      </c>
      <c r="T14" s="406"/>
      <c r="U14" s="406"/>
      <c r="V14" s="406"/>
      <c r="W14" s="405">
        <f t="shared" si="2"/>
        <v>0</v>
      </c>
      <c r="X14" s="406"/>
      <c r="Y14" s="406">
        <v>1</v>
      </c>
      <c r="Z14" s="406"/>
      <c r="AA14" s="405">
        <f t="shared" si="3"/>
        <v>1</v>
      </c>
      <c r="AB14" s="406"/>
      <c r="AC14" s="406"/>
      <c r="AD14" s="409"/>
      <c r="AE14" s="405">
        <f t="shared" si="4"/>
        <v>0</v>
      </c>
    </row>
    <row r="15" spans="1:31" s="404" customFormat="1" ht="29.25" customHeight="1" thickBot="1">
      <c r="A15" s="398"/>
      <c r="B15" s="399"/>
      <c r="C15" s="400"/>
      <c r="D15" s="492"/>
      <c r="E15" s="492"/>
      <c r="F15" s="401">
        <v>7</v>
      </c>
      <c r="G15" s="816" t="s">
        <v>765</v>
      </c>
      <c r="H15" s="817"/>
      <c r="I15" s="817"/>
      <c r="J15" s="818"/>
      <c r="K15" s="402">
        <f t="shared" si="5"/>
        <v>7.1</v>
      </c>
      <c r="L15" s="403" t="s">
        <v>766</v>
      </c>
      <c r="N15" s="406" t="s">
        <v>69</v>
      </c>
      <c r="O15" s="406">
        <f t="shared" si="1"/>
        <v>8</v>
      </c>
      <c r="P15" s="406"/>
      <c r="Q15" s="406">
        <v>1</v>
      </c>
      <c r="R15" s="406">
        <v>1</v>
      </c>
      <c r="S15" s="407">
        <f t="shared" si="6"/>
        <v>2</v>
      </c>
      <c r="T15" s="406">
        <v>1</v>
      </c>
      <c r="U15" s="406">
        <v>1</v>
      </c>
      <c r="V15" s="406">
        <v>1</v>
      </c>
      <c r="W15" s="405">
        <f t="shared" si="2"/>
        <v>3</v>
      </c>
      <c r="X15" s="406"/>
      <c r="Y15" s="406"/>
      <c r="Z15" s="406">
        <v>1</v>
      </c>
      <c r="AA15" s="405">
        <f t="shared" si="3"/>
        <v>1</v>
      </c>
      <c r="AB15" s="406">
        <v>1</v>
      </c>
      <c r="AC15" s="406">
        <v>1</v>
      </c>
      <c r="AD15" s="409"/>
      <c r="AE15" s="405">
        <f t="shared" si="4"/>
        <v>2</v>
      </c>
    </row>
    <row r="16" spans="1:31" s="404" customFormat="1" ht="29.25" customHeight="1" thickBot="1">
      <c r="A16" s="398"/>
      <c r="B16" s="399"/>
      <c r="C16" s="410"/>
      <c r="D16" s="494"/>
      <c r="E16" s="494"/>
      <c r="F16" s="401">
        <v>8</v>
      </c>
      <c r="G16" s="816" t="s">
        <v>767</v>
      </c>
      <c r="H16" s="817"/>
      <c r="I16" s="817"/>
      <c r="J16" s="818"/>
      <c r="K16" s="402">
        <f t="shared" si="5"/>
        <v>8.1</v>
      </c>
      <c r="L16" s="403" t="s">
        <v>768</v>
      </c>
      <c r="N16" s="405" t="s">
        <v>769</v>
      </c>
      <c r="O16" s="406">
        <f t="shared" si="1"/>
        <v>7</v>
      </c>
      <c r="P16" s="405">
        <v>1</v>
      </c>
      <c r="Q16" s="405">
        <v>1</v>
      </c>
      <c r="R16" s="405"/>
      <c r="S16" s="407">
        <f t="shared" si="6"/>
        <v>2</v>
      </c>
      <c r="T16" s="405">
        <v>1</v>
      </c>
      <c r="U16" s="405">
        <v>1</v>
      </c>
      <c r="V16" s="405"/>
      <c r="W16" s="405">
        <f t="shared" si="2"/>
        <v>2</v>
      </c>
      <c r="X16" s="405"/>
      <c r="Y16" s="405">
        <v>1</v>
      </c>
      <c r="Z16" s="405">
        <v>1</v>
      </c>
      <c r="AA16" s="405">
        <f t="shared" si="3"/>
        <v>2</v>
      </c>
      <c r="AB16" s="405">
        <v>1</v>
      </c>
      <c r="AC16" s="405"/>
      <c r="AD16" s="408"/>
      <c r="AE16" s="405">
        <f t="shared" si="4"/>
        <v>1</v>
      </c>
    </row>
    <row r="17" spans="1:31" s="404" customFormat="1" ht="46.5" customHeight="1" thickBot="1">
      <c r="A17" s="398"/>
      <c r="B17" s="399"/>
      <c r="C17" s="410"/>
      <c r="D17" s="494"/>
      <c r="E17" s="494"/>
      <c r="F17" s="401">
        <v>9</v>
      </c>
      <c r="G17" s="816" t="s">
        <v>65</v>
      </c>
      <c r="H17" s="817"/>
      <c r="I17" s="817"/>
      <c r="J17" s="818"/>
      <c r="K17" s="402">
        <f t="shared" si="5"/>
        <v>9.1</v>
      </c>
      <c r="L17" s="403" t="s">
        <v>73</v>
      </c>
      <c r="N17" s="405" t="s">
        <v>224</v>
      </c>
      <c r="O17" s="406">
        <f t="shared" si="1"/>
        <v>8</v>
      </c>
      <c r="P17" s="405"/>
      <c r="Q17" s="405">
        <v>1</v>
      </c>
      <c r="R17" s="405">
        <v>1</v>
      </c>
      <c r="S17" s="407">
        <f t="shared" si="6"/>
        <v>2</v>
      </c>
      <c r="T17" s="405">
        <v>1</v>
      </c>
      <c r="U17" s="405">
        <v>1</v>
      </c>
      <c r="V17" s="405">
        <v>1</v>
      </c>
      <c r="W17" s="405">
        <f t="shared" si="2"/>
        <v>3</v>
      </c>
      <c r="X17" s="405"/>
      <c r="Y17" s="405"/>
      <c r="Z17" s="405">
        <v>1</v>
      </c>
      <c r="AA17" s="405">
        <f t="shared" si="3"/>
        <v>1</v>
      </c>
      <c r="AB17" s="405">
        <v>1</v>
      </c>
      <c r="AC17" s="405">
        <v>1</v>
      </c>
      <c r="AD17" s="408"/>
      <c r="AE17" s="405">
        <f t="shared" si="4"/>
        <v>2</v>
      </c>
    </row>
    <row r="18" spans="1:31" s="404" customFormat="1" ht="30" customHeight="1" thickBot="1">
      <c r="A18" s="398"/>
      <c r="B18" s="399"/>
      <c r="C18" s="410">
        <v>1.4</v>
      </c>
      <c r="D18" s="494"/>
      <c r="E18" s="494"/>
      <c r="F18" s="401">
        <v>10</v>
      </c>
      <c r="G18" s="816" t="s">
        <v>71</v>
      </c>
      <c r="H18" s="817"/>
      <c r="I18" s="817"/>
      <c r="J18" s="818"/>
      <c r="K18" s="402">
        <f t="shared" si="5"/>
        <v>10.1</v>
      </c>
      <c r="L18" s="403" t="s">
        <v>72</v>
      </c>
      <c r="N18" s="405" t="s">
        <v>231</v>
      </c>
      <c r="O18" s="406">
        <f t="shared" si="1"/>
        <v>13</v>
      </c>
      <c r="P18" s="405">
        <v>1</v>
      </c>
      <c r="Q18" s="405">
        <v>2</v>
      </c>
      <c r="R18" s="405">
        <v>2</v>
      </c>
      <c r="S18" s="407">
        <f t="shared" si="6"/>
        <v>5</v>
      </c>
      <c r="T18" s="405">
        <v>1</v>
      </c>
      <c r="U18" s="405">
        <v>1</v>
      </c>
      <c r="V18" s="405">
        <v>1</v>
      </c>
      <c r="W18" s="405">
        <f t="shared" si="2"/>
        <v>3</v>
      </c>
      <c r="X18" s="405"/>
      <c r="Y18" s="405">
        <v>1</v>
      </c>
      <c r="Z18" s="405">
        <v>1</v>
      </c>
      <c r="AA18" s="405">
        <f t="shared" si="3"/>
        <v>2</v>
      </c>
      <c r="AB18" s="405">
        <v>1</v>
      </c>
      <c r="AC18" s="405">
        <v>1</v>
      </c>
      <c r="AD18" s="408">
        <v>1</v>
      </c>
      <c r="AE18" s="405">
        <f t="shared" si="4"/>
        <v>3</v>
      </c>
    </row>
    <row r="19" spans="1:31" ht="30" customHeight="1" thickBot="1">
      <c r="A19" s="26"/>
      <c r="B19" s="27"/>
      <c r="C19" s="15">
        <v>8.2</v>
      </c>
      <c r="D19" s="494"/>
      <c r="E19" s="494"/>
      <c r="F19" s="200">
        <v>11</v>
      </c>
      <c r="G19" s="833" t="s">
        <v>656</v>
      </c>
      <c r="H19" s="834"/>
      <c r="I19" s="834"/>
      <c r="J19" s="835"/>
      <c r="K19" s="3">
        <f t="shared" si="5"/>
        <v>11.1</v>
      </c>
      <c r="L19" s="29" t="s">
        <v>659</v>
      </c>
      <c r="M19" s="1"/>
      <c r="N19" s="359" t="s">
        <v>228</v>
      </c>
      <c r="O19" s="36">
        <f t="shared" si="1"/>
        <v>1</v>
      </c>
      <c r="P19" s="124"/>
      <c r="Q19" s="124"/>
      <c r="R19" s="124">
        <v>1</v>
      </c>
      <c r="S19" s="397">
        <f t="shared" si="6"/>
        <v>1</v>
      </c>
      <c r="T19" s="124"/>
      <c r="U19" s="124"/>
      <c r="V19" s="124"/>
      <c r="W19" s="327">
        <f t="shared" si="2"/>
        <v>0</v>
      </c>
      <c r="X19" s="124"/>
      <c r="Y19" s="124"/>
      <c r="Z19" s="124"/>
      <c r="AA19" s="327">
        <f t="shared" si="3"/>
        <v>0</v>
      </c>
      <c r="AB19" s="124"/>
      <c r="AC19" s="124"/>
      <c r="AD19" s="123"/>
      <c r="AE19" s="327">
        <f t="shared" si="4"/>
        <v>0</v>
      </c>
    </row>
    <row r="20" spans="1:31" s="404" customFormat="1" ht="39" customHeight="1" thickBot="1">
      <c r="A20" s="398"/>
      <c r="B20" s="399"/>
      <c r="C20" s="410">
        <v>8.2</v>
      </c>
      <c r="D20" s="494"/>
      <c r="E20" s="494"/>
      <c r="F20" s="401">
        <v>12</v>
      </c>
      <c r="G20" s="816" t="s">
        <v>657</v>
      </c>
      <c r="H20" s="817"/>
      <c r="I20" s="817"/>
      <c r="J20" s="818"/>
      <c r="K20" s="402">
        <f t="shared" si="5"/>
        <v>12.1</v>
      </c>
      <c r="L20" s="403" t="s">
        <v>658</v>
      </c>
      <c r="N20" s="406" t="s">
        <v>228</v>
      </c>
      <c r="O20" s="406">
        <f t="shared" si="1"/>
        <v>17</v>
      </c>
      <c r="P20" s="406"/>
      <c r="Q20" s="406">
        <v>3</v>
      </c>
      <c r="R20" s="406">
        <v>2</v>
      </c>
      <c r="S20" s="407">
        <f t="shared" si="6"/>
        <v>5</v>
      </c>
      <c r="T20" s="406">
        <v>3</v>
      </c>
      <c r="U20" s="406">
        <v>1</v>
      </c>
      <c r="V20" s="406">
        <v>1</v>
      </c>
      <c r="W20" s="405">
        <f t="shared" si="2"/>
        <v>5</v>
      </c>
      <c r="X20" s="406"/>
      <c r="Y20" s="406">
        <v>2</v>
      </c>
      <c r="Z20" s="406">
        <v>1</v>
      </c>
      <c r="AA20" s="405">
        <f t="shared" si="3"/>
        <v>3</v>
      </c>
      <c r="AB20" s="406">
        <v>3</v>
      </c>
      <c r="AC20" s="406">
        <v>1</v>
      </c>
      <c r="AD20" s="411"/>
      <c r="AE20" s="405">
        <f t="shared" si="4"/>
        <v>4</v>
      </c>
    </row>
    <row r="21" spans="1:31" s="404" customFormat="1" ht="30" customHeight="1" thickBot="1">
      <c r="A21" s="398"/>
      <c r="B21" s="399"/>
      <c r="C21" s="410">
        <v>8.5</v>
      </c>
      <c r="D21" s="494"/>
      <c r="E21" s="494"/>
      <c r="F21" s="401">
        <v>13</v>
      </c>
      <c r="G21" s="816" t="s">
        <v>660</v>
      </c>
      <c r="H21" s="817"/>
      <c r="I21" s="817"/>
      <c r="J21" s="818"/>
      <c r="K21" s="402">
        <f t="shared" si="5"/>
        <v>13.1</v>
      </c>
      <c r="L21" s="403" t="s">
        <v>661</v>
      </c>
      <c r="N21" s="406" t="s">
        <v>228</v>
      </c>
      <c r="O21" s="406">
        <f t="shared" si="1"/>
        <v>2</v>
      </c>
      <c r="P21" s="406"/>
      <c r="Q21" s="406"/>
      <c r="R21" s="406"/>
      <c r="S21" s="407">
        <f t="shared" si="6"/>
        <v>0</v>
      </c>
      <c r="T21" s="406"/>
      <c r="U21" s="406"/>
      <c r="V21" s="406"/>
      <c r="W21" s="405">
        <f t="shared" si="2"/>
        <v>0</v>
      </c>
      <c r="X21" s="406"/>
      <c r="Y21" s="406">
        <v>1</v>
      </c>
      <c r="Z21" s="406">
        <v>1</v>
      </c>
      <c r="AA21" s="405">
        <f t="shared" si="3"/>
        <v>2</v>
      </c>
      <c r="AB21" s="406"/>
      <c r="AC21" s="406"/>
      <c r="AD21" s="411"/>
      <c r="AE21" s="405">
        <f t="shared" si="4"/>
        <v>0</v>
      </c>
    </row>
    <row r="22" spans="1:31" s="404" customFormat="1" ht="51" customHeight="1" thickBot="1">
      <c r="A22" s="398"/>
      <c r="B22" s="399"/>
      <c r="C22" s="410">
        <v>8</v>
      </c>
      <c r="D22" s="494"/>
      <c r="E22" s="494"/>
      <c r="F22" s="401">
        <v>14</v>
      </c>
      <c r="G22" s="816" t="s">
        <v>770</v>
      </c>
      <c r="H22" s="817"/>
      <c r="I22" s="817"/>
      <c r="J22" s="818"/>
      <c r="K22" s="402"/>
      <c r="L22" s="403" t="s">
        <v>771</v>
      </c>
      <c r="N22" s="406" t="s">
        <v>228</v>
      </c>
      <c r="O22" s="406">
        <f t="shared" si="1"/>
        <v>11</v>
      </c>
      <c r="P22" s="406"/>
      <c r="Q22" s="406">
        <v>3</v>
      </c>
      <c r="R22" s="406"/>
      <c r="S22" s="407">
        <f t="shared" si="6"/>
        <v>3</v>
      </c>
      <c r="T22" s="406"/>
      <c r="U22" s="406"/>
      <c r="V22" s="406">
        <v>1</v>
      </c>
      <c r="W22" s="405">
        <f t="shared" si="2"/>
        <v>1</v>
      </c>
      <c r="X22" s="406"/>
      <c r="Y22" s="406"/>
      <c r="Z22" s="406">
        <v>4</v>
      </c>
      <c r="AA22" s="405">
        <f t="shared" si="3"/>
        <v>4</v>
      </c>
      <c r="AB22" s="406">
        <v>2</v>
      </c>
      <c r="AC22" s="406">
        <v>1</v>
      </c>
      <c r="AD22" s="411"/>
      <c r="AE22" s="405">
        <f t="shared" si="4"/>
        <v>3</v>
      </c>
    </row>
    <row r="23" spans="1:31" s="404" customFormat="1" ht="51" customHeight="1" thickBot="1">
      <c r="A23" s="398"/>
      <c r="B23" s="399"/>
      <c r="C23" s="410">
        <v>8</v>
      </c>
      <c r="D23" s="494"/>
      <c r="E23" s="494"/>
      <c r="F23" s="401">
        <v>15</v>
      </c>
      <c r="G23" s="816" t="s">
        <v>87</v>
      </c>
      <c r="H23" s="817"/>
      <c r="I23" s="817"/>
      <c r="J23" s="818"/>
      <c r="K23" s="402"/>
      <c r="L23" s="403" t="s">
        <v>772</v>
      </c>
      <c r="N23" s="406" t="s">
        <v>69</v>
      </c>
      <c r="O23" s="406">
        <f t="shared" si="1"/>
        <v>7</v>
      </c>
      <c r="P23" s="406">
        <v>1</v>
      </c>
      <c r="Q23" s="406">
        <v>1</v>
      </c>
      <c r="R23" s="406"/>
      <c r="S23" s="407">
        <f t="shared" si="6"/>
        <v>2</v>
      </c>
      <c r="T23" s="406">
        <v>2</v>
      </c>
      <c r="U23" s="406"/>
      <c r="V23" s="406">
        <v>1</v>
      </c>
      <c r="W23" s="405">
        <f t="shared" si="2"/>
        <v>3</v>
      </c>
      <c r="X23" s="406"/>
      <c r="Y23" s="406">
        <v>1</v>
      </c>
      <c r="Z23" s="406"/>
      <c r="AA23" s="405">
        <f t="shared" si="3"/>
        <v>1</v>
      </c>
      <c r="AB23" s="406"/>
      <c r="AC23" s="406"/>
      <c r="AD23" s="411">
        <v>1</v>
      </c>
      <c r="AE23" s="405">
        <f t="shared" si="4"/>
        <v>1</v>
      </c>
    </row>
    <row r="24" spans="1:31" s="404" customFormat="1" ht="51" customHeight="1" thickBot="1">
      <c r="A24" s="398"/>
      <c r="B24" s="399"/>
      <c r="C24" s="410">
        <v>3.1</v>
      </c>
      <c r="D24" s="494"/>
      <c r="E24" s="494"/>
      <c r="F24" s="401">
        <v>16</v>
      </c>
      <c r="G24" s="851" t="s">
        <v>773</v>
      </c>
      <c r="H24" s="852"/>
      <c r="I24" s="852"/>
      <c r="J24" s="853"/>
      <c r="K24" s="402">
        <v>16.1</v>
      </c>
      <c r="L24" s="412" t="s">
        <v>774</v>
      </c>
      <c r="N24" s="406" t="s">
        <v>775</v>
      </c>
      <c r="O24" s="406">
        <f t="shared" si="1"/>
        <v>7</v>
      </c>
      <c r="P24" s="406"/>
      <c r="Q24" s="406">
        <v>1</v>
      </c>
      <c r="R24" s="406">
        <v>1</v>
      </c>
      <c r="S24" s="407">
        <f t="shared" si="6"/>
        <v>2</v>
      </c>
      <c r="T24" s="406"/>
      <c r="U24" s="406">
        <v>1</v>
      </c>
      <c r="V24" s="406">
        <v>1</v>
      </c>
      <c r="W24" s="405">
        <f t="shared" si="2"/>
        <v>2</v>
      </c>
      <c r="X24" s="406"/>
      <c r="Y24" s="406"/>
      <c r="Z24" s="406">
        <v>1</v>
      </c>
      <c r="AA24" s="405">
        <f t="shared" si="3"/>
        <v>1</v>
      </c>
      <c r="AB24" s="406">
        <v>1</v>
      </c>
      <c r="AC24" s="406">
        <v>1</v>
      </c>
      <c r="AD24" s="411"/>
      <c r="AE24" s="405">
        <f t="shared" si="4"/>
        <v>2</v>
      </c>
    </row>
    <row r="25" spans="1:31" ht="51" customHeight="1" thickBot="1">
      <c r="A25" s="26"/>
      <c r="B25" s="27"/>
      <c r="C25" s="15">
        <v>3.1</v>
      </c>
      <c r="D25" s="494"/>
      <c r="E25" s="494"/>
      <c r="F25" s="200">
        <v>17</v>
      </c>
      <c r="G25" s="833" t="s">
        <v>0</v>
      </c>
      <c r="H25" s="834"/>
      <c r="I25" s="834"/>
      <c r="J25" s="835"/>
      <c r="K25" s="3"/>
      <c r="L25" s="29" t="s">
        <v>1</v>
      </c>
      <c r="M25" s="1"/>
      <c r="N25" s="359" t="s">
        <v>219</v>
      </c>
      <c r="O25" s="36">
        <f t="shared" si="1"/>
        <v>16</v>
      </c>
      <c r="P25" s="82">
        <v>1</v>
      </c>
      <c r="Q25" s="82">
        <v>1</v>
      </c>
      <c r="R25" s="82">
        <v>2</v>
      </c>
      <c r="S25" s="397">
        <f t="shared" si="6"/>
        <v>4</v>
      </c>
      <c r="T25" s="82">
        <v>2</v>
      </c>
      <c r="U25" s="82">
        <v>2</v>
      </c>
      <c r="V25" s="82">
        <v>1</v>
      </c>
      <c r="W25" s="327">
        <f t="shared" si="2"/>
        <v>5</v>
      </c>
      <c r="X25" s="82">
        <v>1</v>
      </c>
      <c r="Y25" s="82">
        <v>1</v>
      </c>
      <c r="Z25" s="82">
        <v>1</v>
      </c>
      <c r="AA25" s="327">
        <f t="shared" si="3"/>
        <v>3</v>
      </c>
      <c r="AB25" s="82">
        <v>2</v>
      </c>
      <c r="AC25" s="82">
        <v>1</v>
      </c>
      <c r="AD25" s="125">
        <v>1</v>
      </c>
      <c r="AE25" s="327">
        <f t="shared" si="4"/>
        <v>4</v>
      </c>
    </row>
    <row r="26" spans="1:31" ht="51" customHeight="1" thickBot="1">
      <c r="A26" s="26"/>
      <c r="B26" s="27"/>
      <c r="C26" s="15">
        <v>2.3</v>
      </c>
      <c r="D26" s="494"/>
      <c r="E26" s="494"/>
      <c r="F26" s="200">
        <v>18</v>
      </c>
      <c r="G26" s="833" t="s">
        <v>560</v>
      </c>
      <c r="H26" s="834"/>
      <c r="I26" s="834"/>
      <c r="J26" s="835"/>
      <c r="K26" s="3"/>
      <c r="L26" s="29" t="s">
        <v>76</v>
      </c>
      <c r="M26" s="1"/>
      <c r="N26" s="359" t="s">
        <v>231</v>
      </c>
      <c r="O26" s="36">
        <f t="shared" si="1"/>
        <v>12</v>
      </c>
      <c r="P26" s="82">
        <v>1</v>
      </c>
      <c r="Q26" s="82">
        <v>1</v>
      </c>
      <c r="R26" s="82">
        <v>1</v>
      </c>
      <c r="S26" s="397">
        <f t="shared" si="6"/>
        <v>3</v>
      </c>
      <c r="T26" s="82">
        <v>1</v>
      </c>
      <c r="U26" s="82">
        <v>1</v>
      </c>
      <c r="V26" s="82">
        <v>1</v>
      </c>
      <c r="W26" s="327">
        <f t="shared" si="2"/>
        <v>3</v>
      </c>
      <c r="X26" s="82">
        <v>1</v>
      </c>
      <c r="Y26" s="82">
        <v>1</v>
      </c>
      <c r="Z26" s="82">
        <v>1</v>
      </c>
      <c r="AA26" s="327">
        <f t="shared" si="3"/>
        <v>3</v>
      </c>
      <c r="AB26" s="82">
        <v>1</v>
      </c>
      <c r="AC26" s="82">
        <v>1</v>
      </c>
      <c r="AD26" s="125">
        <v>1</v>
      </c>
      <c r="AE26" s="327">
        <f t="shared" si="4"/>
        <v>3</v>
      </c>
    </row>
    <row r="27" spans="1:31" ht="51" customHeight="1" thickBot="1">
      <c r="A27" s="26"/>
      <c r="B27" s="27"/>
      <c r="C27" s="15">
        <v>2.3</v>
      </c>
      <c r="D27" s="494"/>
      <c r="E27" s="494"/>
      <c r="F27" s="200">
        <v>19</v>
      </c>
      <c r="G27" s="833" t="s">
        <v>90</v>
      </c>
      <c r="H27" s="834"/>
      <c r="I27" s="834"/>
      <c r="J27" s="835"/>
      <c r="K27" s="3"/>
      <c r="L27" s="29" t="s">
        <v>2</v>
      </c>
      <c r="M27" s="1"/>
      <c r="N27" s="359" t="s">
        <v>219</v>
      </c>
      <c r="O27" s="36">
        <f t="shared" si="1"/>
        <v>4</v>
      </c>
      <c r="P27" s="82"/>
      <c r="Q27" s="82"/>
      <c r="R27" s="82">
        <v>1</v>
      </c>
      <c r="S27" s="397">
        <f t="shared" si="6"/>
        <v>1</v>
      </c>
      <c r="T27" s="82"/>
      <c r="U27" s="82"/>
      <c r="V27" s="82">
        <v>1</v>
      </c>
      <c r="W27" s="327">
        <f t="shared" si="2"/>
        <v>1</v>
      </c>
      <c r="X27" s="82"/>
      <c r="Y27" s="82"/>
      <c r="Z27" s="82">
        <v>1</v>
      </c>
      <c r="AA27" s="327">
        <f t="shared" si="3"/>
        <v>1</v>
      </c>
      <c r="AB27" s="82"/>
      <c r="AC27" s="82"/>
      <c r="AD27" s="125">
        <v>1</v>
      </c>
      <c r="AE27" s="327">
        <f t="shared" si="4"/>
        <v>1</v>
      </c>
    </row>
    <row r="28" spans="1:31" ht="51" customHeight="1" thickBot="1">
      <c r="A28" s="26"/>
      <c r="B28" s="27"/>
      <c r="C28" s="15">
        <v>2.3</v>
      </c>
      <c r="D28" s="494"/>
      <c r="E28" s="494"/>
      <c r="F28" s="200">
        <v>20</v>
      </c>
      <c r="G28" s="833" t="s">
        <v>81</v>
      </c>
      <c r="H28" s="834"/>
      <c r="I28" s="834"/>
      <c r="J28" s="835"/>
      <c r="K28" s="3"/>
      <c r="L28" s="29" t="s">
        <v>82</v>
      </c>
      <c r="M28" s="1"/>
      <c r="N28" s="359" t="s">
        <v>83</v>
      </c>
      <c r="O28" s="36">
        <f t="shared" si="1"/>
        <v>1</v>
      </c>
      <c r="P28" s="82"/>
      <c r="Q28" s="82"/>
      <c r="R28" s="82"/>
      <c r="S28" s="397">
        <f t="shared" si="6"/>
        <v>0</v>
      </c>
      <c r="T28" s="82"/>
      <c r="U28" s="82"/>
      <c r="V28" s="82">
        <v>1</v>
      </c>
      <c r="W28" s="327">
        <f t="shared" si="2"/>
        <v>1</v>
      </c>
      <c r="X28" s="82"/>
      <c r="Y28" s="82"/>
      <c r="Z28" s="82"/>
      <c r="AA28" s="327">
        <f t="shared" si="3"/>
        <v>0</v>
      </c>
      <c r="AB28" s="82"/>
      <c r="AC28" s="82"/>
      <c r="AD28" s="125"/>
      <c r="AE28" s="327">
        <f t="shared" si="4"/>
        <v>0</v>
      </c>
    </row>
    <row r="29" spans="1:31" ht="51" customHeight="1" thickBot="1">
      <c r="A29" s="26"/>
      <c r="B29" s="27"/>
      <c r="C29" s="15">
        <v>2.3</v>
      </c>
      <c r="D29" s="494"/>
      <c r="E29" s="494"/>
      <c r="F29" s="200">
        <v>21</v>
      </c>
      <c r="G29" s="833" t="s">
        <v>84</v>
      </c>
      <c r="H29" s="834"/>
      <c r="I29" s="834"/>
      <c r="J29" s="835"/>
      <c r="K29" s="3"/>
      <c r="L29" s="29" t="s">
        <v>85</v>
      </c>
      <c r="M29" s="1"/>
      <c r="N29" s="359" t="s">
        <v>86</v>
      </c>
      <c r="O29" s="36">
        <f t="shared" si="1"/>
        <v>1</v>
      </c>
      <c r="P29" s="82"/>
      <c r="Q29" s="82"/>
      <c r="R29" s="82"/>
      <c r="S29" s="397">
        <f t="shared" si="6"/>
        <v>0</v>
      </c>
      <c r="T29" s="82"/>
      <c r="U29" s="82">
        <v>1</v>
      </c>
      <c r="V29" s="82"/>
      <c r="W29" s="327">
        <f t="shared" si="2"/>
        <v>1</v>
      </c>
      <c r="X29" s="82"/>
      <c r="Y29" s="82"/>
      <c r="Z29" s="82"/>
      <c r="AA29" s="327">
        <f t="shared" si="3"/>
        <v>0</v>
      </c>
      <c r="AB29" s="82"/>
      <c r="AC29" s="82"/>
      <c r="AD29" s="125"/>
      <c r="AE29" s="327">
        <f t="shared" si="4"/>
        <v>0</v>
      </c>
    </row>
    <row r="30" spans="1:31" s="417" customFormat="1" ht="15.75" customHeight="1" thickBot="1">
      <c r="A30" s="413"/>
      <c r="B30" s="414"/>
      <c r="C30" s="415"/>
      <c r="D30" s="492"/>
      <c r="E30" s="492"/>
      <c r="F30" s="416"/>
      <c r="G30" s="434" t="s">
        <v>3</v>
      </c>
      <c r="H30" s="435"/>
      <c r="I30" s="435"/>
      <c r="J30" s="436"/>
      <c r="K30" s="402"/>
      <c r="L30" s="403" t="s">
        <v>4</v>
      </c>
      <c r="M30" s="404"/>
      <c r="N30" s="406" t="s">
        <v>219</v>
      </c>
      <c r="O30" s="406">
        <f t="shared" si="1"/>
        <v>12</v>
      </c>
      <c r="P30" s="406">
        <v>1</v>
      </c>
      <c r="Q30" s="406">
        <v>1</v>
      </c>
      <c r="R30" s="406">
        <v>1</v>
      </c>
      <c r="S30" s="407">
        <f t="shared" si="6"/>
        <v>3</v>
      </c>
      <c r="T30" s="406">
        <v>1</v>
      </c>
      <c r="U30" s="406">
        <v>1</v>
      </c>
      <c r="V30" s="406">
        <v>1</v>
      </c>
      <c r="W30" s="405">
        <f t="shared" si="2"/>
        <v>3</v>
      </c>
      <c r="X30" s="406">
        <v>1</v>
      </c>
      <c r="Y30" s="406">
        <v>1</v>
      </c>
      <c r="Z30" s="406">
        <v>1</v>
      </c>
      <c r="AA30" s="405">
        <f t="shared" si="3"/>
        <v>3</v>
      </c>
      <c r="AB30" s="406">
        <v>1</v>
      </c>
      <c r="AC30" s="406">
        <v>1</v>
      </c>
      <c r="AD30" s="411">
        <v>1</v>
      </c>
      <c r="AE30" s="405">
        <f t="shared" si="4"/>
        <v>3</v>
      </c>
    </row>
    <row r="31" spans="1:31" s="346" customFormat="1" ht="15.75" customHeight="1" thickBot="1">
      <c r="A31" s="345"/>
      <c r="B31" s="342"/>
      <c r="C31" s="343"/>
      <c r="D31" s="492"/>
      <c r="E31" s="492"/>
      <c r="F31" s="344"/>
      <c r="G31" s="828" t="s">
        <v>669</v>
      </c>
      <c r="H31" s="828"/>
      <c r="I31" s="828"/>
      <c r="J31" s="828"/>
      <c r="K31" s="828"/>
      <c r="L31" s="829"/>
      <c r="N31" s="337"/>
      <c r="O31" s="338">
        <f t="shared" si="1"/>
        <v>83</v>
      </c>
      <c r="P31" s="338">
        <f>SUM(P32:P43)</f>
        <v>6</v>
      </c>
      <c r="Q31" s="338">
        <f>SUM(Q32:Q43)</f>
        <v>6</v>
      </c>
      <c r="R31" s="338">
        <f>SUM(R32:R43)</f>
        <v>7</v>
      </c>
      <c r="S31" s="337">
        <f t="shared" si="6"/>
        <v>19</v>
      </c>
      <c r="T31" s="338">
        <f>SUM(T32:T43)</f>
        <v>10</v>
      </c>
      <c r="U31" s="338">
        <f>SUM(U32:U43)</f>
        <v>8</v>
      </c>
      <c r="V31" s="338">
        <f>SUM(V32:V43)</f>
        <v>6</v>
      </c>
      <c r="W31" s="337">
        <f>+T31+U31+V31</f>
        <v>24</v>
      </c>
      <c r="X31" s="338">
        <f>SUM(X32:X43)</f>
        <v>4</v>
      </c>
      <c r="Y31" s="338">
        <f>SUM(Y32:Y43)</f>
        <v>8</v>
      </c>
      <c r="Z31" s="338">
        <f>SUM(Z32:Z43)</f>
        <v>8</v>
      </c>
      <c r="AA31" s="337">
        <f>+X31+Y31+Z31</f>
        <v>20</v>
      </c>
      <c r="AB31" s="338">
        <f>SUM(AB32:AB43)</f>
        <v>5</v>
      </c>
      <c r="AC31" s="338">
        <f>SUM(AC32:AC43)</f>
        <v>10</v>
      </c>
      <c r="AD31" s="338">
        <f>SUM(AD32:AD43)</f>
        <v>5</v>
      </c>
      <c r="AE31" s="337">
        <f>+AB31+AC31+AD31</f>
        <v>20</v>
      </c>
    </row>
    <row r="32" spans="1:31" s="374" customFormat="1" ht="19.5" thickBot="1">
      <c r="A32" s="368"/>
      <c r="B32" s="369"/>
      <c r="C32" s="370">
        <v>3.1</v>
      </c>
      <c r="D32" s="494"/>
      <c r="E32" s="494"/>
      <c r="F32" s="371">
        <v>25</v>
      </c>
      <c r="G32" s="836" t="s">
        <v>756</v>
      </c>
      <c r="H32" s="837"/>
      <c r="I32" s="837"/>
      <c r="J32" s="838"/>
      <c r="K32" s="372">
        <f>+F32+0.1</f>
        <v>25.1</v>
      </c>
      <c r="L32" s="373" t="s">
        <v>670</v>
      </c>
      <c r="N32" s="375" t="s">
        <v>225</v>
      </c>
      <c r="O32" s="36">
        <f t="shared" si="1"/>
        <v>12</v>
      </c>
      <c r="P32" s="375">
        <v>1</v>
      </c>
      <c r="Q32" s="375">
        <v>1</v>
      </c>
      <c r="R32" s="375">
        <v>1</v>
      </c>
      <c r="S32" s="397">
        <f t="shared" si="6"/>
        <v>3</v>
      </c>
      <c r="T32" s="375">
        <v>1</v>
      </c>
      <c r="U32" s="375">
        <v>1</v>
      </c>
      <c r="V32" s="375">
        <v>1</v>
      </c>
      <c r="W32" s="327">
        <f t="shared" si="2"/>
        <v>3</v>
      </c>
      <c r="X32" s="375">
        <v>1</v>
      </c>
      <c r="Y32" s="375">
        <v>1</v>
      </c>
      <c r="Z32" s="375">
        <v>1</v>
      </c>
      <c r="AA32" s="327">
        <f t="shared" si="3"/>
        <v>3</v>
      </c>
      <c r="AB32" s="375">
        <v>1</v>
      </c>
      <c r="AC32" s="375">
        <v>1</v>
      </c>
      <c r="AD32" s="376">
        <v>1</v>
      </c>
      <c r="AE32" s="327">
        <f t="shared" si="4"/>
        <v>3</v>
      </c>
    </row>
    <row r="33" spans="1:31" s="374" customFormat="1" ht="18.75" thickBot="1">
      <c r="A33" s="368"/>
      <c r="B33" s="369"/>
      <c r="C33" s="370"/>
      <c r="D33" s="494"/>
      <c r="E33" s="494"/>
      <c r="F33" s="371"/>
      <c r="G33" s="839"/>
      <c r="H33" s="840"/>
      <c r="I33" s="840"/>
      <c r="J33" s="841"/>
      <c r="K33" s="372">
        <f>+K32+0.1</f>
        <v>25.200000000000003</v>
      </c>
      <c r="L33" s="373" t="s">
        <v>757</v>
      </c>
      <c r="N33" s="375" t="s">
        <v>216</v>
      </c>
      <c r="O33" s="36">
        <f t="shared" si="1"/>
        <v>20</v>
      </c>
      <c r="P33" s="375">
        <v>2</v>
      </c>
      <c r="Q33" s="375">
        <v>2</v>
      </c>
      <c r="R33" s="375">
        <v>1</v>
      </c>
      <c r="S33" s="397">
        <f t="shared" si="6"/>
        <v>5</v>
      </c>
      <c r="T33" s="375">
        <v>2</v>
      </c>
      <c r="U33" s="375">
        <v>2</v>
      </c>
      <c r="V33" s="375">
        <v>2</v>
      </c>
      <c r="W33" s="327">
        <f t="shared" si="2"/>
        <v>6</v>
      </c>
      <c r="X33" s="375">
        <v>0</v>
      </c>
      <c r="Y33" s="375">
        <v>2</v>
      </c>
      <c r="Z33" s="375">
        <v>2</v>
      </c>
      <c r="AA33" s="327">
        <f t="shared" si="3"/>
        <v>4</v>
      </c>
      <c r="AB33" s="375">
        <v>2</v>
      </c>
      <c r="AC33" s="375">
        <v>2</v>
      </c>
      <c r="AD33" s="376">
        <v>1</v>
      </c>
      <c r="AE33" s="327">
        <f t="shared" si="4"/>
        <v>5</v>
      </c>
    </row>
    <row r="34" spans="1:31" ht="30" customHeight="1" thickBot="1">
      <c r="A34" s="26"/>
      <c r="B34" s="27"/>
      <c r="C34" s="15">
        <v>3.1</v>
      </c>
      <c r="D34" s="494"/>
      <c r="E34" s="494"/>
      <c r="F34" s="200">
        <v>26</v>
      </c>
      <c r="G34" s="822" t="s">
        <v>671</v>
      </c>
      <c r="H34" s="823"/>
      <c r="I34" s="823"/>
      <c r="J34" s="824"/>
      <c r="K34" s="3">
        <f aca="true" t="shared" si="7" ref="K34:K43">+F34+0.1</f>
        <v>26.1</v>
      </c>
      <c r="L34" s="29" t="s">
        <v>672</v>
      </c>
      <c r="M34" s="1"/>
      <c r="N34" s="359" t="s">
        <v>225</v>
      </c>
      <c r="O34" s="36">
        <f t="shared" si="1"/>
        <v>12</v>
      </c>
      <c r="P34" s="82">
        <v>1</v>
      </c>
      <c r="Q34" s="82">
        <v>1</v>
      </c>
      <c r="R34" s="82">
        <v>1</v>
      </c>
      <c r="S34" s="397">
        <f t="shared" si="6"/>
        <v>3</v>
      </c>
      <c r="T34" s="82">
        <v>1</v>
      </c>
      <c r="U34" s="82">
        <v>1</v>
      </c>
      <c r="V34" s="82">
        <v>1</v>
      </c>
      <c r="W34" s="327">
        <f t="shared" si="2"/>
        <v>3</v>
      </c>
      <c r="X34" s="82">
        <v>1</v>
      </c>
      <c r="Y34" s="82">
        <v>1</v>
      </c>
      <c r="Z34" s="82">
        <v>1</v>
      </c>
      <c r="AA34" s="327">
        <f t="shared" si="3"/>
        <v>3</v>
      </c>
      <c r="AB34" s="82">
        <v>1</v>
      </c>
      <c r="AC34" s="82">
        <v>1</v>
      </c>
      <c r="AD34" s="125">
        <v>1</v>
      </c>
      <c r="AE34" s="327">
        <f t="shared" si="4"/>
        <v>3</v>
      </c>
    </row>
    <row r="35" spans="1:31" ht="85.5" customHeight="1" thickBot="1">
      <c r="A35" s="26"/>
      <c r="B35" s="27"/>
      <c r="C35" s="15">
        <v>3.1</v>
      </c>
      <c r="D35" s="494"/>
      <c r="E35" s="494"/>
      <c r="F35" s="200">
        <v>27</v>
      </c>
      <c r="G35" s="822" t="s">
        <v>674</v>
      </c>
      <c r="H35" s="823"/>
      <c r="I35" s="823"/>
      <c r="J35" s="824"/>
      <c r="K35" s="3">
        <f t="shared" si="7"/>
        <v>27.1</v>
      </c>
      <c r="L35" s="29" t="s">
        <v>673</v>
      </c>
      <c r="M35" s="1"/>
      <c r="N35" s="359" t="s">
        <v>219</v>
      </c>
      <c r="O35" s="36">
        <f t="shared" si="1"/>
        <v>9</v>
      </c>
      <c r="P35" s="82"/>
      <c r="Q35" s="82"/>
      <c r="R35" s="82">
        <v>2</v>
      </c>
      <c r="S35" s="397">
        <f t="shared" si="6"/>
        <v>2</v>
      </c>
      <c r="T35" s="82">
        <v>2</v>
      </c>
      <c r="U35" s="82"/>
      <c r="V35" s="82"/>
      <c r="W35" s="327">
        <f t="shared" si="2"/>
        <v>2</v>
      </c>
      <c r="X35" s="82"/>
      <c r="Y35" s="82">
        <v>2</v>
      </c>
      <c r="Z35" s="82">
        <v>1</v>
      </c>
      <c r="AA35" s="327">
        <f t="shared" si="3"/>
        <v>3</v>
      </c>
      <c r="AB35" s="82"/>
      <c r="AC35" s="82">
        <v>1</v>
      </c>
      <c r="AD35" s="125">
        <v>1</v>
      </c>
      <c r="AE35" s="327">
        <f t="shared" si="4"/>
        <v>2</v>
      </c>
    </row>
    <row r="36" spans="1:31" ht="30" customHeight="1" thickBot="1">
      <c r="A36" s="26"/>
      <c r="B36" s="27"/>
      <c r="C36" s="15">
        <v>3.1</v>
      </c>
      <c r="D36" s="494"/>
      <c r="E36" s="494"/>
      <c r="F36" s="200">
        <v>28</v>
      </c>
      <c r="G36" s="822" t="s">
        <v>704</v>
      </c>
      <c r="H36" s="823"/>
      <c r="I36" s="823"/>
      <c r="J36" s="824"/>
      <c r="K36" s="3">
        <f t="shared" si="7"/>
        <v>28.1</v>
      </c>
      <c r="L36" s="29" t="s">
        <v>705</v>
      </c>
      <c r="M36" s="1"/>
      <c r="N36" s="359" t="s">
        <v>216</v>
      </c>
      <c r="O36" s="36">
        <f t="shared" si="1"/>
        <v>2</v>
      </c>
      <c r="P36" s="82"/>
      <c r="Q36" s="82"/>
      <c r="R36" s="82"/>
      <c r="S36" s="397">
        <f t="shared" si="6"/>
        <v>0</v>
      </c>
      <c r="T36" s="82"/>
      <c r="U36" s="82">
        <v>1</v>
      </c>
      <c r="V36" s="82"/>
      <c r="W36" s="327">
        <f t="shared" si="2"/>
        <v>1</v>
      </c>
      <c r="X36" s="82"/>
      <c r="Y36" s="82"/>
      <c r="Z36" s="82"/>
      <c r="AA36" s="327">
        <f t="shared" si="3"/>
        <v>0</v>
      </c>
      <c r="AB36" s="82"/>
      <c r="AC36" s="82">
        <v>1</v>
      </c>
      <c r="AD36" s="125"/>
      <c r="AE36" s="327">
        <f t="shared" si="4"/>
        <v>1</v>
      </c>
    </row>
    <row r="37" spans="1:31" ht="41.25" customHeight="1" thickBot="1">
      <c r="A37" s="26"/>
      <c r="B37" s="27"/>
      <c r="C37" s="15">
        <v>3.1</v>
      </c>
      <c r="D37" s="494"/>
      <c r="E37" s="494"/>
      <c r="F37" s="200">
        <v>29</v>
      </c>
      <c r="G37" s="822" t="s">
        <v>676</v>
      </c>
      <c r="H37" s="823"/>
      <c r="I37" s="823"/>
      <c r="J37" s="824"/>
      <c r="K37" s="3">
        <f t="shared" si="7"/>
        <v>29.1</v>
      </c>
      <c r="L37" s="29" t="s">
        <v>677</v>
      </c>
      <c r="M37" s="1"/>
      <c r="N37" s="359" t="s">
        <v>216</v>
      </c>
      <c r="O37" s="36">
        <f t="shared" si="1"/>
        <v>8</v>
      </c>
      <c r="P37" s="82">
        <v>1</v>
      </c>
      <c r="Q37" s="82"/>
      <c r="R37" s="82">
        <v>1</v>
      </c>
      <c r="S37" s="397">
        <f t="shared" si="6"/>
        <v>2</v>
      </c>
      <c r="T37" s="82">
        <v>1</v>
      </c>
      <c r="U37" s="82">
        <v>1</v>
      </c>
      <c r="V37" s="82"/>
      <c r="W37" s="327">
        <f t="shared" si="2"/>
        <v>2</v>
      </c>
      <c r="X37" s="82">
        <v>1</v>
      </c>
      <c r="Y37" s="82"/>
      <c r="Z37" s="82">
        <v>1</v>
      </c>
      <c r="AA37" s="327">
        <f t="shared" si="3"/>
        <v>2</v>
      </c>
      <c r="AB37" s="82"/>
      <c r="AC37" s="82">
        <v>2</v>
      </c>
      <c r="AD37" s="125"/>
      <c r="AE37" s="327">
        <f t="shared" si="4"/>
        <v>2</v>
      </c>
    </row>
    <row r="38" spans="1:31" ht="30" customHeight="1" thickBot="1">
      <c r="A38" s="26"/>
      <c r="B38" s="27"/>
      <c r="C38" s="15">
        <v>3.1</v>
      </c>
      <c r="D38" s="494"/>
      <c r="E38" s="494"/>
      <c r="F38" s="200">
        <v>30</v>
      </c>
      <c r="G38" s="822" t="s">
        <v>706</v>
      </c>
      <c r="H38" s="823"/>
      <c r="I38" s="823"/>
      <c r="J38" s="824"/>
      <c r="K38" s="3">
        <f t="shared" si="7"/>
        <v>30.1</v>
      </c>
      <c r="L38" s="29" t="s">
        <v>758</v>
      </c>
      <c r="M38" s="1"/>
      <c r="N38" s="359" t="s">
        <v>231</v>
      </c>
      <c r="O38" s="36">
        <f t="shared" si="1"/>
        <v>13</v>
      </c>
      <c r="P38" s="82">
        <v>1</v>
      </c>
      <c r="Q38" s="82">
        <v>1</v>
      </c>
      <c r="R38" s="82">
        <v>1</v>
      </c>
      <c r="S38" s="397">
        <f t="shared" si="6"/>
        <v>3</v>
      </c>
      <c r="T38" s="82">
        <v>1</v>
      </c>
      <c r="U38" s="82">
        <v>1</v>
      </c>
      <c r="V38" s="82">
        <v>1</v>
      </c>
      <c r="W38" s="327">
        <f t="shared" si="2"/>
        <v>3</v>
      </c>
      <c r="X38" s="82">
        <v>1</v>
      </c>
      <c r="Y38" s="82">
        <v>1</v>
      </c>
      <c r="Z38" s="82">
        <v>2</v>
      </c>
      <c r="AA38" s="327">
        <f t="shared" si="3"/>
        <v>4</v>
      </c>
      <c r="AB38" s="82">
        <v>1</v>
      </c>
      <c r="AC38" s="82">
        <v>1</v>
      </c>
      <c r="AD38" s="125">
        <v>1</v>
      </c>
      <c r="AE38" s="327">
        <f t="shared" si="4"/>
        <v>3</v>
      </c>
    </row>
    <row r="39" spans="1:31" ht="30" customHeight="1" thickBot="1">
      <c r="A39" s="26"/>
      <c r="B39" s="27"/>
      <c r="C39" s="15">
        <v>3.1</v>
      </c>
      <c r="D39" s="494"/>
      <c r="E39" s="494"/>
      <c r="F39" s="200">
        <v>32</v>
      </c>
      <c r="G39" s="825" t="s">
        <v>707</v>
      </c>
      <c r="H39" s="826"/>
      <c r="I39" s="826"/>
      <c r="J39" s="827"/>
      <c r="K39" s="3">
        <f t="shared" si="7"/>
        <v>32.1</v>
      </c>
      <c r="L39" s="29" t="s">
        <v>708</v>
      </c>
      <c r="M39" s="1"/>
      <c r="N39" s="359" t="s">
        <v>508</v>
      </c>
      <c r="O39" s="36">
        <f t="shared" si="1"/>
        <v>1</v>
      </c>
      <c r="P39" s="82"/>
      <c r="Q39" s="82"/>
      <c r="R39" s="82"/>
      <c r="S39" s="397">
        <f t="shared" si="6"/>
        <v>0</v>
      </c>
      <c r="T39" s="82"/>
      <c r="U39" s="82">
        <v>1</v>
      </c>
      <c r="V39" s="82"/>
      <c r="W39" s="327">
        <f t="shared" si="2"/>
        <v>1</v>
      </c>
      <c r="X39" s="82"/>
      <c r="Y39" s="82"/>
      <c r="Z39" s="82"/>
      <c r="AA39" s="327">
        <f t="shared" si="3"/>
        <v>0</v>
      </c>
      <c r="AB39" s="82"/>
      <c r="AC39" s="82"/>
      <c r="AD39" s="125"/>
      <c r="AE39" s="327">
        <f t="shared" si="4"/>
        <v>0</v>
      </c>
    </row>
    <row r="40" spans="1:31" ht="30" customHeight="1" thickBot="1">
      <c r="A40" s="26"/>
      <c r="B40" s="27"/>
      <c r="C40" s="15">
        <v>3.1</v>
      </c>
      <c r="D40" s="494"/>
      <c r="E40" s="494"/>
      <c r="F40" s="200"/>
      <c r="G40" s="825" t="s">
        <v>759</v>
      </c>
      <c r="H40" s="826"/>
      <c r="I40" s="826"/>
      <c r="J40" s="827"/>
      <c r="K40" s="3">
        <f t="shared" si="7"/>
        <v>0.1</v>
      </c>
      <c r="L40" s="29" t="s">
        <v>710</v>
      </c>
      <c r="M40" s="1"/>
      <c r="N40" s="359" t="s">
        <v>508</v>
      </c>
      <c r="O40" s="36">
        <f t="shared" si="1"/>
        <v>1</v>
      </c>
      <c r="P40" s="82"/>
      <c r="Q40" s="82">
        <v>1</v>
      </c>
      <c r="R40" s="82"/>
      <c r="S40" s="397">
        <f t="shared" si="6"/>
        <v>1</v>
      </c>
      <c r="T40" s="82"/>
      <c r="U40" s="82"/>
      <c r="V40" s="82"/>
      <c r="W40" s="327">
        <f t="shared" si="2"/>
        <v>0</v>
      </c>
      <c r="X40" s="82"/>
      <c r="Y40" s="82"/>
      <c r="Z40" s="82"/>
      <c r="AA40" s="327">
        <f t="shared" si="3"/>
        <v>0</v>
      </c>
      <c r="AB40" s="82"/>
      <c r="AC40" s="82"/>
      <c r="AD40" s="125"/>
      <c r="AE40" s="327">
        <f t="shared" si="4"/>
        <v>0</v>
      </c>
    </row>
    <row r="41" spans="1:31" ht="30" customHeight="1" thickBot="1">
      <c r="A41" s="26"/>
      <c r="B41" s="27"/>
      <c r="C41" s="15">
        <v>3.1</v>
      </c>
      <c r="D41" s="494"/>
      <c r="E41" s="494"/>
      <c r="F41" s="200"/>
      <c r="G41" s="825" t="s">
        <v>760</v>
      </c>
      <c r="H41" s="826"/>
      <c r="I41" s="826"/>
      <c r="J41" s="827"/>
      <c r="K41" s="3">
        <f t="shared" si="7"/>
        <v>0.1</v>
      </c>
      <c r="L41" s="29" t="s">
        <v>712</v>
      </c>
      <c r="M41" s="1"/>
      <c r="N41" s="359" t="s">
        <v>678</v>
      </c>
      <c r="O41" s="36">
        <f t="shared" si="1"/>
        <v>1</v>
      </c>
      <c r="P41" s="82"/>
      <c r="Q41" s="82"/>
      <c r="R41" s="82"/>
      <c r="S41" s="397">
        <f t="shared" si="6"/>
        <v>0</v>
      </c>
      <c r="T41" s="82">
        <v>1</v>
      </c>
      <c r="U41" s="82"/>
      <c r="V41" s="82"/>
      <c r="W41" s="327">
        <f t="shared" si="2"/>
        <v>1</v>
      </c>
      <c r="X41" s="82"/>
      <c r="Y41" s="82"/>
      <c r="Z41" s="82"/>
      <c r="AA41" s="327">
        <f t="shared" si="3"/>
        <v>0</v>
      </c>
      <c r="AB41" s="82"/>
      <c r="AC41" s="82"/>
      <c r="AD41" s="125"/>
      <c r="AE41" s="327">
        <f t="shared" si="4"/>
        <v>0</v>
      </c>
    </row>
    <row r="42" spans="1:31" ht="39" thickBot="1">
      <c r="A42" s="26"/>
      <c r="B42" s="27"/>
      <c r="C42" s="15">
        <v>3.1</v>
      </c>
      <c r="D42" s="494"/>
      <c r="E42" s="494"/>
      <c r="F42" s="200"/>
      <c r="G42" s="825" t="s">
        <v>713</v>
      </c>
      <c r="H42" s="826"/>
      <c r="I42" s="826"/>
      <c r="J42" s="827"/>
      <c r="K42" s="3">
        <f t="shared" si="7"/>
        <v>0.1</v>
      </c>
      <c r="L42" s="29" t="s">
        <v>761</v>
      </c>
      <c r="M42" s="1"/>
      <c r="N42" s="359" t="s">
        <v>678</v>
      </c>
      <c r="O42" s="36">
        <f t="shared" si="1"/>
        <v>3</v>
      </c>
      <c r="P42" s="82"/>
      <c r="Q42" s="82"/>
      <c r="R42" s="82"/>
      <c r="S42" s="397">
        <f t="shared" si="6"/>
        <v>0</v>
      </c>
      <c r="T42" s="82">
        <v>1</v>
      </c>
      <c r="U42" s="82"/>
      <c r="V42" s="82"/>
      <c r="W42" s="327">
        <f t="shared" si="2"/>
        <v>1</v>
      </c>
      <c r="X42" s="82"/>
      <c r="Y42" s="82">
        <v>1</v>
      </c>
      <c r="Z42" s="82"/>
      <c r="AA42" s="327">
        <f t="shared" si="3"/>
        <v>1</v>
      </c>
      <c r="AB42" s="82"/>
      <c r="AC42" s="82">
        <v>1</v>
      </c>
      <c r="AD42" s="125"/>
      <c r="AE42" s="327">
        <f t="shared" si="4"/>
        <v>1</v>
      </c>
    </row>
    <row r="43" spans="1:31" ht="30" customHeight="1" thickBot="1">
      <c r="A43" s="26"/>
      <c r="B43" s="27"/>
      <c r="C43" s="15"/>
      <c r="D43" s="494"/>
      <c r="E43" s="494"/>
      <c r="F43" s="200">
        <v>33</v>
      </c>
      <c r="G43" s="830" t="s">
        <v>714</v>
      </c>
      <c r="H43" s="831"/>
      <c r="I43" s="831"/>
      <c r="J43" s="832"/>
      <c r="K43" s="3">
        <f t="shared" si="7"/>
        <v>33.1</v>
      </c>
      <c r="L43" s="29" t="s">
        <v>715</v>
      </c>
      <c r="M43" s="1"/>
      <c r="N43" s="359" t="s">
        <v>508</v>
      </c>
      <c r="O43" s="36">
        <f t="shared" si="1"/>
        <v>1</v>
      </c>
      <c r="P43" s="82"/>
      <c r="Q43" s="82"/>
      <c r="R43" s="82"/>
      <c r="S43" s="397">
        <f t="shared" si="6"/>
        <v>0</v>
      </c>
      <c r="T43" s="82"/>
      <c r="U43" s="82"/>
      <c r="V43" s="375">
        <v>1</v>
      </c>
      <c r="W43" s="327">
        <f t="shared" si="2"/>
        <v>1</v>
      </c>
      <c r="X43" s="82"/>
      <c r="Y43" s="82"/>
      <c r="Z43" s="82"/>
      <c r="AA43" s="327">
        <f t="shared" si="3"/>
        <v>0</v>
      </c>
      <c r="AB43" s="82"/>
      <c r="AC43" s="82"/>
      <c r="AD43" s="125"/>
      <c r="AE43" s="327">
        <f t="shared" si="4"/>
        <v>0</v>
      </c>
    </row>
    <row r="44" spans="1:33" s="228" customFormat="1" ht="15.75" customHeight="1" thickBot="1">
      <c r="A44" s="339"/>
      <c r="B44" s="27"/>
      <c r="C44" s="28"/>
      <c r="D44" s="492"/>
      <c r="E44" s="492"/>
      <c r="F44" s="200"/>
      <c r="G44" s="828" t="s">
        <v>754</v>
      </c>
      <c r="H44" s="828"/>
      <c r="I44" s="828"/>
      <c r="J44" s="828"/>
      <c r="K44" s="828"/>
      <c r="L44" s="829"/>
      <c r="M44" s="334"/>
      <c r="N44" s="358"/>
      <c r="O44" s="36">
        <f t="shared" si="1"/>
        <v>68</v>
      </c>
      <c r="P44" s="337">
        <f>SUM(P45:P49)</f>
        <v>2</v>
      </c>
      <c r="Q44" s="337">
        <f>SUM(Q45:Q49)</f>
        <v>3</v>
      </c>
      <c r="R44" s="337">
        <f>SUM(R45:R49)</f>
        <v>12</v>
      </c>
      <c r="S44" s="397">
        <f t="shared" si="6"/>
        <v>17</v>
      </c>
      <c r="T44" s="337">
        <f>SUM(T45:T49)</f>
        <v>4</v>
      </c>
      <c r="U44" s="337">
        <f>SUM(U45:U49)</f>
        <v>3</v>
      </c>
      <c r="V44" s="337">
        <f>SUM(V45:V49)</f>
        <v>11</v>
      </c>
      <c r="W44" s="327">
        <f t="shared" si="2"/>
        <v>18</v>
      </c>
      <c r="X44" s="337">
        <f>SUM(X45:X49)</f>
        <v>2</v>
      </c>
      <c r="Y44" s="337">
        <f>SUM(Y45:Y49)</f>
        <v>3</v>
      </c>
      <c r="Z44" s="337">
        <f>SUM(Z45:Z49)</f>
        <v>12</v>
      </c>
      <c r="AA44" s="327">
        <f t="shared" si="3"/>
        <v>17</v>
      </c>
      <c r="AB44" s="337">
        <f>SUM(AB45:AB49)</f>
        <v>3</v>
      </c>
      <c r="AC44" s="337">
        <f>SUM(AC45:AC49)</f>
        <v>3</v>
      </c>
      <c r="AD44" s="337">
        <f>SUM(AD45:AD49)</f>
        <v>10</v>
      </c>
      <c r="AE44" s="327">
        <f t="shared" si="4"/>
        <v>16</v>
      </c>
      <c r="AF44" s="340"/>
      <c r="AG44" s="340"/>
    </row>
    <row r="45" spans="1:31" ht="30" customHeight="1" thickBot="1">
      <c r="A45" s="26"/>
      <c r="B45" s="27"/>
      <c r="C45" s="15">
        <v>3.1</v>
      </c>
      <c r="D45" s="494"/>
      <c r="E45" s="494"/>
      <c r="F45" s="200">
        <v>34</v>
      </c>
      <c r="G45" s="819" t="s">
        <v>682</v>
      </c>
      <c r="H45" s="820"/>
      <c r="I45" s="820"/>
      <c r="J45" s="821"/>
      <c r="K45" s="3">
        <f>+F45+0.1</f>
        <v>34.1</v>
      </c>
      <c r="L45" s="29" t="s">
        <v>693</v>
      </c>
      <c r="M45" s="1"/>
      <c r="N45" s="359" t="s">
        <v>216</v>
      </c>
      <c r="O45" s="36">
        <f t="shared" si="1"/>
        <v>4</v>
      </c>
      <c r="P45" s="82"/>
      <c r="Q45" s="82"/>
      <c r="R45" s="82">
        <v>1</v>
      </c>
      <c r="S45" s="397">
        <f t="shared" si="6"/>
        <v>1</v>
      </c>
      <c r="T45" s="82"/>
      <c r="U45" s="82"/>
      <c r="V45" s="82">
        <v>1</v>
      </c>
      <c r="W45" s="327">
        <f t="shared" si="2"/>
        <v>1</v>
      </c>
      <c r="X45" s="82"/>
      <c r="Y45" s="82"/>
      <c r="Z45" s="82">
        <v>1</v>
      </c>
      <c r="AA45" s="327">
        <f t="shared" si="3"/>
        <v>1</v>
      </c>
      <c r="AB45" s="82"/>
      <c r="AC45" s="82"/>
      <c r="AD45" s="125">
        <v>1</v>
      </c>
      <c r="AE45" s="327">
        <f t="shared" si="4"/>
        <v>1</v>
      </c>
    </row>
    <row r="46" spans="1:31" ht="42" customHeight="1" thickBot="1">
      <c r="A46" s="26"/>
      <c r="B46" s="27"/>
      <c r="C46" s="15">
        <v>3.1</v>
      </c>
      <c r="D46" s="494"/>
      <c r="E46" s="494"/>
      <c r="F46" s="200">
        <v>35</v>
      </c>
      <c r="G46" s="819" t="s">
        <v>692</v>
      </c>
      <c r="H46" s="820"/>
      <c r="I46" s="820"/>
      <c r="J46" s="821"/>
      <c r="K46" s="3">
        <f>+F46+0.1</f>
        <v>35.1</v>
      </c>
      <c r="L46" s="29" t="s">
        <v>694</v>
      </c>
      <c r="M46" s="1"/>
      <c r="N46" s="359" t="s">
        <v>216</v>
      </c>
      <c r="O46" s="36">
        <f t="shared" si="1"/>
        <v>9</v>
      </c>
      <c r="P46" s="82"/>
      <c r="Q46" s="82">
        <v>1</v>
      </c>
      <c r="R46" s="82">
        <v>1</v>
      </c>
      <c r="S46" s="397">
        <f t="shared" si="6"/>
        <v>2</v>
      </c>
      <c r="T46" s="82">
        <v>1</v>
      </c>
      <c r="U46" s="82">
        <v>1</v>
      </c>
      <c r="V46" s="82">
        <v>1</v>
      </c>
      <c r="W46" s="327">
        <f t="shared" si="2"/>
        <v>3</v>
      </c>
      <c r="X46" s="82"/>
      <c r="Y46" s="82">
        <v>1</v>
      </c>
      <c r="Z46" s="82">
        <v>1</v>
      </c>
      <c r="AA46" s="327">
        <f t="shared" si="3"/>
        <v>2</v>
      </c>
      <c r="AB46" s="82">
        <v>1</v>
      </c>
      <c r="AC46" s="82">
        <v>1</v>
      </c>
      <c r="AD46" s="125"/>
      <c r="AE46" s="327">
        <f t="shared" si="4"/>
        <v>2</v>
      </c>
    </row>
    <row r="47" spans="1:31" ht="38.25" customHeight="1" thickBot="1">
      <c r="A47" s="26"/>
      <c r="B47" s="27"/>
      <c r="C47" s="15">
        <v>3.1</v>
      </c>
      <c r="D47" s="494"/>
      <c r="E47" s="494"/>
      <c r="F47" s="200">
        <v>36</v>
      </c>
      <c r="G47" s="819" t="s">
        <v>695</v>
      </c>
      <c r="H47" s="820"/>
      <c r="I47" s="820"/>
      <c r="J47" s="821"/>
      <c r="K47" s="3">
        <f>+F47+0.1</f>
        <v>36.1</v>
      </c>
      <c r="L47" s="29" t="s">
        <v>696</v>
      </c>
      <c r="M47" s="1"/>
      <c r="N47" s="359" t="s">
        <v>216</v>
      </c>
      <c r="O47" s="36">
        <f t="shared" si="1"/>
        <v>24</v>
      </c>
      <c r="P47" s="82">
        <v>2</v>
      </c>
      <c r="Q47" s="82">
        <v>2</v>
      </c>
      <c r="R47" s="82">
        <v>2</v>
      </c>
      <c r="S47" s="397">
        <f t="shared" si="6"/>
        <v>6</v>
      </c>
      <c r="T47" s="82">
        <v>2</v>
      </c>
      <c r="U47" s="82">
        <v>2</v>
      </c>
      <c r="V47" s="82">
        <v>2</v>
      </c>
      <c r="W47" s="327">
        <f t="shared" si="2"/>
        <v>6</v>
      </c>
      <c r="X47" s="82">
        <v>2</v>
      </c>
      <c r="Y47" s="82">
        <v>2</v>
      </c>
      <c r="Z47" s="82">
        <v>2</v>
      </c>
      <c r="AA47" s="327">
        <f t="shared" si="3"/>
        <v>6</v>
      </c>
      <c r="AB47" s="82">
        <v>2</v>
      </c>
      <c r="AC47" s="82">
        <v>2</v>
      </c>
      <c r="AD47" s="125">
        <v>2</v>
      </c>
      <c r="AE47" s="327">
        <f t="shared" si="4"/>
        <v>6</v>
      </c>
    </row>
    <row r="48" spans="1:31" ht="59.25" customHeight="1" thickBot="1">
      <c r="A48" s="26"/>
      <c r="B48" s="27"/>
      <c r="C48" s="15" t="s">
        <v>698</v>
      </c>
      <c r="D48" s="494"/>
      <c r="E48" s="494"/>
      <c r="F48" s="200">
        <v>37</v>
      </c>
      <c r="G48" s="819" t="s">
        <v>697</v>
      </c>
      <c r="H48" s="820"/>
      <c r="I48" s="820"/>
      <c r="J48" s="821"/>
      <c r="K48" s="3">
        <f>+F48+0.1</f>
        <v>37.1</v>
      </c>
      <c r="L48" s="29" t="s">
        <v>717</v>
      </c>
      <c r="M48" s="1"/>
      <c r="N48" s="359" t="s">
        <v>231</v>
      </c>
      <c r="O48" s="36">
        <f t="shared" si="1"/>
        <v>30</v>
      </c>
      <c r="P48" s="82"/>
      <c r="Q48" s="82"/>
      <c r="R48" s="82">
        <v>8</v>
      </c>
      <c r="S48" s="397">
        <f t="shared" si="6"/>
        <v>8</v>
      </c>
      <c r="T48" s="82"/>
      <c r="U48" s="82"/>
      <c r="V48" s="82">
        <v>7</v>
      </c>
      <c r="W48" s="327">
        <f t="shared" si="2"/>
        <v>7</v>
      </c>
      <c r="X48" s="82"/>
      <c r="Y48" s="82"/>
      <c r="Z48" s="82">
        <v>8</v>
      </c>
      <c r="AA48" s="327">
        <f t="shared" si="3"/>
        <v>8</v>
      </c>
      <c r="AB48" s="82"/>
      <c r="AC48" s="82"/>
      <c r="AD48" s="125">
        <v>7</v>
      </c>
      <c r="AE48" s="327">
        <f t="shared" si="4"/>
        <v>7</v>
      </c>
    </row>
    <row r="49" spans="1:31" ht="30" customHeight="1" thickBot="1">
      <c r="A49" s="26"/>
      <c r="B49" s="27"/>
      <c r="C49" s="15" t="s">
        <v>698</v>
      </c>
      <c r="D49" s="494"/>
      <c r="E49" s="494"/>
      <c r="F49" s="200">
        <v>38</v>
      </c>
      <c r="G49" s="819" t="s">
        <v>699</v>
      </c>
      <c r="H49" s="820"/>
      <c r="I49" s="820"/>
      <c r="J49" s="821"/>
      <c r="K49" s="3">
        <f>+F49+0.1</f>
        <v>38.1</v>
      </c>
      <c r="L49" s="29" t="s">
        <v>700</v>
      </c>
      <c r="M49" s="1"/>
      <c r="N49" s="359" t="s">
        <v>219</v>
      </c>
      <c r="O49" s="36">
        <f t="shared" si="1"/>
        <v>1</v>
      </c>
      <c r="P49" s="82"/>
      <c r="Q49" s="82"/>
      <c r="R49" s="82"/>
      <c r="S49" s="397">
        <f t="shared" si="6"/>
        <v>0</v>
      </c>
      <c r="T49" s="82">
        <v>1</v>
      </c>
      <c r="U49" s="82"/>
      <c r="V49" s="82"/>
      <c r="W49" s="327">
        <f t="shared" si="2"/>
        <v>1</v>
      </c>
      <c r="X49" s="82"/>
      <c r="Y49" s="82"/>
      <c r="Z49" s="82"/>
      <c r="AA49" s="327">
        <f t="shared" si="3"/>
        <v>0</v>
      </c>
      <c r="AB49" s="82"/>
      <c r="AC49" s="82"/>
      <c r="AD49" s="125"/>
      <c r="AE49" s="327">
        <f t="shared" si="4"/>
        <v>0</v>
      </c>
    </row>
    <row r="50" spans="1:31" ht="42" customHeight="1" thickBot="1">
      <c r="A50" s="26"/>
      <c r="B50" s="27"/>
      <c r="C50" s="15">
        <v>3.1</v>
      </c>
      <c r="D50" s="494"/>
      <c r="E50" s="494"/>
      <c r="F50" s="200">
        <v>39</v>
      </c>
      <c r="G50" s="816" t="s">
        <v>748</v>
      </c>
      <c r="H50" s="817"/>
      <c r="I50" s="817"/>
      <c r="J50" s="818"/>
      <c r="K50" s="3">
        <v>39.1</v>
      </c>
      <c r="L50" s="29" t="s">
        <v>727</v>
      </c>
      <c r="M50" s="1"/>
      <c r="N50" s="359" t="s">
        <v>231</v>
      </c>
      <c r="O50" s="36">
        <f t="shared" si="1"/>
        <v>4</v>
      </c>
      <c r="P50" s="82" t="s">
        <v>718</v>
      </c>
      <c r="Q50" s="82"/>
      <c r="R50" s="82">
        <v>1</v>
      </c>
      <c r="S50" s="397">
        <f t="shared" si="6"/>
        <v>1</v>
      </c>
      <c r="T50" s="82"/>
      <c r="U50" s="82"/>
      <c r="V50" s="82">
        <v>1</v>
      </c>
      <c r="W50" s="327">
        <f t="shared" si="2"/>
        <v>1</v>
      </c>
      <c r="X50" s="82" t="s">
        <v>718</v>
      </c>
      <c r="Y50" s="82"/>
      <c r="Z50" s="82">
        <v>1</v>
      </c>
      <c r="AA50" s="327">
        <f t="shared" si="3"/>
        <v>1</v>
      </c>
      <c r="AB50" s="82" t="s">
        <v>718</v>
      </c>
      <c r="AC50" s="82" t="s">
        <v>718</v>
      </c>
      <c r="AD50" s="125">
        <v>1</v>
      </c>
      <c r="AE50" s="327">
        <f t="shared" si="4"/>
        <v>1</v>
      </c>
    </row>
    <row r="51" spans="1:31" ht="42" customHeight="1" thickBot="1">
      <c r="A51" s="26"/>
      <c r="B51" s="27"/>
      <c r="C51" s="15"/>
      <c r="D51" s="494"/>
      <c r="E51" s="494"/>
      <c r="F51" s="200">
        <v>40</v>
      </c>
      <c r="G51" s="816" t="s">
        <v>749</v>
      </c>
      <c r="H51" s="817"/>
      <c r="I51" s="817"/>
      <c r="J51" s="818"/>
      <c r="K51" s="3">
        <v>40.1</v>
      </c>
      <c r="L51" s="29" t="s">
        <v>728</v>
      </c>
      <c r="M51" s="1"/>
      <c r="N51" s="359" t="s">
        <v>231</v>
      </c>
      <c r="O51" s="36">
        <f t="shared" si="1"/>
        <v>4</v>
      </c>
      <c r="P51" s="82" t="s">
        <v>718</v>
      </c>
      <c r="Q51" s="82"/>
      <c r="R51" s="82">
        <v>1</v>
      </c>
      <c r="S51" s="397">
        <f t="shared" si="6"/>
        <v>1</v>
      </c>
      <c r="T51" s="82"/>
      <c r="U51" s="82"/>
      <c r="V51" s="82">
        <v>1</v>
      </c>
      <c r="W51" s="327">
        <f t="shared" si="2"/>
        <v>1</v>
      </c>
      <c r="X51" s="82" t="s">
        <v>718</v>
      </c>
      <c r="Y51" s="82"/>
      <c r="Z51" s="82">
        <v>1</v>
      </c>
      <c r="AA51" s="327">
        <f t="shared" si="3"/>
        <v>1</v>
      </c>
      <c r="AB51" s="82" t="s">
        <v>718</v>
      </c>
      <c r="AC51" s="82" t="s">
        <v>718</v>
      </c>
      <c r="AD51" s="125">
        <v>1</v>
      </c>
      <c r="AE51" s="327">
        <f t="shared" si="4"/>
        <v>1</v>
      </c>
    </row>
    <row r="52" spans="1:31" ht="42" customHeight="1" thickBot="1">
      <c r="A52" s="26"/>
      <c r="B52" s="27"/>
      <c r="C52" s="15">
        <v>1.1</v>
      </c>
      <c r="D52" s="494"/>
      <c r="E52" s="494"/>
      <c r="F52" s="200">
        <v>41</v>
      </c>
      <c r="G52" s="816" t="s">
        <v>701</v>
      </c>
      <c r="H52" s="817"/>
      <c r="I52" s="817"/>
      <c r="J52" s="818"/>
      <c r="K52" s="3">
        <v>41.1</v>
      </c>
      <c r="L52" s="29" t="s">
        <v>702</v>
      </c>
      <c r="M52" s="1"/>
      <c r="N52" s="359" t="s">
        <v>231</v>
      </c>
      <c r="O52" s="36">
        <f t="shared" si="1"/>
        <v>4</v>
      </c>
      <c r="P52" s="82" t="s">
        <v>718</v>
      </c>
      <c r="Q52" s="82"/>
      <c r="R52" s="82">
        <v>1</v>
      </c>
      <c r="S52" s="397">
        <f t="shared" si="6"/>
        <v>1</v>
      </c>
      <c r="T52" s="82"/>
      <c r="U52" s="82"/>
      <c r="V52" s="82">
        <v>1</v>
      </c>
      <c r="W52" s="327">
        <f t="shared" si="2"/>
        <v>1</v>
      </c>
      <c r="X52" s="82" t="s">
        <v>718</v>
      </c>
      <c r="Y52" s="82"/>
      <c r="Z52" s="82">
        <v>1</v>
      </c>
      <c r="AA52" s="327">
        <f t="shared" si="3"/>
        <v>1</v>
      </c>
      <c r="AB52" s="82" t="s">
        <v>718</v>
      </c>
      <c r="AC52" s="82" t="s">
        <v>718</v>
      </c>
      <c r="AD52" s="125">
        <v>1</v>
      </c>
      <c r="AE52" s="327">
        <f t="shared" si="4"/>
        <v>1</v>
      </c>
    </row>
    <row r="53" spans="1:31" ht="42" customHeight="1" thickBot="1">
      <c r="A53" s="26"/>
      <c r="B53" s="27"/>
      <c r="C53" s="15">
        <v>3</v>
      </c>
      <c r="D53" s="494"/>
      <c r="E53" s="494"/>
      <c r="F53" s="200">
        <v>42</v>
      </c>
      <c r="G53" s="816" t="s">
        <v>750</v>
      </c>
      <c r="H53" s="817"/>
      <c r="I53" s="817"/>
      <c r="J53" s="818"/>
      <c r="K53" s="3">
        <v>42.1</v>
      </c>
      <c r="L53" s="29" t="s">
        <v>740</v>
      </c>
      <c r="M53" s="1"/>
      <c r="N53" s="359" t="s">
        <v>231</v>
      </c>
      <c r="O53" s="36">
        <f t="shared" si="1"/>
        <v>4</v>
      </c>
      <c r="P53" s="82" t="s">
        <v>718</v>
      </c>
      <c r="Q53" s="82"/>
      <c r="R53" s="82">
        <v>1</v>
      </c>
      <c r="S53" s="397">
        <f t="shared" si="6"/>
        <v>1</v>
      </c>
      <c r="T53" s="82"/>
      <c r="U53" s="82"/>
      <c r="V53" s="82">
        <v>1</v>
      </c>
      <c r="W53" s="327">
        <f t="shared" si="2"/>
        <v>1</v>
      </c>
      <c r="X53" s="82" t="s">
        <v>718</v>
      </c>
      <c r="Y53" s="82"/>
      <c r="Z53" s="82">
        <v>1</v>
      </c>
      <c r="AA53" s="327">
        <f t="shared" si="3"/>
        <v>1</v>
      </c>
      <c r="AB53" s="82" t="s">
        <v>718</v>
      </c>
      <c r="AC53" s="82" t="s">
        <v>718</v>
      </c>
      <c r="AD53" s="125">
        <v>1</v>
      </c>
      <c r="AE53" s="327">
        <f t="shared" si="4"/>
        <v>1</v>
      </c>
    </row>
    <row r="54" spans="1:31" ht="42" customHeight="1" thickBot="1">
      <c r="A54" s="26"/>
      <c r="B54" s="27"/>
      <c r="C54" s="15">
        <v>2.3</v>
      </c>
      <c r="D54" s="494"/>
      <c r="E54" s="494"/>
      <c r="F54" s="200">
        <v>43</v>
      </c>
      <c r="G54" s="816" t="s">
        <v>751</v>
      </c>
      <c r="H54" s="817"/>
      <c r="I54" s="817"/>
      <c r="J54" s="818"/>
      <c r="K54" s="3">
        <v>43.1</v>
      </c>
      <c r="L54" s="29" t="s">
        <v>729</v>
      </c>
      <c r="M54" s="1"/>
      <c r="N54" s="359" t="s">
        <v>231</v>
      </c>
      <c r="O54" s="36">
        <f t="shared" si="1"/>
        <v>4</v>
      </c>
      <c r="P54" s="82" t="s">
        <v>718</v>
      </c>
      <c r="Q54" s="82"/>
      <c r="R54" s="82">
        <v>1</v>
      </c>
      <c r="S54" s="397">
        <f t="shared" si="6"/>
        <v>1</v>
      </c>
      <c r="T54" s="82"/>
      <c r="U54" s="82"/>
      <c r="V54" s="82">
        <v>1</v>
      </c>
      <c r="W54" s="327">
        <f t="shared" si="2"/>
        <v>1</v>
      </c>
      <c r="X54" s="82" t="s">
        <v>718</v>
      </c>
      <c r="Y54" s="82"/>
      <c r="Z54" s="82">
        <v>1</v>
      </c>
      <c r="AA54" s="327">
        <f t="shared" si="3"/>
        <v>1</v>
      </c>
      <c r="AB54" s="82" t="s">
        <v>718</v>
      </c>
      <c r="AC54" s="82" t="s">
        <v>718</v>
      </c>
      <c r="AD54" s="125">
        <v>1</v>
      </c>
      <c r="AE54" s="327">
        <f t="shared" si="4"/>
        <v>1</v>
      </c>
    </row>
    <row r="55" spans="1:31" ht="42" customHeight="1" thickBot="1">
      <c r="A55" s="26"/>
      <c r="B55" s="27"/>
      <c r="C55" s="15">
        <v>1.4</v>
      </c>
      <c r="D55" s="494"/>
      <c r="E55" s="494"/>
      <c r="F55" s="200">
        <v>44</v>
      </c>
      <c r="G55" s="816" t="s">
        <v>752</v>
      </c>
      <c r="H55" s="817"/>
      <c r="I55" s="817"/>
      <c r="J55" s="818"/>
      <c r="K55" s="3">
        <v>44.1</v>
      </c>
      <c r="L55" s="29" t="s">
        <v>741</v>
      </c>
      <c r="M55" s="1"/>
      <c r="N55" s="359" t="s">
        <v>231</v>
      </c>
      <c r="O55" s="36">
        <f t="shared" si="1"/>
        <v>4</v>
      </c>
      <c r="P55" s="82" t="s">
        <v>718</v>
      </c>
      <c r="Q55" s="82"/>
      <c r="R55" s="82">
        <v>1</v>
      </c>
      <c r="S55" s="397">
        <f t="shared" si="6"/>
        <v>1</v>
      </c>
      <c r="T55" s="82"/>
      <c r="U55" s="82"/>
      <c r="V55" s="82">
        <v>1</v>
      </c>
      <c r="W55" s="327">
        <f t="shared" si="2"/>
        <v>1</v>
      </c>
      <c r="X55" s="82" t="s">
        <v>718</v>
      </c>
      <c r="Y55" s="82"/>
      <c r="Z55" s="82">
        <v>1</v>
      </c>
      <c r="AA55" s="327">
        <f t="shared" si="3"/>
        <v>1</v>
      </c>
      <c r="AB55" s="82" t="s">
        <v>718</v>
      </c>
      <c r="AC55" s="82" t="s">
        <v>718</v>
      </c>
      <c r="AD55" s="125">
        <v>1</v>
      </c>
      <c r="AE55" s="327">
        <f t="shared" si="4"/>
        <v>1</v>
      </c>
    </row>
    <row r="56" spans="1:31" ht="42" customHeight="1" thickBot="1">
      <c r="A56" s="26"/>
      <c r="B56" s="27"/>
      <c r="C56" s="15">
        <v>1.1</v>
      </c>
      <c r="D56" s="494"/>
      <c r="E56" s="494"/>
      <c r="F56" s="200">
        <v>45</v>
      </c>
      <c r="G56" s="816" t="s">
        <v>753</v>
      </c>
      <c r="H56" s="817"/>
      <c r="I56" s="817"/>
      <c r="J56" s="818"/>
      <c r="K56" s="3">
        <v>45.1</v>
      </c>
      <c r="L56" s="29" t="s">
        <v>742</v>
      </c>
      <c r="M56" s="1"/>
      <c r="N56" s="359" t="s">
        <v>231</v>
      </c>
      <c r="O56" s="36">
        <f t="shared" si="1"/>
        <v>4</v>
      </c>
      <c r="P56" s="82" t="s">
        <v>718</v>
      </c>
      <c r="Q56" s="82"/>
      <c r="R56" s="82">
        <v>1</v>
      </c>
      <c r="S56" s="397">
        <f t="shared" si="6"/>
        <v>1</v>
      </c>
      <c r="T56" s="82"/>
      <c r="U56" s="82"/>
      <c r="V56" s="82">
        <v>1</v>
      </c>
      <c r="W56" s="327">
        <f t="shared" si="2"/>
        <v>1</v>
      </c>
      <c r="X56" s="82" t="s">
        <v>718</v>
      </c>
      <c r="Y56" s="82"/>
      <c r="Z56" s="82">
        <v>1</v>
      </c>
      <c r="AA56" s="327">
        <f t="shared" si="3"/>
        <v>1</v>
      </c>
      <c r="AB56" s="82" t="s">
        <v>718</v>
      </c>
      <c r="AC56" s="82" t="s">
        <v>718</v>
      </c>
      <c r="AD56" s="125">
        <v>1</v>
      </c>
      <c r="AE56" s="327">
        <f t="shared" si="4"/>
        <v>1</v>
      </c>
    </row>
    <row r="57" spans="1:31" ht="42" customHeight="1" thickBot="1">
      <c r="A57" s="26"/>
      <c r="B57" s="27"/>
      <c r="C57" s="15">
        <v>1.4</v>
      </c>
      <c r="D57" s="494"/>
      <c r="E57" s="494"/>
      <c r="F57" s="200">
        <v>46</v>
      </c>
      <c r="G57" s="816" t="s">
        <v>746</v>
      </c>
      <c r="H57" s="817"/>
      <c r="I57" s="817"/>
      <c r="J57" s="818"/>
      <c r="K57" s="3">
        <v>46.1</v>
      </c>
      <c r="L57" s="29" t="s">
        <v>719</v>
      </c>
      <c r="M57" s="1"/>
      <c r="N57" s="359" t="s">
        <v>231</v>
      </c>
      <c r="O57" s="36">
        <f t="shared" si="1"/>
        <v>4</v>
      </c>
      <c r="P57" s="82" t="s">
        <v>718</v>
      </c>
      <c r="Q57" s="82"/>
      <c r="R57" s="82">
        <v>1</v>
      </c>
      <c r="S57" s="397">
        <f t="shared" si="6"/>
        <v>1</v>
      </c>
      <c r="T57" s="82"/>
      <c r="U57" s="82"/>
      <c r="V57" s="82">
        <v>1</v>
      </c>
      <c r="W57" s="327">
        <f t="shared" si="2"/>
        <v>1</v>
      </c>
      <c r="X57" s="82" t="s">
        <v>718</v>
      </c>
      <c r="Y57" s="82"/>
      <c r="Z57" s="82">
        <v>1</v>
      </c>
      <c r="AA57" s="327">
        <f t="shared" si="3"/>
        <v>1</v>
      </c>
      <c r="AB57" s="82" t="s">
        <v>718</v>
      </c>
      <c r="AC57" s="82" t="s">
        <v>718</v>
      </c>
      <c r="AD57" s="125">
        <v>1</v>
      </c>
      <c r="AE57" s="327">
        <f t="shared" si="4"/>
        <v>1</v>
      </c>
    </row>
    <row r="58" spans="1:31" ht="42" customHeight="1" thickBot="1">
      <c r="A58" s="26"/>
      <c r="B58" s="27"/>
      <c r="C58" s="15"/>
      <c r="D58" s="494"/>
      <c r="E58" s="494"/>
      <c r="F58" s="200">
        <v>47</v>
      </c>
      <c r="G58" s="816" t="s">
        <v>745</v>
      </c>
      <c r="H58" s="817"/>
      <c r="I58" s="817"/>
      <c r="J58" s="818"/>
      <c r="K58" s="3">
        <v>47.1</v>
      </c>
      <c r="L58" s="29" t="s">
        <v>743</v>
      </c>
      <c r="M58" s="1"/>
      <c r="N58" s="359" t="s">
        <v>231</v>
      </c>
      <c r="O58" s="36">
        <f t="shared" si="1"/>
        <v>4</v>
      </c>
      <c r="P58" s="82" t="s">
        <v>718</v>
      </c>
      <c r="Q58" s="82"/>
      <c r="R58" s="82">
        <v>1</v>
      </c>
      <c r="S58" s="397">
        <f t="shared" si="6"/>
        <v>1</v>
      </c>
      <c r="T58" s="82"/>
      <c r="U58" s="82"/>
      <c r="V58" s="82">
        <v>1</v>
      </c>
      <c r="W58" s="327">
        <f t="shared" si="2"/>
        <v>1</v>
      </c>
      <c r="X58" s="82" t="s">
        <v>718</v>
      </c>
      <c r="Y58" s="82"/>
      <c r="Z58" s="82">
        <v>1</v>
      </c>
      <c r="AA58" s="327">
        <f t="shared" si="3"/>
        <v>1</v>
      </c>
      <c r="AB58" s="82" t="s">
        <v>718</v>
      </c>
      <c r="AC58" s="82" t="s">
        <v>718</v>
      </c>
      <c r="AD58" s="125">
        <v>1</v>
      </c>
      <c r="AE58" s="327">
        <f t="shared" si="4"/>
        <v>1</v>
      </c>
    </row>
    <row r="59" spans="1:31" ht="42" customHeight="1" thickBot="1">
      <c r="A59" s="26"/>
      <c r="B59" s="27"/>
      <c r="C59" s="15" t="s">
        <v>334</v>
      </c>
      <c r="D59" s="494"/>
      <c r="E59" s="494"/>
      <c r="F59" s="200">
        <v>48</v>
      </c>
      <c r="G59" s="816" t="s">
        <v>747</v>
      </c>
      <c r="H59" s="817"/>
      <c r="I59" s="817"/>
      <c r="J59" s="818"/>
      <c r="K59" s="3">
        <v>48.1</v>
      </c>
      <c r="L59" s="29" t="s">
        <v>744</v>
      </c>
      <c r="M59" s="1"/>
      <c r="N59" s="359" t="s">
        <v>231</v>
      </c>
      <c r="O59" s="36">
        <f t="shared" si="1"/>
        <v>4</v>
      </c>
      <c r="P59" s="82" t="s">
        <v>718</v>
      </c>
      <c r="Q59" s="82"/>
      <c r="R59" s="82">
        <v>1</v>
      </c>
      <c r="S59" s="397">
        <f t="shared" si="6"/>
        <v>1</v>
      </c>
      <c r="T59" s="82"/>
      <c r="U59" s="82"/>
      <c r="V59" s="82">
        <v>1</v>
      </c>
      <c r="W59" s="327">
        <f t="shared" si="2"/>
        <v>1</v>
      </c>
      <c r="X59" s="82" t="s">
        <v>718</v>
      </c>
      <c r="Y59" s="82"/>
      <c r="Z59" s="82">
        <v>1</v>
      </c>
      <c r="AA59" s="327">
        <f t="shared" si="3"/>
        <v>1</v>
      </c>
      <c r="AB59" s="82" t="s">
        <v>718</v>
      </c>
      <c r="AC59" s="82" t="s">
        <v>718</v>
      </c>
      <c r="AD59" s="125">
        <v>1</v>
      </c>
      <c r="AE59" s="327">
        <f t="shared" si="4"/>
        <v>1</v>
      </c>
    </row>
    <row r="60" spans="1:31" ht="26.25" customHeight="1" thickBot="1">
      <c r="A60" s="26"/>
      <c r="B60" s="27"/>
      <c r="C60" s="15">
        <v>8</v>
      </c>
      <c r="D60" s="494"/>
      <c r="E60" s="494"/>
      <c r="F60" s="200">
        <v>22</v>
      </c>
      <c r="G60" s="819" t="s">
        <v>663</v>
      </c>
      <c r="H60" s="820"/>
      <c r="I60" s="820"/>
      <c r="J60" s="821"/>
      <c r="K60" s="3">
        <f>+F60+0.1</f>
        <v>22.1</v>
      </c>
      <c r="L60" s="29" t="s">
        <v>665</v>
      </c>
      <c r="M60" s="1"/>
      <c r="N60" s="359" t="s">
        <v>228</v>
      </c>
      <c r="O60" s="36">
        <f t="shared" si="1"/>
        <v>20</v>
      </c>
      <c r="P60" s="82">
        <v>2</v>
      </c>
      <c r="Q60" s="82">
        <v>2</v>
      </c>
      <c r="R60" s="82">
        <v>2</v>
      </c>
      <c r="S60" s="397">
        <f t="shared" si="6"/>
        <v>6</v>
      </c>
      <c r="T60" s="82">
        <v>1</v>
      </c>
      <c r="U60" s="82">
        <v>2</v>
      </c>
      <c r="V60" s="82">
        <v>2</v>
      </c>
      <c r="W60" s="327">
        <f t="shared" si="2"/>
        <v>5</v>
      </c>
      <c r="X60" s="82"/>
      <c r="Y60" s="82">
        <v>2</v>
      </c>
      <c r="Z60" s="82">
        <v>2</v>
      </c>
      <c r="AA60" s="327">
        <f t="shared" si="3"/>
        <v>4</v>
      </c>
      <c r="AB60" s="82">
        <v>2</v>
      </c>
      <c r="AC60" s="82">
        <v>2</v>
      </c>
      <c r="AD60" s="125">
        <v>1</v>
      </c>
      <c r="AE60" s="327">
        <f t="shared" si="4"/>
        <v>5</v>
      </c>
    </row>
    <row r="61" spans="1:31" ht="36" customHeight="1" thickBot="1">
      <c r="A61" s="26"/>
      <c r="B61" s="27"/>
      <c r="C61" s="15">
        <v>3</v>
      </c>
      <c r="D61" s="494"/>
      <c r="E61" s="494"/>
      <c r="F61" s="200">
        <v>23</v>
      </c>
      <c r="G61" s="819" t="s">
        <v>666</v>
      </c>
      <c r="H61" s="820"/>
      <c r="I61" s="820"/>
      <c r="J61" s="821"/>
      <c r="K61" s="3">
        <f>+F61+0.1</f>
        <v>23.1</v>
      </c>
      <c r="L61" s="29" t="s">
        <v>664</v>
      </c>
      <c r="M61" s="1"/>
      <c r="N61" s="359" t="s">
        <v>225</v>
      </c>
      <c r="O61" s="36">
        <f t="shared" si="1"/>
        <v>4</v>
      </c>
      <c r="P61" s="82">
        <v>1</v>
      </c>
      <c r="Q61" s="82"/>
      <c r="R61" s="82"/>
      <c r="S61" s="397">
        <f t="shared" si="6"/>
        <v>1</v>
      </c>
      <c r="T61" s="82">
        <v>1</v>
      </c>
      <c r="U61" s="124"/>
      <c r="V61" s="82"/>
      <c r="W61" s="327">
        <f t="shared" si="2"/>
        <v>1</v>
      </c>
      <c r="X61" s="82"/>
      <c r="Y61" s="82">
        <v>1</v>
      </c>
      <c r="Z61" s="82"/>
      <c r="AA61" s="327">
        <f t="shared" si="3"/>
        <v>1</v>
      </c>
      <c r="AB61" s="82"/>
      <c r="AC61" s="82">
        <v>1</v>
      </c>
      <c r="AD61" s="125"/>
      <c r="AE61" s="327">
        <f t="shared" si="4"/>
        <v>1</v>
      </c>
    </row>
    <row r="62" spans="1:31" ht="51" customHeight="1" thickBot="1">
      <c r="A62" s="26"/>
      <c r="B62" s="27"/>
      <c r="C62" s="15">
        <v>5</v>
      </c>
      <c r="D62" s="494"/>
      <c r="E62" s="494"/>
      <c r="F62" s="200">
        <v>24</v>
      </c>
      <c r="G62" s="819" t="s">
        <v>667</v>
      </c>
      <c r="H62" s="820"/>
      <c r="I62" s="820"/>
      <c r="J62" s="821"/>
      <c r="K62" s="3">
        <f>+F62+0.1</f>
        <v>24.1</v>
      </c>
      <c r="L62" s="29" t="s">
        <v>668</v>
      </c>
      <c r="M62" s="1"/>
      <c r="N62" s="359" t="s">
        <v>221</v>
      </c>
      <c r="O62" s="36">
        <f t="shared" si="1"/>
        <v>43</v>
      </c>
      <c r="P62" s="82"/>
      <c r="Q62" s="82">
        <v>19</v>
      </c>
      <c r="R62" s="82">
        <v>10</v>
      </c>
      <c r="S62" s="397">
        <f t="shared" si="6"/>
        <v>29</v>
      </c>
      <c r="T62" s="82">
        <v>2</v>
      </c>
      <c r="U62" s="82">
        <v>2</v>
      </c>
      <c r="V62" s="82">
        <v>2</v>
      </c>
      <c r="W62" s="327">
        <f t="shared" si="2"/>
        <v>6</v>
      </c>
      <c r="X62" s="82"/>
      <c r="Y62" s="82">
        <v>2</v>
      </c>
      <c r="Z62" s="82">
        <v>2</v>
      </c>
      <c r="AA62" s="327">
        <f t="shared" si="3"/>
        <v>4</v>
      </c>
      <c r="AB62" s="82">
        <v>2</v>
      </c>
      <c r="AC62" s="82">
        <v>2</v>
      </c>
      <c r="AD62" s="125"/>
      <c r="AE62" s="327">
        <f t="shared" si="4"/>
        <v>4</v>
      </c>
    </row>
    <row r="63" spans="1:31" s="346" customFormat="1" ht="15.75" customHeight="1" thickBot="1">
      <c r="A63" s="345"/>
      <c r="B63" s="342"/>
      <c r="C63" s="343"/>
      <c r="D63" s="492"/>
      <c r="E63" s="492"/>
      <c r="F63" s="344"/>
      <c r="G63" s="828" t="s">
        <v>597</v>
      </c>
      <c r="H63" s="828"/>
      <c r="I63" s="828"/>
      <c r="J63" s="828"/>
      <c r="K63" s="828"/>
      <c r="L63" s="829"/>
      <c r="N63" s="358"/>
      <c r="O63" s="36">
        <f t="shared" si="1"/>
        <v>105</v>
      </c>
      <c r="P63" s="337">
        <f>SUM(P64:P75)</f>
        <v>10</v>
      </c>
      <c r="Q63" s="337">
        <f>SUM(Q64:Q75)</f>
        <v>12</v>
      </c>
      <c r="R63" s="337">
        <f>SUM(R64:R75)</f>
        <v>11</v>
      </c>
      <c r="S63" s="397">
        <f t="shared" si="6"/>
        <v>33</v>
      </c>
      <c r="T63" s="337">
        <f>SUM(T64:T75)</f>
        <v>9</v>
      </c>
      <c r="U63" s="337">
        <f>SUM(U64:U75)</f>
        <v>9</v>
      </c>
      <c r="V63" s="337">
        <f>SUM(V64:V75)</f>
        <v>11</v>
      </c>
      <c r="W63" s="327">
        <f t="shared" si="2"/>
        <v>29</v>
      </c>
      <c r="X63" s="337">
        <f>SUM(X64:X75)</f>
        <v>3</v>
      </c>
      <c r="Y63" s="337">
        <f>SUM(Y64:Y75)</f>
        <v>7</v>
      </c>
      <c r="Z63" s="337">
        <f>SUM(Z64:Z75)</f>
        <v>9</v>
      </c>
      <c r="AA63" s="327">
        <f t="shared" si="3"/>
        <v>19</v>
      </c>
      <c r="AB63" s="337">
        <f>SUM(AB64:AB75)</f>
        <v>9</v>
      </c>
      <c r="AC63" s="337">
        <f>SUM(AC64:AC75)</f>
        <v>8</v>
      </c>
      <c r="AD63" s="337">
        <f>SUM(AD64:AD75)</f>
        <v>7</v>
      </c>
      <c r="AE63" s="327">
        <f t="shared" si="4"/>
        <v>24</v>
      </c>
    </row>
    <row r="64" spans="2:31" s="404" customFormat="1" ht="43.5" customHeight="1" thickBot="1">
      <c r="B64" s="445"/>
      <c r="C64" s="400">
        <v>3.1</v>
      </c>
      <c r="D64" s="492"/>
      <c r="E64" s="492"/>
      <c r="F64" s="401">
        <v>40</v>
      </c>
      <c r="G64" s="816" t="s">
        <v>39</v>
      </c>
      <c r="H64" s="817"/>
      <c r="I64" s="817"/>
      <c r="J64" s="818"/>
      <c r="K64" s="402">
        <f>+F64+0.1</f>
        <v>40.1</v>
      </c>
      <c r="L64" s="403" t="s">
        <v>703</v>
      </c>
      <c r="N64" s="406" t="s">
        <v>8</v>
      </c>
      <c r="O64" s="406">
        <f t="shared" si="1"/>
        <v>1</v>
      </c>
      <c r="P64" s="406"/>
      <c r="Q64" s="406"/>
      <c r="R64" s="406"/>
      <c r="S64" s="407">
        <f t="shared" si="6"/>
        <v>0</v>
      </c>
      <c r="T64" s="406"/>
      <c r="U64" s="406"/>
      <c r="V64" s="406">
        <v>1</v>
      </c>
      <c r="W64" s="405">
        <f t="shared" si="2"/>
        <v>1</v>
      </c>
      <c r="X64" s="406"/>
      <c r="Y64" s="406"/>
      <c r="Z64" s="406"/>
      <c r="AA64" s="405">
        <f t="shared" si="3"/>
        <v>0</v>
      </c>
      <c r="AB64" s="406"/>
      <c r="AC64" s="406"/>
      <c r="AD64" s="411"/>
      <c r="AE64" s="405">
        <f t="shared" si="4"/>
        <v>0</v>
      </c>
    </row>
    <row r="65" spans="1:31" ht="43.5" customHeight="1" thickBot="1">
      <c r="A65" s="1"/>
      <c r="B65" s="13"/>
      <c r="C65" s="28">
        <v>3.1</v>
      </c>
      <c r="D65" s="492"/>
      <c r="E65" s="492"/>
      <c r="F65" s="449">
        <v>41</v>
      </c>
      <c r="G65" s="819" t="s">
        <v>56</v>
      </c>
      <c r="H65" s="820"/>
      <c r="I65" s="820"/>
      <c r="J65" s="821"/>
      <c r="K65" s="3">
        <f>+F65+0.1</f>
        <v>41.1</v>
      </c>
      <c r="L65" s="29" t="s">
        <v>55</v>
      </c>
      <c r="M65" s="1"/>
      <c r="N65" s="359" t="s">
        <v>218</v>
      </c>
      <c r="O65" s="36">
        <f t="shared" si="1"/>
        <v>9</v>
      </c>
      <c r="P65" s="82"/>
      <c r="Q65" s="82">
        <v>1</v>
      </c>
      <c r="R65" s="82">
        <v>1</v>
      </c>
      <c r="S65" s="397">
        <f t="shared" si="6"/>
        <v>2</v>
      </c>
      <c r="T65" s="82">
        <v>1</v>
      </c>
      <c r="U65" s="82">
        <v>1</v>
      </c>
      <c r="V65" s="82">
        <v>1</v>
      </c>
      <c r="W65" s="327">
        <f t="shared" si="2"/>
        <v>3</v>
      </c>
      <c r="X65" s="82"/>
      <c r="Y65" s="82">
        <v>1</v>
      </c>
      <c r="Z65" s="82">
        <v>1</v>
      </c>
      <c r="AA65" s="327">
        <f t="shared" si="3"/>
        <v>2</v>
      </c>
      <c r="AB65" s="82">
        <v>1</v>
      </c>
      <c r="AC65" s="82">
        <v>1</v>
      </c>
      <c r="AD65" s="125"/>
      <c r="AE65" s="327">
        <f t="shared" si="4"/>
        <v>2</v>
      </c>
    </row>
    <row r="66" spans="1:31" ht="43.5" customHeight="1" thickBot="1">
      <c r="A66" s="1"/>
      <c r="B66" s="13"/>
      <c r="C66" s="28">
        <v>3.1</v>
      </c>
      <c r="D66" s="492"/>
      <c r="E66" s="492"/>
      <c r="F66" s="449">
        <v>42</v>
      </c>
      <c r="G66" s="819" t="s">
        <v>9</v>
      </c>
      <c r="H66" s="820"/>
      <c r="I66" s="820"/>
      <c r="J66" s="821"/>
      <c r="K66" s="3">
        <f>+F66+0.1</f>
        <v>42.1</v>
      </c>
      <c r="L66" s="29" t="s">
        <v>58</v>
      </c>
      <c r="M66" s="1"/>
      <c r="N66" s="359" t="s">
        <v>231</v>
      </c>
      <c r="O66" s="36">
        <f t="shared" si="1"/>
        <v>11</v>
      </c>
      <c r="P66" s="82">
        <v>1</v>
      </c>
      <c r="Q66" s="82">
        <v>1</v>
      </c>
      <c r="R66" s="82">
        <v>1</v>
      </c>
      <c r="S66" s="397">
        <f t="shared" si="6"/>
        <v>3</v>
      </c>
      <c r="T66" s="82">
        <v>1</v>
      </c>
      <c r="U66" s="82">
        <v>1</v>
      </c>
      <c r="V66" s="82">
        <v>1</v>
      </c>
      <c r="W66" s="327">
        <f t="shared" si="2"/>
        <v>3</v>
      </c>
      <c r="X66" s="82"/>
      <c r="Y66" s="82">
        <v>1</v>
      </c>
      <c r="Z66" s="82">
        <v>1</v>
      </c>
      <c r="AA66" s="327">
        <f t="shared" si="3"/>
        <v>2</v>
      </c>
      <c r="AB66" s="82">
        <v>1</v>
      </c>
      <c r="AC66" s="82">
        <v>1</v>
      </c>
      <c r="AD66" s="125">
        <v>1</v>
      </c>
      <c r="AE66" s="327">
        <f t="shared" si="4"/>
        <v>3</v>
      </c>
    </row>
    <row r="67" spans="1:31" ht="43.5" customHeight="1" thickBot="1">
      <c r="A67" s="1"/>
      <c r="B67" s="13"/>
      <c r="C67" s="28">
        <v>3.1</v>
      </c>
      <c r="D67" s="492"/>
      <c r="E67" s="492"/>
      <c r="F67" s="449">
        <v>43</v>
      </c>
      <c r="G67" s="833" t="s">
        <v>59</v>
      </c>
      <c r="H67" s="834"/>
      <c r="I67" s="834"/>
      <c r="J67" s="835"/>
      <c r="K67" s="3">
        <f>+F67+0.1</f>
        <v>43.1</v>
      </c>
      <c r="L67" s="29" t="s">
        <v>60</v>
      </c>
      <c r="M67" s="1"/>
      <c r="N67" s="359" t="s">
        <v>219</v>
      </c>
      <c r="O67" s="36">
        <f t="shared" si="1"/>
        <v>20</v>
      </c>
      <c r="P67" s="82">
        <v>2</v>
      </c>
      <c r="Q67" s="82">
        <v>2</v>
      </c>
      <c r="R67" s="82">
        <v>2</v>
      </c>
      <c r="S67" s="397">
        <f t="shared" si="6"/>
        <v>6</v>
      </c>
      <c r="T67" s="82">
        <v>1</v>
      </c>
      <c r="U67" s="82">
        <v>2</v>
      </c>
      <c r="V67" s="82">
        <v>2</v>
      </c>
      <c r="W67" s="327">
        <f t="shared" si="2"/>
        <v>5</v>
      </c>
      <c r="X67" s="82"/>
      <c r="Y67" s="82">
        <v>2</v>
      </c>
      <c r="Z67" s="82">
        <v>2</v>
      </c>
      <c r="AA67" s="327">
        <f t="shared" si="3"/>
        <v>4</v>
      </c>
      <c r="AB67" s="82">
        <v>2</v>
      </c>
      <c r="AC67" s="82">
        <v>2</v>
      </c>
      <c r="AD67" s="125">
        <v>1</v>
      </c>
      <c r="AE67" s="327">
        <f t="shared" si="4"/>
        <v>5</v>
      </c>
    </row>
    <row r="68" spans="1:31" ht="43.5" customHeight="1" thickBot="1">
      <c r="A68" s="1"/>
      <c r="B68" s="13"/>
      <c r="C68" s="28">
        <v>3.1</v>
      </c>
      <c r="D68" s="492"/>
      <c r="E68" s="492"/>
      <c r="F68" s="449">
        <v>44</v>
      </c>
      <c r="G68" s="819" t="s">
        <v>61</v>
      </c>
      <c r="H68" s="820"/>
      <c r="I68" s="820"/>
      <c r="J68" s="821"/>
      <c r="K68" s="3">
        <f>+F68+0.1</f>
        <v>44.1</v>
      </c>
      <c r="L68" s="29" t="s">
        <v>62</v>
      </c>
      <c r="M68" s="1"/>
      <c r="N68" s="359" t="s">
        <v>219</v>
      </c>
      <c r="O68" s="36">
        <f t="shared" si="1"/>
        <v>15</v>
      </c>
      <c r="P68" s="82">
        <v>4</v>
      </c>
      <c r="Q68" s="82">
        <v>3</v>
      </c>
      <c r="R68" s="82">
        <v>3</v>
      </c>
      <c r="S68" s="397">
        <f t="shared" si="6"/>
        <v>10</v>
      </c>
      <c r="T68" s="82">
        <v>2</v>
      </c>
      <c r="U68" s="82">
        <v>1</v>
      </c>
      <c r="V68" s="82">
        <v>1</v>
      </c>
      <c r="W68" s="327">
        <f t="shared" si="2"/>
        <v>4</v>
      </c>
      <c r="X68" s="82"/>
      <c r="Y68" s="82"/>
      <c r="Z68" s="82"/>
      <c r="AA68" s="327">
        <f t="shared" si="3"/>
        <v>0</v>
      </c>
      <c r="AB68" s="82"/>
      <c r="AC68" s="82">
        <v>1</v>
      </c>
      <c r="AD68" s="125"/>
      <c r="AE68" s="327">
        <f t="shared" si="4"/>
        <v>1</v>
      </c>
    </row>
    <row r="69" spans="1:31" ht="43.5" customHeight="1" thickBot="1">
      <c r="A69" s="1"/>
      <c r="B69" s="13"/>
      <c r="C69" s="28">
        <v>5.1</v>
      </c>
      <c r="D69" s="492"/>
      <c r="E69" s="492"/>
      <c r="F69" s="449"/>
      <c r="G69" s="845" t="s">
        <v>63</v>
      </c>
      <c r="H69" s="846"/>
      <c r="I69" s="846"/>
      <c r="J69" s="847"/>
      <c r="K69" s="3">
        <f>+F70+0.1</f>
        <v>45.1</v>
      </c>
      <c r="L69" s="29" t="s">
        <v>64</v>
      </c>
      <c r="M69" s="1"/>
      <c r="N69" s="359" t="s">
        <v>221</v>
      </c>
      <c r="O69" s="36">
        <f t="shared" si="1"/>
        <v>6</v>
      </c>
      <c r="P69" s="82"/>
      <c r="Q69" s="82">
        <v>1</v>
      </c>
      <c r="R69" s="82">
        <v>1</v>
      </c>
      <c r="S69" s="397">
        <f t="shared" si="6"/>
        <v>2</v>
      </c>
      <c r="T69" s="82">
        <v>1</v>
      </c>
      <c r="U69" s="82"/>
      <c r="V69" s="82">
        <v>1</v>
      </c>
      <c r="W69" s="327">
        <f t="shared" si="2"/>
        <v>2</v>
      </c>
      <c r="X69" s="82"/>
      <c r="Y69" s="82"/>
      <c r="Z69" s="82">
        <v>1</v>
      </c>
      <c r="AA69" s="327">
        <f t="shared" si="3"/>
        <v>1</v>
      </c>
      <c r="AB69" s="82">
        <v>1</v>
      </c>
      <c r="AC69" s="82"/>
      <c r="AD69" s="125"/>
      <c r="AE69" s="327">
        <f t="shared" si="4"/>
        <v>1</v>
      </c>
    </row>
    <row r="70" spans="1:31" ht="43.5" customHeight="1" thickBot="1">
      <c r="A70" s="1"/>
      <c r="B70" s="13"/>
      <c r="C70" s="28">
        <v>5.1</v>
      </c>
      <c r="D70" s="492"/>
      <c r="E70" s="492"/>
      <c r="F70" s="449">
        <v>45</v>
      </c>
      <c r="G70" s="848"/>
      <c r="H70" s="849"/>
      <c r="I70" s="849"/>
      <c r="J70" s="850"/>
      <c r="K70" s="3">
        <f>+K69+0.1</f>
        <v>45.2</v>
      </c>
      <c r="L70" s="29" t="s">
        <v>10</v>
      </c>
      <c r="M70" s="1"/>
      <c r="N70" s="359" t="s">
        <v>218</v>
      </c>
      <c r="O70" s="36">
        <f t="shared" si="1"/>
        <v>1</v>
      </c>
      <c r="P70" s="82"/>
      <c r="Q70" s="82">
        <v>1</v>
      </c>
      <c r="R70" s="82"/>
      <c r="S70" s="397">
        <f t="shared" si="6"/>
        <v>1</v>
      </c>
      <c r="T70" s="82"/>
      <c r="U70" s="82"/>
      <c r="V70" s="82"/>
      <c r="W70" s="327">
        <f t="shared" si="2"/>
        <v>0</v>
      </c>
      <c r="X70" s="82"/>
      <c r="Y70" s="82"/>
      <c r="Z70" s="82"/>
      <c r="AA70" s="327">
        <f t="shared" si="3"/>
        <v>0</v>
      </c>
      <c r="AB70" s="82"/>
      <c r="AC70" s="82"/>
      <c r="AD70" s="125"/>
      <c r="AE70" s="327">
        <f t="shared" si="4"/>
        <v>0</v>
      </c>
    </row>
    <row r="71" spans="1:31" ht="36.75" customHeight="1" thickBot="1">
      <c r="A71" s="1"/>
      <c r="B71" s="13"/>
      <c r="C71" s="28">
        <v>1.1</v>
      </c>
      <c r="D71" s="492"/>
      <c r="E71" s="492"/>
      <c r="F71" s="449">
        <v>46</v>
      </c>
      <c r="G71" s="819" t="s">
        <v>115</v>
      </c>
      <c r="H71" s="820"/>
      <c r="I71" s="820"/>
      <c r="J71" s="821"/>
      <c r="K71" s="3">
        <f>+F71+0.1</f>
        <v>46.1</v>
      </c>
      <c r="L71" s="29" t="s">
        <v>111</v>
      </c>
      <c r="M71" s="1"/>
      <c r="N71" s="359" t="s">
        <v>231</v>
      </c>
      <c r="O71" s="36">
        <f t="shared" si="1"/>
        <v>12</v>
      </c>
      <c r="P71" s="30">
        <v>1</v>
      </c>
      <c r="Q71" s="30">
        <v>1</v>
      </c>
      <c r="R71" s="30">
        <v>1</v>
      </c>
      <c r="S71" s="397">
        <f t="shared" si="6"/>
        <v>3</v>
      </c>
      <c r="T71" s="30">
        <v>1</v>
      </c>
      <c r="U71" s="30">
        <v>1</v>
      </c>
      <c r="V71" s="30">
        <v>1</v>
      </c>
      <c r="W71" s="327">
        <f t="shared" si="2"/>
        <v>3</v>
      </c>
      <c r="X71" s="30">
        <v>1</v>
      </c>
      <c r="Y71" s="30">
        <v>1</v>
      </c>
      <c r="Z71" s="30">
        <v>1</v>
      </c>
      <c r="AA71" s="327">
        <f t="shared" si="3"/>
        <v>3</v>
      </c>
      <c r="AB71" s="30">
        <v>1</v>
      </c>
      <c r="AC71" s="30">
        <v>1</v>
      </c>
      <c r="AD71" s="31">
        <v>1</v>
      </c>
      <c r="AE71" s="327">
        <f t="shared" si="4"/>
        <v>3</v>
      </c>
    </row>
    <row r="72" spans="1:31" ht="30" customHeight="1" thickBot="1">
      <c r="A72" s="1"/>
      <c r="B72" s="13"/>
      <c r="C72" s="28">
        <v>1.1</v>
      </c>
      <c r="D72" s="492"/>
      <c r="E72" s="492"/>
      <c r="F72" s="449">
        <v>47</v>
      </c>
      <c r="G72" s="819" t="s">
        <v>113</v>
      </c>
      <c r="H72" s="820"/>
      <c r="I72" s="820"/>
      <c r="J72" s="821"/>
      <c r="K72" s="3">
        <f>+F72+0.1</f>
        <v>47.1</v>
      </c>
      <c r="L72" s="29" t="s">
        <v>93</v>
      </c>
      <c r="M72" s="1"/>
      <c r="N72" s="359" t="s">
        <v>231</v>
      </c>
      <c r="O72" s="36">
        <f aca="true" t="shared" si="8" ref="O72:O155">+S72+W72+AA72+AE72</f>
        <v>12</v>
      </c>
      <c r="P72" s="30">
        <v>1</v>
      </c>
      <c r="Q72" s="30">
        <v>1</v>
      </c>
      <c r="R72" s="126">
        <v>1</v>
      </c>
      <c r="S72" s="397">
        <f t="shared" si="6"/>
        <v>3</v>
      </c>
      <c r="T72" s="30">
        <v>1</v>
      </c>
      <c r="U72" s="30">
        <v>1</v>
      </c>
      <c r="V72" s="30">
        <v>1</v>
      </c>
      <c r="W72" s="327">
        <f t="shared" si="2"/>
        <v>3</v>
      </c>
      <c r="X72" s="30">
        <v>1</v>
      </c>
      <c r="Y72" s="30">
        <v>1</v>
      </c>
      <c r="Z72" s="30">
        <v>1</v>
      </c>
      <c r="AA72" s="327">
        <f t="shared" si="3"/>
        <v>3</v>
      </c>
      <c r="AB72" s="30">
        <v>1</v>
      </c>
      <c r="AC72" s="30">
        <v>1</v>
      </c>
      <c r="AD72" s="31">
        <v>1</v>
      </c>
      <c r="AE72" s="327">
        <f t="shared" si="4"/>
        <v>3</v>
      </c>
    </row>
    <row r="73" spans="1:31" ht="30" customHeight="1" thickBot="1">
      <c r="A73" s="1"/>
      <c r="B73" s="13"/>
      <c r="C73" s="28">
        <v>1.1</v>
      </c>
      <c r="D73" s="492"/>
      <c r="E73" s="492"/>
      <c r="F73" s="449">
        <v>48</v>
      </c>
      <c r="G73" s="833" t="s">
        <v>114</v>
      </c>
      <c r="H73" s="834"/>
      <c r="I73" s="834"/>
      <c r="J73" s="835"/>
      <c r="K73" s="3">
        <f>+F73+0.1</f>
        <v>48.1</v>
      </c>
      <c r="L73" s="29" t="s">
        <v>95</v>
      </c>
      <c r="M73" s="1"/>
      <c r="N73" s="360" t="s">
        <v>231</v>
      </c>
      <c r="O73" s="36">
        <f t="shared" si="8"/>
        <v>12</v>
      </c>
      <c r="P73" s="32">
        <v>1</v>
      </c>
      <c r="Q73" s="32">
        <v>1</v>
      </c>
      <c r="R73" s="32">
        <v>1</v>
      </c>
      <c r="S73" s="397">
        <f t="shared" si="6"/>
        <v>3</v>
      </c>
      <c r="T73" s="32">
        <v>1</v>
      </c>
      <c r="U73" s="32">
        <v>1</v>
      </c>
      <c r="V73" s="32">
        <v>1</v>
      </c>
      <c r="W73" s="327">
        <f t="shared" si="2"/>
        <v>3</v>
      </c>
      <c r="X73" s="32">
        <v>1</v>
      </c>
      <c r="Y73" s="32">
        <v>1</v>
      </c>
      <c r="Z73" s="32">
        <v>1</v>
      </c>
      <c r="AA73" s="327">
        <f aca="true" t="shared" si="9" ref="AA73:AA156">SUM(X73:Z73)</f>
        <v>3</v>
      </c>
      <c r="AB73" s="32">
        <v>1</v>
      </c>
      <c r="AC73" s="32">
        <v>1</v>
      </c>
      <c r="AD73" s="33">
        <v>1</v>
      </c>
      <c r="AE73" s="327">
        <f aca="true" t="shared" si="10" ref="AE73:AE156">SUM(AB73:AD73)</f>
        <v>3</v>
      </c>
    </row>
    <row r="74" spans="1:31" ht="30" customHeight="1" thickBot="1">
      <c r="A74" s="1"/>
      <c r="B74" s="13"/>
      <c r="C74" s="28">
        <v>3.1</v>
      </c>
      <c r="D74" s="492"/>
      <c r="E74" s="492"/>
      <c r="F74" s="449">
        <v>49</v>
      </c>
      <c r="G74" s="819" t="s">
        <v>96</v>
      </c>
      <c r="H74" s="820"/>
      <c r="I74" s="820"/>
      <c r="J74" s="821"/>
      <c r="K74" s="3">
        <f>+F74+0.1</f>
        <v>49.1</v>
      </c>
      <c r="L74" s="29" t="s">
        <v>97</v>
      </c>
      <c r="M74" s="1"/>
      <c r="N74" s="360" t="s">
        <v>531</v>
      </c>
      <c r="O74" s="36">
        <f t="shared" si="8"/>
        <v>4</v>
      </c>
      <c r="P74" s="32"/>
      <c r="Q74" s="32"/>
      <c r="R74" s="32"/>
      <c r="S74" s="397">
        <f t="shared" si="6"/>
        <v>0</v>
      </c>
      <c r="T74" s="32"/>
      <c r="U74" s="32"/>
      <c r="V74" s="32"/>
      <c r="W74" s="327">
        <f t="shared" si="2"/>
        <v>0</v>
      </c>
      <c r="X74" s="32"/>
      <c r="Y74" s="32"/>
      <c r="Z74" s="32">
        <v>1</v>
      </c>
      <c r="AA74" s="327">
        <f t="shared" si="9"/>
        <v>1</v>
      </c>
      <c r="AB74" s="32">
        <v>1</v>
      </c>
      <c r="AC74" s="32"/>
      <c r="AD74" s="33">
        <v>2</v>
      </c>
      <c r="AE74" s="327">
        <f t="shared" si="10"/>
        <v>3</v>
      </c>
    </row>
    <row r="75" spans="1:31" ht="30.75" customHeight="1" thickBot="1">
      <c r="A75" s="26"/>
      <c r="B75" s="27"/>
      <c r="C75" s="15">
        <v>8</v>
      </c>
      <c r="D75" s="494"/>
      <c r="E75" s="494"/>
      <c r="F75" s="449">
        <v>50</v>
      </c>
      <c r="G75" s="819" t="s">
        <v>11</v>
      </c>
      <c r="H75" s="820"/>
      <c r="I75" s="820"/>
      <c r="J75" s="821"/>
      <c r="K75" s="3">
        <f>+F75+0.1</f>
        <v>50.1</v>
      </c>
      <c r="L75" s="29" t="s">
        <v>502</v>
      </c>
      <c r="M75" s="1"/>
      <c r="N75" s="359" t="s">
        <v>224</v>
      </c>
      <c r="O75" s="36">
        <f t="shared" si="8"/>
        <v>2</v>
      </c>
      <c r="P75" s="30"/>
      <c r="Q75" s="30"/>
      <c r="R75" s="30"/>
      <c r="S75" s="397">
        <f t="shared" si="6"/>
        <v>0</v>
      </c>
      <c r="T75" s="30"/>
      <c r="U75" s="30">
        <v>1</v>
      </c>
      <c r="V75" s="30">
        <v>1</v>
      </c>
      <c r="W75" s="327">
        <f t="shared" si="2"/>
        <v>2</v>
      </c>
      <c r="X75" s="30"/>
      <c r="Y75" s="30"/>
      <c r="Z75" s="30"/>
      <c r="AA75" s="327">
        <f t="shared" si="9"/>
        <v>0</v>
      </c>
      <c r="AB75" s="30"/>
      <c r="AC75" s="30"/>
      <c r="AD75" s="31"/>
      <c r="AE75" s="327">
        <f t="shared" si="10"/>
        <v>0</v>
      </c>
    </row>
    <row r="76" spans="1:31" ht="30.75" customHeight="1" thickBot="1">
      <c r="A76" s="26"/>
      <c r="B76" s="27"/>
      <c r="C76" s="15"/>
      <c r="D76" s="494"/>
      <c r="E76" s="494"/>
      <c r="F76" s="449"/>
      <c r="G76" s="819" t="s">
        <v>19</v>
      </c>
      <c r="H76" s="820"/>
      <c r="I76" s="820"/>
      <c r="J76" s="821"/>
      <c r="K76" s="3"/>
      <c r="L76" s="29" t="s">
        <v>18</v>
      </c>
      <c r="M76" s="1"/>
      <c r="N76" s="465" t="s">
        <v>231</v>
      </c>
      <c r="O76" s="36">
        <f t="shared" si="8"/>
        <v>4</v>
      </c>
      <c r="P76" s="127"/>
      <c r="Q76" s="127"/>
      <c r="R76" s="127">
        <v>1</v>
      </c>
      <c r="S76" s="397">
        <f t="shared" si="6"/>
        <v>1</v>
      </c>
      <c r="T76" s="127"/>
      <c r="U76" s="127"/>
      <c r="V76" s="127">
        <v>1</v>
      </c>
      <c r="W76" s="327">
        <f t="shared" si="2"/>
        <v>1</v>
      </c>
      <c r="X76" s="127"/>
      <c r="Y76" s="127"/>
      <c r="Z76" s="127">
        <v>1</v>
      </c>
      <c r="AA76" s="327">
        <f t="shared" si="9"/>
        <v>1</v>
      </c>
      <c r="AB76" s="127"/>
      <c r="AC76" s="127"/>
      <c r="AD76" s="466">
        <v>1</v>
      </c>
      <c r="AE76" s="327">
        <f t="shared" si="10"/>
        <v>1</v>
      </c>
    </row>
    <row r="77" spans="1:31" s="346" customFormat="1" ht="15.75" customHeight="1" thickBot="1">
      <c r="A77" s="345"/>
      <c r="B77" s="342"/>
      <c r="C77" s="343"/>
      <c r="D77" s="492"/>
      <c r="E77" s="492"/>
      <c r="F77" s="344"/>
      <c r="G77" s="828" t="s">
        <v>116</v>
      </c>
      <c r="H77" s="828"/>
      <c r="I77" s="828"/>
      <c r="J77" s="828"/>
      <c r="K77" s="828"/>
      <c r="L77" s="829"/>
      <c r="N77" s="337"/>
      <c r="O77" s="36">
        <f t="shared" si="8"/>
        <v>2</v>
      </c>
      <c r="P77" s="337">
        <f>+P78</f>
        <v>0</v>
      </c>
      <c r="Q77" s="337">
        <f aca="true" t="shared" si="11" ref="Q77:AD77">+Q78</f>
        <v>1</v>
      </c>
      <c r="R77" s="337">
        <f t="shared" si="11"/>
        <v>0</v>
      </c>
      <c r="S77" s="397">
        <f aca="true" t="shared" si="12" ref="S77:S159">SUM(P77:R77)</f>
        <v>1</v>
      </c>
      <c r="T77" s="337">
        <f t="shared" si="11"/>
        <v>0</v>
      </c>
      <c r="U77" s="337">
        <f t="shared" si="11"/>
        <v>0</v>
      </c>
      <c r="V77" s="337">
        <f t="shared" si="11"/>
        <v>0</v>
      </c>
      <c r="W77" s="327">
        <f t="shared" si="2"/>
        <v>0</v>
      </c>
      <c r="X77" s="337">
        <f t="shared" si="11"/>
        <v>0</v>
      </c>
      <c r="Y77" s="337">
        <f t="shared" si="11"/>
        <v>1</v>
      </c>
      <c r="Z77" s="337">
        <f t="shared" si="11"/>
        <v>0</v>
      </c>
      <c r="AA77" s="327">
        <f t="shared" si="9"/>
        <v>1</v>
      </c>
      <c r="AB77" s="337">
        <f t="shared" si="11"/>
        <v>0</v>
      </c>
      <c r="AC77" s="337">
        <f t="shared" si="11"/>
        <v>0</v>
      </c>
      <c r="AD77" s="337">
        <f t="shared" si="11"/>
        <v>0</v>
      </c>
      <c r="AE77" s="327">
        <f t="shared" si="10"/>
        <v>0</v>
      </c>
    </row>
    <row r="78" spans="1:31" ht="30" customHeight="1" thickBot="1">
      <c r="A78" s="1"/>
      <c r="B78" s="13"/>
      <c r="C78" s="28">
        <v>5.1</v>
      </c>
      <c r="D78" s="492"/>
      <c r="E78" s="492"/>
      <c r="F78" s="200">
        <v>51</v>
      </c>
      <c r="G78" s="819" t="s">
        <v>118</v>
      </c>
      <c r="H78" s="820"/>
      <c r="I78" s="820"/>
      <c r="J78" s="821"/>
      <c r="K78" s="3">
        <f>+F78+0.1</f>
        <v>51.1</v>
      </c>
      <c r="L78" s="29" t="s">
        <v>117</v>
      </c>
      <c r="M78" s="1"/>
      <c r="N78" s="327" t="s">
        <v>218</v>
      </c>
      <c r="O78" s="36">
        <f t="shared" si="8"/>
        <v>2</v>
      </c>
      <c r="P78" s="32"/>
      <c r="Q78" s="32">
        <v>1</v>
      </c>
      <c r="R78" s="32"/>
      <c r="S78" s="397">
        <f t="shared" si="12"/>
        <v>1</v>
      </c>
      <c r="T78" s="32"/>
      <c r="U78" s="32"/>
      <c r="V78" s="32"/>
      <c r="W78" s="327">
        <f t="shared" si="2"/>
        <v>0</v>
      </c>
      <c r="X78" s="32"/>
      <c r="Y78" s="32">
        <v>1</v>
      </c>
      <c r="Z78" s="32"/>
      <c r="AA78" s="327">
        <f t="shared" si="9"/>
        <v>1</v>
      </c>
      <c r="AB78" s="32"/>
      <c r="AC78" s="32"/>
      <c r="AD78" s="33"/>
      <c r="AE78" s="327">
        <f t="shared" si="10"/>
        <v>0</v>
      </c>
    </row>
    <row r="79" spans="1:33" s="228" customFormat="1" ht="15.75" customHeight="1" thickBot="1">
      <c r="A79" s="339"/>
      <c r="B79" s="27"/>
      <c r="C79" s="28"/>
      <c r="D79" s="492"/>
      <c r="E79" s="492"/>
      <c r="F79" s="200"/>
      <c r="G79" s="828" t="s">
        <v>66</v>
      </c>
      <c r="H79" s="828"/>
      <c r="I79" s="828"/>
      <c r="J79" s="828"/>
      <c r="K79" s="828"/>
      <c r="L79" s="829"/>
      <c r="M79" s="334"/>
      <c r="N79" s="337"/>
      <c r="O79" s="36">
        <f t="shared" si="8"/>
        <v>40</v>
      </c>
      <c r="P79" s="337">
        <f>SUM(P80:P92)</f>
        <v>4</v>
      </c>
      <c r="Q79" s="337">
        <f aca="true" t="shared" si="13" ref="Q79:AD79">SUM(Q80:Q92)</f>
        <v>2</v>
      </c>
      <c r="R79" s="337">
        <f t="shared" si="13"/>
        <v>7</v>
      </c>
      <c r="S79" s="397">
        <f t="shared" si="12"/>
        <v>13</v>
      </c>
      <c r="T79" s="337">
        <f t="shared" si="13"/>
        <v>4</v>
      </c>
      <c r="U79" s="337">
        <f t="shared" si="13"/>
        <v>2</v>
      </c>
      <c r="V79" s="337">
        <f t="shared" si="13"/>
        <v>3</v>
      </c>
      <c r="W79" s="327">
        <f t="shared" si="2"/>
        <v>9</v>
      </c>
      <c r="X79" s="337">
        <f t="shared" si="13"/>
        <v>4</v>
      </c>
      <c r="Y79" s="337">
        <f t="shared" si="13"/>
        <v>3</v>
      </c>
      <c r="Z79" s="337">
        <f t="shared" si="13"/>
        <v>3</v>
      </c>
      <c r="AA79" s="327">
        <f t="shared" si="9"/>
        <v>10</v>
      </c>
      <c r="AB79" s="337">
        <f t="shared" si="13"/>
        <v>2</v>
      </c>
      <c r="AC79" s="337">
        <f t="shared" si="13"/>
        <v>1</v>
      </c>
      <c r="AD79" s="337">
        <f t="shared" si="13"/>
        <v>5</v>
      </c>
      <c r="AE79" s="327">
        <f t="shared" si="10"/>
        <v>8</v>
      </c>
      <c r="AF79" s="340"/>
      <c r="AG79" s="340"/>
    </row>
    <row r="80" spans="1:31" ht="58.5" customHeight="1" thickBot="1">
      <c r="A80" s="1"/>
      <c r="B80" s="13"/>
      <c r="C80" s="28">
        <v>1.6</v>
      </c>
      <c r="D80" s="492"/>
      <c r="E80" s="492"/>
      <c r="F80" s="200">
        <v>52</v>
      </c>
      <c r="G80" s="819" t="s">
        <v>68</v>
      </c>
      <c r="H80" s="820"/>
      <c r="I80" s="820"/>
      <c r="J80" s="821"/>
      <c r="K80" s="3">
        <f>+F80+0.1</f>
        <v>52.1</v>
      </c>
      <c r="L80" s="29" t="s">
        <v>67</v>
      </c>
      <c r="M80" s="1"/>
      <c r="N80" s="327" t="s">
        <v>225</v>
      </c>
      <c r="O80" s="36">
        <f t="shared" si="8"/>
        <v>2</v>
      </c>
      <c r="P80" s="32"/>
      <c r="Q80" s="32">
        <v>1</v>
      </c>
      <c r="R80" s="32"/>
      <c r="S80" s="397">
        <f t="shared" si="12"/>
        <v>1</v>
      </c>
      <c r="T80" s="32"/>
      <c r="U80" s="32"/>
      <c r="V80" s="32"/>
      <c r="W80" s="327">
        <f t="shared" si="2"/>
        <v>0</v>
      </c>
      <c r="X80" s="32"/>
      <c r="Y80" s="32"/>
      <c r="Z80" s="32"/>
      <c r="AA80" s="327">
        <f t="shared" si="9"/>
        <v>0</v>
      </c>
      <c r="AB80" s="32"/>
      <c r="AC80" s="32"/>
      <c r="AD80" s="33">
        <v>1</v>
      </c>
      <c r="AE80" s="327">
        <f t="shared" si="10"/>
        <v>1</v>
      </c>
    </row>
    <row r="81" spans="1:31" ht="33.75" customHeight="1" thickBot="1">
      <c r="A81" s="1"/>
      <c r="B81" s="13"/>
      <c r="C81" s="809">
        <v>1.1</v>
      </c>
      <c r="D81" s="492"/>
      <c r="E81" s="492"/>
      <c r="F81" s="200"/>
      <c r="G81" s="810" t="s">
        <v>40</v>
      </c>
      <c r="H81" s="811"/>
      <c r="I81" s="811"/>
      <c r="J81" s="812"/>
      <c r="K81" s="3">
        <f>+F82+0.1</f>
        <v>53.1</v>
      </c>
      <c r="L81" s="29" t="s">
        <v>41</v>
      </c>
      <c r="M81" s="1"/>
      <c r="N81" s="327" t="s">
        <v>42</v>
      </c>
      <c r="O81" s="36">
        <f t="shared" si="8"/>
        <v>3</v>
      </c>
      <c r="P81" s="32">
        <v>1</v>
      </c>
      <c r="Q81" s="32"/>
      <c r="R81" s="32">
        <v>1</v>
      </c>
      <c r="S81" s="397">
        <f t="shared" si="12"/>
        <v>2</v>
      </c>
      <c r="T81" s="32"/>
      <c r="U81" s="32"/>
      <c r="V81" s="32"/>
      <c r="W81" s="327">
        <f t="shared" si="2"/>
        <v>0</v>
      </c>
      <c r="X81" s="32"/>
      <c r="Y81" s="32"/>
      <c r="Z81" s="32"/>
      <c r="AA81" s="327">
        <f t="shared" si="9"/>
        <v>0</v>
      </c>
      <c r="AB81" s="32"/>
      <c r="AC81" s="32"/>
      <c r="AD81" s="33">
        <v>1</v>
      </c>
      <c r="AE81" s="327">
        <f t="shared" si="10"/>
        <v>1</v>
      </c>
    </row>
    <row r="82" spans="1:31" ht="48" customHeight="1" thickBot="1">
      <c r="A82" s="1"/>
      <c r="B82" s="13"/>
      <c r="C82" s="809"/>
      <c r="D82" s="492"/>
      <c r="E82" s="492"/>
      <c r="F82" s="200">
        <v>53</v>
      </c>
      <c r="G82" s="813"/>
      <c r="H82" s="814"/>
      <c r="I82" s="814"/>
      <c r="J82" s="815"/>
      <c r="K82" s="3">
        <f>+K81+0.1</f>
        <v>53.2</v>
      </c>
      <c r="L82" s="29" t="s">
        <v>43</v>
      </c>
      <c r="M82" s="1"/>
      <c r="N82" s="327" t="s">
        <v>231</v>
      </c>
      <c r="O82" s="36">
        <f t="shared" si="8"/>
        <v>3</v>
      </c>
      <c r="P82" s="32">
        <v>1</v>
      </c>
      <c r="Q82" s="32">
        <v>1</v>
      </c>
      <c r="R82" s="32">
        <v>1</v>
      </c>
      <c r="S82" s="397">
        <f t="shared" si="12"/>
        <v>3</v>
      </c>
      <c r="T82" s="32"/>
      <c r="U82" s="32"/>
      <c r="V82" s="32"/>
      <c r="W82" s="327">
        <f t="shared" si="2"/>
        <v>0</v>
      </c>
      <c r="X82" s="32"/>
      <c r="Y82" s="32"/>
      <c r="Z82" s="32"/>
      <c r="AA82" s="327">
        <f t="shared" si="9"/>
        <v>0</v>
      </c>
      <c r="AB82" s="32"/>
      <c r="AC82" s="32"/>
      <c r="AD82" s="33"/>
      <c r="AE82" s="327">
        <f t="shared" si="10"/>
        <v>0</v>
      </c>
    </row>
    <row r="83" spans="1:31" ht="30" customHeight="1" thickBot="1">
      <c r="A83" s="1"/>
      <c r="B83" s="13"/>
      <c r="C83" s="28">
        <v>1.1</v>
      </c>
      <c r="D83" s="492"/>
      <c r="E83" s="492"/>
      <c r="F83" s="200">
        <v>54</v>
      </c>
      <c r="G83" s="819" t="s">
        <v>44</v>
      </c>
      <c r="H83" s="820"/>
      <c r="I83" s="820"/>
      <c r="J83" s="821"/>
      <c r="K83" s="3">
        <f aca="true" t="shared" si="14" ref="K83:K92">+F83+0.1</f>
        <v>54.1</v>
      </c>
      <c r="L83" s="29" t="s">
        <v>45</v>
      </c>
      <c r="M83" s="1"/>
      <c r="N83" s="327" t="s">
        <v>231</v>
      </c>
      <c r="O83" s="36">
        <f t="shared" si="8"/>
        <v>3</v>
      </c>
      <c r="P83" s="32"/>
      <c r="Q83" s="32"/>
      <c r="R83" s="32">
        <v>1</v>
      </c>
      <c r="S83" s="397">
        <f t="shared" si="12"/>
        <v>1</v>
      </c>
      <c r="T83" s="32"/>
      <c r="U83" s="32"/>
      <c r="V83" s="32"/>
      <c r="W83" s="327">
        <f t="shared" si="2"/>
        <v>0</v>
      </c>
      <c r="X83" s="32"/>
      <c r="Y83" s="32">
        <v>1</v>
      </c>
      <c r="Z83" s="32"/>
      <c r="AA83" s="327">
        <f t="shared" si="9"/>
        <v>1</v>
      </c>
      <c r="AB83" s="32"/>
      <c r="AC83" s="32"/>
      <c r="AD83" s="33">
        <v>1</v>
      </c>
      <c r="AE83" s="327">
        <f t="shared" si="10"/>
        <v>1</v>
      </c>
    </row>
    <row r="84" spans="1:31" ht="47.25" customHeight="1" thickBot="1">
      <c r="A84" s="1"/>
      <c r="B84" s="13"/>
      <c r="C84" s="28">
        <v>3</v>
      </c>
      <c r="D84" s="492"/>
      <c r="E84" s="492"/>
      <c r="F84" s="200">
        <v>55</v>
      </c>
      <c r="G84" s="819" t="s">
        <v>47</v>
      </c>
      <c r="H84" s="820"/>
      <c r="I84" s="820"/>
      <c r="J84" s="821"/>
      <c r="K84" s="3">
        <f t="shared" si="14"/>
        <v>55.1</v>
      </c>
      <c r="L84" s="29" t="s">
        <v>46</v>
      </c>
      <c r="M84" s="1"/>
      <c r="N84" s="327" t="s">
        <v>231</v>
      </c>
      <c r="O84" s="36">
        <f t="shared" si="8"/>
        <v>2</v>
      </c>
      <c r="P84" s="32"/>
      <c r="Q84" s="32"/>
      <c r="R84" s="32">
        <v>1</v>
      </c>
      <c r="S84" s="397">
        <f t="shared" si="12"/>
        <v>1</v>
      </c>
      <c r="T84" s="32"/>
      <c r="U84" s="32"/>
      <c r="V84" s="32">
        <v>1</v>
      </c>
      <c r="W84" s="327">
        <f t="shared" si="2"/>
        <v>1</v>
      </c>
      <c r="X84" s="32"/>
      <c r="Y84" s="32"/>
      <c r="Z84" s="32"/>
      <c r="AA84" s="327">
        <f t="shared" si="9"/>
        <v>0</v>
      </c>
      <c r="AB84" s="32"/>
      <c r="AC84" s="32"/>
      <c r="AD84" s="33"/>
      <c r="AE84" s="327">
        <f t="shared" si="10"/>
        <v>0</v>
      </c>
    </row>
    <row r="85" spans="1:31" ht="30" customHeight="1" thickBot="1">
      <c r="A85" s="1"/>
      <c r="B85" s="13"/>
      <c r="C85" s="28">
        <v>3</v>
      </c>
      <c r="D85" s="492"/>
      <c r="E85" s="492"/>
      <c r="F85" s="200">
        <v>57</v>
      </c>
      <c r="G85" s="819" t="s">
        <v>51</v>
      </c>
      <c r="H85" s="820"/>
      <c r="I85" s="820"/>
      <c r="J85" s="821"/>
      <c r="K85" s="3">
        <f t="shared" si="14"/>
        <v>57.1</v>
      </c>
      <c r="L85" s="29" t="s">
        <v>52</v>
      </c>
      <c r="M85" s="1"/>
      <c r="N85" s="328" t="s">
        <v>42</v>
      </c>
      <c r="O85" s="36">
        <f t="shared" si="8"/>
        <v>1</v>
      </c>
      <c r="P85" s="30"/>
      <c r="Q85" s="30"/>
      <c r="R85" s="30"/>
      <c r="S85" s="397">
        <f t="shared" si="12"/>
        <v>0</v>
      </c>
      <c r="T85" s="30"/>
      <c r="U85" s="30"/>
      <c r="V85" s="30"/>
      <c r="W85" s="327">
        <f aca="true" t="shared" si="15" ref="W85:W164">SUM(T85:V85)</f>
        <v>0</v>
      </c>
      <c r="X85" s="30">
        <v>1</v>
      </c>
      <c r="Y85" s="30"/>
      <c r="Z85" s="30"/>
      <c r="AA85" s="327">
        <f t="shared" si="9"/>
        <v>1</v>
      </c>
      <c r="AB85" s="30"/>
      <c r="AC85" s="30"/>
      <c r="AD85" s="31"/>
      <c r="AE85" s="327">
        <f t="shared" si="10"/>
        <v>0</v>
      </c>
    </row>
    <row r="86" spans="1:31" ht="30" customHeight="1" thickBot="1">
      <c r="A86" s="1"/>
      <c r="B86" s="13"/>
      <c r="C86" s="28">
        <v>3</v>
      </c>
      <c r="D86" s="492"/>
      <c r="E86" s="492"/>
      <c r="F86" s="200">
        <v>58</v>
      </c>
      <c r="G86" s="819" t="s">
        <v>53</v>
      </c>
      <c r="H86" s="820"/>
      <c r="I86" s="820"/>
      <c r="J86" s="821"/>
      <c r="K86" s="3">
        <f t="shared" si="14"/>
        <v>58.1</v>
      </c>
      <c r="L86" s="29" t="s">
        <v>54</v>
      </c>
      <c r="M86" s="1"/>
      <c r="N86" s="328" t="s">
        <v>42</v>
      </c>
      <c r="O86" s="36">
        <f t="shared" si="8"/>
        <v>2</v>
      </c>
      <c r="P86" s="30"/>
      <c r="Q86" s="30"/>
      <c r="R86" s="30"/>
      <c r="S86" s="397">
        <f t="shared" si="12"/>
        <v>0</v>
      </c>
      <c r="T86" s="30">
        <v>1</v>
      </c>
      <c r="U86" s="30"/>
      <c r="V86" s="30"/>
      <c r="W86" s="327">
        <f t="shared" si="15"/>
        <v>1</v>
      </c>
      <c r="X86" s="30"/>
      <c r="Y86" s="30"/>
      <c r="Z86" s="30"/>
      <c r="AA86" s="327">
        <f t="shared" si="9"/>
        <v>0</v>
      </c>
      <c r="AB86" s="30"/>
      <c r="AC86" s="30">
        <v>1</v>
      </c>
      <c r="AD86" s="31"/>
      <c r="AE86" s="327">
        <f t="shared" si="10"/>
        <v>1</v>
      </c>
    </row>
    <row r="87" spans="1:31" ht="55.5" customHeight="1" thickBot="1">
      <c r="A87" s="1"/>
      <c r="B87" s="13"/>
      <c r="C87" s="28">
        <v>3</v>
      </c>
      <c r="D87" s="492"/>
      <c r="E87" s="492"/>
      <c r="F87" s="200">
        <v>56</v>
      </c>
      <c r="G87" s="819" t="s">
        <v>50</v>
      </c>
      <c r="H87" s="820"/>
      <c r="I87" s="820"/>
      <c r="J87" s="821"/>
      <c r="K87" s="3">
        <f>+F87+0.1</f>
        <v>56.1</v>
      </c>
      <c r="L87" s="29" t="s">
        <v>48</v>
      </c>
      <c r="M87" s="1"/>
      <c r="N87" s="328" t="s">
        <v>49</v>
      </c>
      <c r="O87" s="36">
        <f>+S87+W87+AA87+AE87</f>
        <v>2</v>
      </c>
      <c r="P87" s="30"/>
      <c r="Q87" s="30"/>
      <c r="R87" s="30">
        <v>1</v>
      </c>
      <c r="S87" s="397">
        <f>SUM(P87:R87)</f>
        <v>1</v>
      </c>
      <c r="T87" s="30"/>
      <c r="U87" s="30"/>
      <c r="V87" s="30"/>
      <c r="W87" s="327">
        <f>SUM(T87:V87)</f>
        <v>0</v>
      </c>
      <c r="X87" s="30"/>
      <c r="Y87" s="30"/>
      <c r="Z87" s="30">
        <v>1</v>
      </c>
      <c r="AA87" s="327">
        <f>SUM(X87:Z87)</f>
        <v>1</v>
      </c>
      <c r="AB87" s="30"/>
      <c r="AC87" s="30"/>
      <c r="AD87" s="31"/>
      <c r="AE87" s="327">
        <f>SUM(AB87:AD87)</f>
        <v>0</v>
      </c>
    </row>
    <row r="88" spans="1:31" ht="51" customHeight="1" thickBot="1">
      <c r="A88" s="1"/>
      <c r="B88" s="13"/>
      <c r="C88" s="28">
        <v>1.1</v>
      </c>
      <c r="D88" s="492"/>
      <c r="E88" s="492"/>
      <c r="F88" s="200">
        <v>60</v>
      </c>
      <c r="G88" s="819" t="s">
        <v>681</v>
      </c>
      <c r="H88" s="820"/>
      <c r="I88" s="820"/>
      <c r="J88" s="821"/>
      <c r="K88" s="3">
        <f t="shared" si="14"/>
        <v>60.1</v>
      </c>
      <c r="L88" s="229" t="s">
        <v>680</v>
      </c>
      <c r="M88" s="1"/>
      <c r="N88" s="328" t="s">
        <v>219</v>
      </c>
      <c r="O88" s="36">
        <f t="shared" si="8"/>
        <v>1</v>
      </c>
      <c r="P88" s="30"/>
      <c r="Q88" s="126"/>
      <c r="R88" s="30"/>
      <c r="S88" s="397">
        <f t="shared" si="12"/>
        <v>0</v>
      </c>
      <c r="T88" s="30"/>
      <c r="U88" s="30">
        <v>1</v>
      </c>
      <c r="V88" s="30"/>
      <c r="W88" s="327">
        <f t="shared" si="15"/>
        <v>1</v>
      </c>
      <c r="X88" s="30"/>
      <c r="Y88" s="30"/>
      <c r="Z88" s="30"/>
      <c r="AA88" s="327">
        <f t="shared" si="9"/>
        <v>0</v>
      </c>
      <c r="AB88" s="30"/>
      <c r="AC88" s="30"/>
      <c r="AD88" s="31"/>
      <c r="AE88" s="327">
        <f t="shared" si="10"/>
        <v>0</v>
      </c>
    </row>
    <row r="89" spans="1:31" ht="49.5" customHeight="1" thickBot="1">
      <c r="A89" s="1"/>
      <c r="B89" s="13"/>
      <c r="C89" s="28">
        <v>3.1</v>
      </c>
      <c r="D89" s="492"/>
      <c r="E89" s="492"/>
      <c r="F89" s="200">
        <v>61</v>
      </c>
      <c r="G89" s="819" t="s">
        <v>691</v>
      </c>
      <c r="H89" s="820"/>
      <c r="I89" s="820"/>
      <c r="J89" s="821"/>
      <c r="K89" s="3">
        <f t="shared" si="14"/>
        <v>61.1</v>
      </c>
      <c r="L89" s="29" t="s">
        <v>685</v>
      </c>
      <c r="M89" s="1"/>
      <c r="N89" s="327" t="s">
        <v>219</v>
      </c>
      <c r="O89" s="36">
        <f t="shared" si="8"/>
        <v>11</v>
      </c>
      <c r="P89" s="32">
        <v>2</v>
      </c>
      <c r="Q89" s="32"/>
      <c r="R89" s="32"/>
      <c r="S89" s="397">
        <f t="shared" si="12"/>
        <v>2</v>
      </c>
      <c r="T89" s="32">
        <v>2</v>
      </c>
      <c r="U89" s="32">
        <v>1</v>
      </c>
      <c r="V89" s="32"/>
      <c r="W89" s="327">
        <f t="shared" si="15"/>
        <v>3</v>
      </c>
      <c r="X89" s="32">
        <v>3</v>
      </c>
      <c r="Y89" s="32">
        <v>1</v>
      </c>
      <c r="Z89" s="32"/>
      <c r="AA89" s="327">
        <f t="shared" si="9"/>
        <v>4</v>
      </c>
      <c r="AB89" s="32">
        <v>2</v>
      </c>
      <c r="AC89" s="32"/>
      <c r="AD89" s="33"/>
      <c r="AE89" s="327">
        <f t="shared" si="10"/>
        <v>2</v>
      </c>
    </row>
    <row r="90" spans="1:31" ht="52.5" customHeight="1" thickBot="1">
      <c r="A90" s="1"/>
      <c r="B90" s="13"/>
      <c r="C90" s="28">
        <v>3.1</v>
      </c>
      <c r="D90" s="492"/>
      <c r="E90" s="492"/>
      <c r="F90" s="200">
        <v>62</v>
      </c>
      <c r="G90" s="819" t="s">
        <v>689</v>
      </c>
      <c r="H90" s="820"/>
      <c r="I90" s="820"/>
      <c r="J90" s="821"/>
      <c r="K90" s="3">
        <f t="shared" si="14"/>
        <v>62.1</v>
      </c>
      <c r="L90" s="29" t="s">
        <v>686</v>
      </c>
      <c r="M90" s="1"/>
      <c r="N90" s="327" t="s">
        <v>219</v>
      </c>
      <c r="O90" s="36">
        <f t="shared" si="8"/>
        <v>2</v>
      </c>
      <c r="P90" s="32"/>
      <c r="Q90" s="32"/>
      <c r="R90" s="32"/>
      <c r="S90" s="397">
        <f t="shared" si="12"/>
        <v>0</v>
      </c>
      <c r="T90" s="32">
        <v>1</v>
      </c>
      <c r="U90" s="32"/>
      <c r="V90" s="32"/>
      <c r="W90" s="327">
        <f t="shared" si="15"/>
        <v>1</v>
      </c>
      <c r="X90" s="32"/>
      <c r="Y90" s="32">
        <v>1</v>
      </c>
      <c r="Z90" s="32"/>
      <c r="AA90" s="327">
        <f t="shared" si="9"/>
        <v>1</v>
      </c>
      <c r="AB90" s="32"/>
      <c r="AC90" s="32"/>
      <c r="AD90" s="33"/>
      <c r="AE90" s="327">
        <f t="shared" si="10"/>
        <v>0</v>
      </c>
    </row>
    <row r="91" spans="1:31" ht="26.25" customHeight="1" thickBot="1">
      <c r="A91" s="1"/>
      <c r="B91" s="13"/>
      <c r="C91" s="28">
        <v>3.1</v>
      </c>
      <c r="D91" s="492"/>
      <c r="E91" s="492"/>
      <c r="F91" s="200">
        <v>63</v>
      </c>
      <c r="G91" s="819" t="s">
        <v>690</v>
      </c>
      <c r="H91" s="820"/>
      <c r="I91" s="820"/>
      <c r="J91" s="821"/>
      <c r="K91" s="3">
        <f t="shared" si="14"/>
        <v>63.1</v>
      </c>
      <c r="L91" s="29" t="s">
        <v>544</v>
      </c>
      <c r="M91" s="1"/>
      <c r="N91" s="327" t="s">
        <v>225</v>
      </c>
      <c r="O91" s="36">
        <f t="shared" si="8"/>
        <v>4</v>
      </c>
      <c r="P91" s="32"/>
      <c r="Q91" s="32"/>
      <c r="R91" s="32">
        <v>1</v>
      </c>
      <c r="S91" s="397">
        <f t="shared" si="12"/>
        <v>1</v>
      </c>
      <c r="T91" s="32"/>
      <c r="U91" s="32"/>
      <c r="V91" s="32">
        <v>1</v>
      </c>
      <c r="W91" s="327">
        <f t="shared" si="15"/>
        <v>1</v>
      </c>
      <c r="X91" s="32"/>
      <c r="Y91" s="32"/>
      <c r="Z91" s="32">
        <v>1</v>
      </c>
      <c r="AA91" s="327">
        <f t="shared" si="9"/>
        <v>1</v>
      </c>
      <c r="AB91" s="32"/>
      <c r="AC91" s="32"/>
      <c r="AD91" s="33">
        <v>1</v>
      </c>
      <c r="AE91" s="327">
        <f t="shared" si="10"/>
        <v>1</v>
      </c>
    </row>
    <row r="92" spans="1:31" ht="30" customHeight="1" thickBot="1">
      <c r="A92" s="1"/>
      <c r="B92" s="13"/>
      <c r="C92" s="28"/>
      <c r="D92" s="492"/>
      <c r="E92" s="492"/>
      <c r="F92" s="200">
        <v>64</v>
      </c>
      <c r="G92" s="819" t="s">
        <v>687</v>
      </c>
      <c r="H92" s="820"/>
      <c r="I92" s="820"/>
      <c r="J92" s="821"/>
      <c r="K92" s="3">
        <f t="shared" si="14"/>
        <v>64.1</v>
      </c>
      <c r="L92" s="29" t="s">
        <v>688</v>
      </c>
      <c r="M92" s="1"/>
      <c r="N92" s="327" t="s">
        <v>231</v>
      </c>
      <c r="O92" s="36">
        <f t="shared" si="8"/>
        <v>4</v>
      </c>
      <c r="P92" s="32"/>
      <c r="Q92" s="32"/>
      <c r="R92" s="32">
        <v>1</v>
      </c>
      <c r="S92" s="397">
        <f t="shared" si="12"/>
        <v>1</v>
      </c>
      <c r="T92" s="32"/>
      <c r="U92" s="32"/>
      <c r="V92" s="32">
        <v>1</v>
      </c>
      <c r="W92" s="327">
        <f t="shared" si="15"/>
        <v>1</v>
      </c>
      <c r="X92" s="32"/>
      <c r="Y92" s="32"/>
      <c r="Z92" s="32">
        <v>1</v>
      </c>
      <c r="AA92" s="327">
        <f t="shared" si="9"/>
        <v>1</v>
      </c>
      <c r="AB92" s="32"/>
      <c r="AC92" s="32"/>
      <c r="AD92" s="33">
        <v>1</v>
      </c>
      <c r="AE92" s="327">
        <f t="shared" si="10"/>
        <v>1</v>
      </c>
    </row>
    <row r="93" spans="1:33" s="228" customFormat="1" ht="15.75" customHeight="1" thickBot="1">
      <c r="A93" s="339"/>
      <c r="B93" s="27"/>
      <c r="C93" s="28"/>
      <c r="D93" s="492"/>
      <c r="E93" s="492"/>
      <c r="F93" s="200"/>
      <c r="G93" s="828" t="s">
        <v>564</v>
      </c>
      <c r="H93" s="828"/>
      <c r="I93" s="828"/>
      <c r="J93" s="828"/>
      <c r="K93" s="828"/>
      <c r="L93" s="829"/>
      <c r="M93" s="334"/>
      <c r="N93" s="337"/>
      <c r="O93" s="36">
        <f t="shared" si="8"/>
        <v>140</v>
      </c>
      <c r="P93" s="337">
        <f>SUM(P94:P126)</f>
        <v>7</v>
      </c>
      <c r="Q93" s="337">
        <f>SUM(Q94:Q126)</f>
        <v>14</v>
      </c>
      <c r="R93" s="337">
        <f>SUM(R94:R126)</f>
        <v>11</v>
      </c>
      <c r="S93" s="397">
        <f t="shared" si="12"/>
        <v>32</v>
      </c>
      <c r="T93" s="337">
        <f>SUM(T94:T126)</f>
        <v>15</v>
      </c>
      <c r="U93" s="337">
        <f>SUM(U94:U126)</f>
        <v>10</v>
      </c>
      <c r="V93" s="337">
        <f>SUM(V94:V126)</f>
        <v>17</v>
      </c>
      <c r="W93" s="327">
        <f t="shared" si="15"/>
        <v>42</v>
      </c>
      <c r="X93" s="337">
        <f>SUM(X94:X126)</f>
        <v>3</v>
      </c>
      <c r="Y93" s="337">
        <f>SUM(Y94:Y126)</f>
        <v>10</v>
      </c>
      <c r="Z93" s="337">
        <f>SUM(Z94:Z126)</f>
        <v>13</v>
      </c>
      <c r="AA93" s="327">
        <f t="shared" si="9"/>
        <v>26</v>
      </c>
      <c r="AB93" s="337">
        <f>SUM(AB94:AB126)</f>
        <v>15</v>
      </c>
      <c r="AC93" s="337">
        <f>SUM(AC94:AC126)</f>
        <v>10</v>
      </c>
      <c r="AD93" s="337">
        <f>SUM(AD94:AD126)</f>
        <v>15</v>
      </c>
      <c r="AE93" s="327">
        <f t="shared" si="10"/>
        <v>40</v>
      </c>
      <c r="AF93" s="340"/>
      <c r="AG93" s="340"/>
    </row>
    <row r="94" spans="1:31" ht="39" thickBot="1">
      <c r="A94" s="1"/>
      <c r="B94" s="13"/>
      <c r="C94" s="28">
        <v>5.1</v>
      </c>
      <c r="D94" s="495">
        <v>1</v>
      </c>
      <c r="E94" s="495">
        <v>1</v>
      </c>
      <c r="F94" s="449">
        <v>65</v>
      </c>
      <c r="G94" s="819" t="s">
        <v>461</v>
      </c>
      <c r="H94" s="820"/>
      <c r="I94" s="820"/>
      <c r="J94" s="821"/>
      <c r="K94" s="3">
        <f>+F94+0.1</f>
        <v>65.1</v>
      </c>
      <c r="L94" s="29" t="s">
        <v>458</v>
      </c>
      <c r="M94" s="1"/>
      <c r="N94" s="360" t="s">
        <v>219</v>
      </c>
      <c r="O94" s="36">
        <f t="shared" si="8"/>
        <v>4</v>
      </c>
      <c r="P94" s="32"/>
      <c r="Q94" s="32"/>
      <c r="R94" s="32"/>
      <c r="S94" s="397">
        <f t="shared" si="12"/>
        <v>0</v>
      </c>
      <c r="T94" s="32">
        <v>1</v>
      </c>
      <c r="U94" s="32"/>
      <c r="V94" s="32">
        <v>1</v>
      </c>
      <c r="W94" s="327">
        <f t="shared" si="15"/>
        <v>2</v>
      </c>
      <c r="X94" s="32"/>
      <c r="Y94" s="32"/>
      <c r="Z94" s="32"/>
      <c r="AA94" s="327">
        <f t="shared" si="9"/>
        <v>0</v>
      </c>
      <c r="AB94" s="32"/>
      <c r="AC94" s="32">
        <v>1</v>
      </c>
      <c r="AD94" s="33">
        <v>1</v>
      </c>
      <c r="AE94" s="327">
        <f t="shared" si="10"/>
        <v>2</v>
      </c>
    </row>
    <row r="95" spans="1:31" ht="30" customHeight="1" thickBot="1">
      <c r="A95" s="1"/>
      <c r="B95" s="13"/>
      <c r="C95" s="28">
        <v>5.1</v>
      </c>
      <c r="D95" s="495">
        <v>2</v>
      </c>
      <c r="E95" s="495">
        <v>2</v>
      </c>
      <c r="F95" s="449">
        <v>66</v>
      </c>
      <c r="G95" s="819" t="s">
        <v>454</v>
      </c>
      <c r="H95" s="820"/>
      <c r="I95" s="820"/>
      <c r="J95" s="821"/>
      <c r="K95" s="3">
        <f>+F95+0.1</f>
        <v>66.1</v>
      </c>
      <c r="L95" s="29" t="s">
        <v>455</v>
      </c>
      <c r="M95" s="1"/>
      <c r="N95" s="360" t="s">
        <v>225</v>
      </c>
      <c r="O95" s="36">
        <f t="shared" si="8"/>
        <v>1</v>
      </c>
      <c r="P95" s="32"/>
      <c r="Q95" s="32"/>
      <c r="R95" s="32"/>
      <c r="S95" s="397">
        <f t="shared" si="12"/>
        <v>0</v>
      </c>
      <c r="T95" s="32"/>
      <c r="U95" s="32"/>
      <c r="V95" s="32"/>
      <c r="W95" s="327">
        <f t="shared" si="15"/>
        <v>0</v>
      </c>
      <c r="X95" s="32"/>
      <c r="Y95" s="32"/>
      <c r="Z95" s="32"/>
      <c r="AA95" s="327">
        <f t="shared" si="9"/>
        <v>0</v>
      </c>
      <c r="AB95" s="32"/>
      <c r="AC95" s="32">
        <v>1</v>
      </c>
      <c r="AD95" s="33"/>
      <c r="AE95" s="327">
        <f t="shared" si="10"/>
        <v>1</v>
      </c>
    </row>
    <row r="96" spans="1:31" ht="30" customHeight="1" thickBot="1">
      <c r="A96" s="1"/>
      <c r="B96" s="13"/>
      <c r="C96" s="28">
        <v>5.1</v>
      </c>
      <c r="D96" s="495">
        <v>3</v>
      </c>
      <c r="E96" s="495">
        <v>3</v>
      </c>
      <c r="F96" s="449">
        <v>67</v>
      </c>
      <c r="G96" s="819" t="s">
        <v>459</v>
      </c>
      <c r="H96" s="820"/>
      <c r="I96" s="820"/>
      <c r="J96" s="821"/>
      <c r="K96" s="3">
        <f>+F96+0.1</f>
        <v>67.1</v>
      </c>
      <c r="L96" s="29" t="s">
        <v>460</v>
      </c>
      <c r="M96" s="1"/>
      <c r="N96" s="360" t="s">
        <v>225</v>
      </c>
      <c r="O96" s="36">
        <f t="shared" si="8"/>
        <v>1</v>
      </c>
      <c r="P96" s="32"/>
      <c r="Q96" s="32"/>
      <c r="R96" s="32"/>
      <c r="S96" s="397">
        <f t="shared" si="12"/>
        <v>0</v>
      </c>
      <c r="T96" s="32"/>
      <c r="U96" s="32"/>
      <c r="V96" s="32"/>
      <c r="W96" s="327">
        <f t="shared" si="15"/>
        <v>0</v>
      </c>
      <c r="X96" s="32"/>
      <c r="Y96" s="32"/>
      <c r="Z96" s="32"/>
      <c r="AA96" s="327">
        <f t="shared" si="9"/>
        <v>0</v>
      </c>
      <c r="AB96" s="32"/>
      <c r="AC96" s="32">
        <v>1</v>
      </c>
      <c r="AD96" s="33"/>
      <c r="AE96" s="327">
        <f t="shared" si="10"/>
        <v>1</v>
      </c>
    </row>
    <row r="97" spans="1:31" ht="39" customHeight="1" thickBot="1">
      <c r="A97" s="1"/>
      <c r="B97" s="13"/>
      <c r="C97" s="809">
        <v>1.6</v>
      </c>
      <c r="D97" s="495">
        <v>4</v>
      </c>
      <c r="E97" s="495">
        <v>4</v>
      </c>
      <c r="F97" s="449"/>
      <c r="G97" s="810" t="s">
        <v>462</v>
      </c>
      <c r="H97" s="811"/>
      <c r="I97" s="811"/>
      <c r="J97" s="812"/>
      <c r="K97" s="3">
        <f>+F98+0.1</f>
        <v>68.1</v>
      </c>
      <c r="L97" s="29" t="s">
        <v>464</v>
      </c>
      <c r="M97" s="1"/>
      <c r="N97" s="360" t="s">
        <v>216</v>
      </c>
      <c r="O97" s="36">
        <f t="shared" si="8"/>
        <v>8</v>
      </c>
      <c r="P97" s="32">
        <v>1</v>
      </c>
      <c r="Q97" s="32">
        <v>2</v>
      </c>
      <c r="R97" s="32">
        <v>1</v>
      </c>
      <c r="S97" s="397">
        <f t="shared" si="12"/>
        <v>4</v>
      </c>
      <c r="T97" s="32"/>
      <c r="U97" s="32"/>
      <c r="V97" s="32"/>
      <c r="W97" s="327">
        <f t="shared" si="15"/>
        <v>0</v>
      </c>
      <c r="X97" s="32"/>
      <c r="Y97" s="32">
        <v>1</v>
      </c>
      <c r="Z97" s="32">
        <v>2</v>
      </c>
      <c r="AA97" s="327">
        <f t="shared" si="9"/>
        <v>3</v>
      </c>
      <c r="AB97" s="32">
        <v>1</v>
      </c>
      <c r="AC97" s="32"/>
      <c r="AD97" s="33"/>
      <c r="AE97" s="327">
        <f t="shared" si="10"/>
        <v>1</v>
      </c>
    </row>
    <row r="98" spans="1:31" ht="15" thickBot="1">
      <c r="A98" s="1"/>
      <c r="B98" s="13"/>
      <c r="C98" s="809"/>
      <c r="D98" s="495"/>
      <c r="E98" s="495"/>
      <c r="F98" s="449">
        <v>68</v>
      </c>
      <c r="G98" s="813"/>
      <c r="H98" s="814"/>
      <c r="I98" s="814"/>
      <c r="J98" s="815"/>
      <c r="K98" s="3">
        <f>+K97+0.1</f>
        <v>68.19999999999999</v>
      </c>
      <c r="L98" s="29" t="s">
        <v>463</v>
      </c>
      <c r="M98" s="1"/>
      <c r="N98" s="360" t="s">
        <v>229</v>
      </c>
      <c r="O98" s="36">
        <f t="shared" si="8"/>
        <v>7</v>
      </c>
      <c r="P98" s="232"/>
      <c r="Q98" s="233">
        <v>1</v>
      </c>
      <c r="R98" s="233"/>
      <c r="S98" s="397">
        <f t="shared" si="12"/>
        <v>1</v>
      </c>
      <c r="T98" s="233">
        <v>1</v>
      </c>
      <c r="U98" s="233">
        <v>1</v>
      </c>
      <c r="V98" s="233">
        <v>1</v>
      </c>
      <c r="W98" s="327">
        <f t="shared" si="15"/>
        <v>3</v>
      </c>
      <c r="X98" s="233"/>
      <c r="Y98" s="233"/>
      <c r="Z98" s="233">
        <v>1</v>
      </c>
      <c r="AA98" s="327">
        <f t="shared" si="9"/>
        <v>1</v>
      </c>
      <c r="AB98" s="233">
        <v>1</v>
      </c>
      <c r="AC98" s="233"/>
      <c r="AD98" s="234">
        <v>1</v>
      </c>
      <c r="AE98" s="327">
        <f t="shared" si="10"/>
        <v>2</v>
      </c>
    </row>
    <row r="99" spans="1:31" ht="30" customHeight="1" thickBot="1">
      <c r="A99" s="1"/>
      <c r="B99" s="13"/>
      <c r="C99" s="28">
        <v>1.4</v>
      </c>
      <c r="D99" s="495">
        <v>5</v>
      </c>
      <c r="E99" s="495">
        <v>5</v>
      </c>
      <c r="F99" s="449">
        <v>69</v>
      </c>
      <c r="G99" s="819" t="s">
        <v>465</v>
      </c>
      <c r="H99" s="820"/>
      <c r="I99" s="820"/>
      <c r="J99" s="821"/>
      <c r="K99" s="3">
        <f>+F99+0.1</f>
        <v>69.1</v>
      </c>
      <c r="L99" s="29" t="s">
        <v>466</v>
      </c>
      <c r="M99" s="1"/>
      <c r="N99" s="360" t="s">
        <v>229</v>
      </c>
      <c r="O99" s="36">
        <f t="shared" si="8"/>
        <v>2</v>
      </c>
      <c r="P99" s="32"/>
      <c r="Q99" s="32"/>
      <c r="R99" s="32"/>
      <c r="S99" s="397">
        <f t="shared" si="12"/>
        <v>0</v>
      </c>
      <c r="T99" s="32"/>
      <c r="U99" s="32">
        <v>1</v>
      </c>
      <c r="V99" s="32">
        <v>1</v>
      </c>
      <c r="W99" s="327">
        <f t="shared" si="15"/>
        <v>2</v>
      </c>
      <c r="X99" s="32"/>
      <c r="Y99" s="32"/>
      <c r="Z99" s="32"/>
      <c r="AA99" s="327">
        <f t="shared" si="9"/>
        <v>0</v>
      </c>
      <c r="AB99" s="32"/>
      <c r="AC99" s="32"/>
      <c r="AD99" s="33"/>
      <c r="AE99" s="327">
        <f t="shared" si="10"/>
        <v>0</v>
      </c>
    </row>
    <row r="100" spans="1:31" ht="30" customHeight="1" thickBot="1">
      <c r="A100" s="1"/>
      <c r="B100" s="13"/>
      <c r="C100" s="28">
        <v>1.6</v>
      </c>
      <c r="D100" s="495">
        <v>6</v>
      </c>
      <c r="E100" s="495">
        <v>6</v>
      </c>
      <c r="F100" s="449">
        <v>70</v>
      </c>
      <c r="G100" s="819" t="s">
        <v>467</v>
      </c>
      <c r="H100" s="820"/>
      <c r="I100" s="820"/>
      <c r="J100" s="821"/>
      <c r="K100" s="3">
        <f>+F100+0.1</f>
        <v>70.1</v>
      </c>
      <c r="L100" s="29" t="s">
        <v>468</v>
      </c>
      <c r="M100" s="1"/>
      <c r="N100" s="360" t="s">
        <v>229</v>
      </c>
      <c r="O100" s="36">
        <f t="shared" si="8"/>
        <v>4</v>
      </c>
      <c r="P100" s="32"/>
      <c r="Q100" s="32"/>
      <c r="R100" s="32"/>
      <c r="S100" s="397">
        <f t="shared" si="12"/>
        <v>0</v>
      </c>
      <c r="T100" s="32"/>
      <c r="U100" s="32">
        <v>3</v>
      </c>
      <c r="V100" s="32"/>
      <c r="W100" s="327">
        <f t="shared" si="15"/>
        <v>3</v>
      </c>
      <c r="X100" s="32">
        <v>1</v>
      </c>
      <c r="Y100" s="32"/>
      <c r="Z100" s="32"/>
      <c r="AA100" s="327">
        <f t="shared" si="9"/>
        <v>1</v>
      </c>
      <c r="AB100" s="32"/>
      <c r="AC100" s="32"/>
      <c r="AD100" s="33"/>
      <c r="AE100" s="327">
        <f t="shared" si="10"/>
        <v>0</v>
      </c>
    </row>
    <row r="101" spans="1:31" ht="30.75" customHeight="1" thickBot="1">
      <c r="A101" s="1"/>
      <c r="B101" s="13"/>
      <c r="C101" s="28">
        <v>2.1</v>
      </c>
      <c r="D101" s="495">
        <v>7</v>
      </c>
      <c r="E101" s="495">
        <v>7</v>
      </c>
      <c r="F101" s="449">
        <v>71</v>
      </c>
      <c r="G101" s="819" t="s">
        <v>470</v>
      </c>
      <c r="H101" s="820"/>
      <c r="I101" s="820"/>
      <c r="J101" s="821"/>
      <c r="K101" s="3">
        <f>+F101+0.1</f>
        <v>71.1</v>
      </c>
      <c r="L101" s="29" t="s">
        <v>471</v>
      </c>
      <c r="M101" s="1"/>
      <c r="N101" s="359" t="s">
        <v>472</v>
      </c>
      <c r="O101" s="36">
        <f t="shared" si="8"/>
        <v>5</v>
      </c>
      <c r="P101" s="34"/>
      <c r="Q101" s="30">
        <v>1</v>
      </c>
      <c r="R101" s="30"/>
      <c r="S101" s="397">
        <f t="shared" si="12"/>
        <v>1</v>
      </c>
      <c r="T101" s="30">
        <v>1</v>
      </c>
      <c r="U101" s="30"/>
      <c r="V101" s="30">
        <v>1</v>
      </c>
      <c r="W101" s="327">
        <f t="shared" si="15"/>
        <v>2</v>
      </c>
      <c r="X101" s="30"/>
      <c r="Y101" s="30"/>
      <c r="Z101" s="30"/>
      <c r="AA101" s="327">
        <f t="shared" si="9"/>
        <v>0</v>
      </c>
      <c r="AB101" s="30">
        <v>1</v>
      </c>
      <c r="AC101" s="30"/>
      <c r="AD101" s="31">
        <v>1</v>
      </c>
      <c r="AE101" s="327">
        <f t="shared" si="10"/>
        <v>2</v>
      </c>
    </row>
    <row r="102" spans="1:31" ht="30" customHeight="1" thickBot="1">
      <c r="A102" s="1"/>
      <c r="B102" s="13"/>
      <c r="C102" s="28">
        <v>2.3</v>
      </c>
      <c r="D102" s="496">
        <v>11</v>
      </c>
      <c r="E102" s="496">
        <v>11</v>
      </c>
      <c r="F102" s="449">
        <v>75</v>
      </c>
      <c r="G102" s="819" t="s">
        <v>481</v>
      </c>
      <c r="H102" s="820"/>
      <c r="I102" s="820"/>
      <c r="J102" s="821"/>
      <c r="K102" s="3">
        <f aca="true" t="shared" si="16" ref="K102:K162">+F102+0.1</f>
        <v>75.1</v>
      </c>
      <c r="L102" s="29" t="s">
        <v>482</v>
      </c>
      <c r="M102" s="1"/>
      <c r="N102" s="359" t="s">
        <v>472</v>
      </c>
      <c r="O102" s="36">
        <f t="shared" si="8"/>
        <v>2</v>
      </c>
      <c r="P102" s="30"/>
      <c r="Q102" s="30"/>
      <c r="R102" s="30"/>
      <c r="S102" s="397">
        <f t="shared" si="12"/>
        <v>0</v>
      </c>
      <c r="T102" s="30"/>
      <c r="U102" s="30"/>
      <c r="V102" s="30">
        <v>1</v>
      </c>
      <c r="W102" s="327">
        <f t="shared" si="15"/>
        <v>1</v>
      </c>
      <c r="X102" s="30"/>
      <c r="Y102" s="30"/>
      <c r="Z102" s="30"/>
      <c r="AA102" s="327">
        <f t="shared" si="9"/>
        <v>0</v>
      </c>
      <c r="AB102" s="30"/>
      <c r="AC102" s="30">
        <v>1</v>
      </c>
      <c r="AD102" s="31"/>
      <c r="AE102" s="327">
        <f t="shared" si="10"/>
        <v>1</v>
      </c>
    </row>
    <row r="103" spans="1:31" ht="39" thickBot="1">
      <c r="A103" s="26"/>
      <c r="B103" s="27"/>
      <c r="C103" s="15">
        <v>1.1</v>
      </c>
      <c r="D103" s="491">
        <v>14</v>
      </c>
      <c r="E103" s="491">
        <v>14</v>
      </c>
      <c r="F103" s="449">
        <v>78</v>
      </c>
      <c r="G103" s="819" t="s">
        <v>487</v>
      </c>
      <c r="H103" s="820"/>
      <c r="I103" s="820"/>
      <c r="J103" s="821"/>
      <c r="K103" s="3">
        <f>+F103+0.1</f>
        <v>78.1</v>
      </c>
      <c r="L103" s="29" t="s">
        <v>28</v>
      </c>
      <c r="M103" s="1"/>
      <c r="N103" s="359" t="s">
        <v>231</v>
      </c>
      <c r="O103" s="36">
        <f>+S103+W103+AA103+AE103</f>
        <v>8</v>
      </c>
      <c r="P103" s="30"/>
      <c r="Q103" s="30">
        <v>1</v>
      </c>
      <c r="R103" s="30">
        <v>1</v>
      </c>
      <c r="S103" s="397">
        <f>SUM(P103:R103)</f>
        <v>2</v>
      </c>
      <c r="T103" s="30">
        <v>2</v>
      </c>
      <c r="U103" s="30"/>
      <c r="V103" s="30">
        <v>1</v>
      </c>
      <c r="W103" s="327">
        <f>SUM(T103:V103)</f>
        <v>3</v>
      </c>
      <c r="X103" s="30"/>
      <c r="Y103" s="30"/>
      <c r="Z103" s="30"/>
      <c r="AA103" s="327">
        <f>SUM(X103:Z103)</f>
        <v>0</v>
      </c>
      <c r="AB103" s="30">
        <v>1</v>
      </c>
      <c r="AC103" s="30">
        <v>1</v>
      </c>
      <c r="AD103" s="31">
        <v>1</v>
      </c>
      <c r="AE103" s="327">
        <f>SUM(AB103:AD103)</f>
        <v>3</v>
      </c>
    </row>
    <row r="104" spans="1:31" ht="51" customHeight="1" thickBot="1">
      <c r="A104" s="1"/>
      <c r="B104" s="13"/>
      <c r="C104" s="28">
        <v>1.1</v>
      </c>
      <c r="D104" s="496">
        <v>15</v>
      </c>
      <c r="E104" s="496">
        <v>15</v>
      </c>
      <c r="F104" s="200">
        <v>79</v>
      </c>
      <c r="G104" s="819" t="s">
        <v>488</v>
      </c>
      <c r="H104" s="820"/>
      <c r="I104" s="820"/>
      <c r="J104" s="821"/>
      <c r="K104" s="3">
        <f t="shared" si="16"/>
        <v>79.1</v>
      </c>
      <c r="L104" s="29" t="s">
        <v>489</v>
      </c>
      <c r="M104" s="1"/>
      <c r="N104" s="359" t="s">
        <v>216</v>
      </c>
      <c r="O104" s="36">
        <f t="shared" si="8"/>
        <v>6</v>
      </c>
      <c r="P104" s="232">
        <v>1</v>
      </c>
      <c r="Q104" s="233"/>
      <c r="R104" s="233">
        <v>1</v>
      </c>
      <c r="S104" s="397">
        <f t="shared" si="12"/>
        <v>2</v>
      </c>
      <c r="T104" s="233"/>
      <c r="U104" s="233"/>
      <c r="V104" s="233">
        <v>1</v>
      </c>
      <c r="W104" s="327">
        <f t="shared" si="15"/>
        <v>1</v>
      </c>
      <c r="X104" s="233"/>
      <c r="Y104" s="233">
        <v>1</v>
      </c>
      <c r="Z104" s="233">
        <v>1</v>
      </c>
      <c r="AA104" s="327">
        <f t="shared" si="9"/>
        <v>2</v>
      </c>
      <c r="AB104" s="233"/>
      <c r="AC104" s="233"/>
      <c r="AD104" s="234">
        <v>1</v>
      </c>
      <c r="AE104" s="327">
        <f t="shared" si="10"/>
        <v>1</v>
      </c>
    </row>
    <row r="105" spans="1:31" ht="51" customHeight="1" thickBot="1">
      <c r="A105" s="1"/>
      <c r="B105" s="13"/>
      <c r="C105" s="28">
        <v>1.1</v>
      </c>
      <c r="D105" s="496"/>
      <c r="E105" s="496">
        <v>16</v>
      </c>
      <c r="F105" s="200">
        <v>80</v>
      </c>
      <c r="G105" s="819" t="s">
        <v>30</v>
      </c>
      <c r="H105" s="820"/>
      <c r="I105" s="820"/>
      <c r="J105" s="821"/>
      <c r="K105" s="3">
        <f t="shared" si="16"/>
        <v>80.1</v>
      </c>
      <c r="L105" s="29" t="s">
        <v>32</v>
      </c>
      <c r="M105" s="1"/>
      <c r="N105" s="359" t="s">
        <v>218</v>
      </c>
      <c r="O105" s="36">
        <f t="shared" si="8"/>
        <v>2</v>
      </c>
      <c r="P105" s="232"/>
      <c r="Q105" s="233"/>
      <c r="R105" s="233"/>
      <c r="S105" s="397">
        <f t="shared" si="12"/>
        <v>0</v>
      </c>
      <c r="T105" s="233">
        <v>1</v>
      </c>
      <c r="U105" s="233"/>
      <c r="V105" s="233"/>
      <c r="W105" s="327">
        <f t="shared" si="15"/>
        <v>1</v>
      </c>
      <c r="X105" s="233"/>
      <c r="Y105" s="233"/>
      <c r="Z105" s="233"/>
      <c r="AA105" s="327">
        <f t="shared" si="9"/>
        <v>0</v>
      </c>
      <c r="AB105" s="233">
        <v>1</v>
      </c>
      <c r="AC105" s="233"/>
      <c r="AD105" s="234"/>
      <c r="AE105" s="327">
        <f t="shared" si="10"/>
        <v>1</v>
      </c>
    </row>
    <row r="106" spans="1:31" ht="39.75" customHeight="1" thickBot="1">
      <c r="A106" s="1"/>
      <c r="B106" s="13"/>
      <c r="C106" s="28">
        <v>1.1</v>
      </c>
      <c r="D106" s="496">
        <v>16</v>
      </c>
      <c r="E106" s="496">
        <v>17</v>
      </c>
      <c r="F106" s="200">
        <v>80</v>
      </c>
      <c r="G106" s="819" t="s">
        <v>491</v>
      </c>
      <c r="H106" s="820"/>
      <c r="I106" s="820"/>
      <c r="J106" s="821"/>
      <c r="K106" s="3">
        <f>+F106+0.1</f>
        <v>80.1</v>
      </c>
      <c r="L106" s="29" t="s">
        <v>31</v>
      </c>
      <c r="M106" s="1"/>
      <c r="N106" s="359" t="s">
        <v>231</v>
      </c>
      <c r="O106" s="36">
        <f>+S106+W106+AA106+AE106</f>
        <v>2</v>
      </c>
      <c r="P106" s="30"/>
      <c r="Q106" s="30"/>
      <c r="R106" s="126"/>
      <c r="S106" s="397">
        <f>SUM(P106:R106)</f>
        <v>0</v>
      </c>
      <c r="T106" s="30"/>
      <c r="U106" s="30"/>
      <c r="V106" s="30"/>
      <c r="W106" s="327">
        <f>SUM(T106:V106)</f>
        <v>0</v>
      </c>
      <c r="X106" s="30"/>
      <c r="Y106" s="30"/>
      <c r="Z106" s="30">
        <v>1</v>
      </c>
      <c r="AA106" s="327">
        <f>SUM(X106:Z106)</f>
        <v>1</v>
      </c>
      <c r="AB106" s="30">
        <v>1</v>
      </c>
      <c r="AC106" s="30"/>
      <c r="AD106" s="31"/>
      <c r="AE106" s="327">
        <f>SUM(AB106:AD106)</f>
        <v>1</v>
      </c>
    </row>
    <row r="107" spans="1:31" ht="29.25" customHeight="1" thickBot="1">
      <c r="A107" s="1"/>
      <c r="B107" s="13"/>
      <c r="C107" s="28"/>
      <c r="D107" s="496">
        <v>17</v>
      </c>
      <c r="E107" s="496">
        <v>18</v>
      </c>
      <c r="F107" s="200">
        <v>81</v>
      </c>
      <c r="G107" s="819" t="s">
        <v>492</v>
      </c>
      <c r="H107" s="820"/>
      <c r="I107" s="820"/>
      <c r="J107" s="821"/>
      <c r="K107" s="3">
        <f t="shared" si="16"/>
        <v>81.1</v>
      </c>
      <c r="L107" s="29" t="s">
        <v>493</v>
      </c>
      <c r="M107" s="1"/>
      <c r="N107" s="360" t="s">
        <v>472</v>
      </c>
      <c r="O107" s="36">
        <f t="shared" si="8"/>
        <v>2</v>
      </c>
      <c r="P107" s="32"/>
      <c r="Q107" s="32"/>
      <c r="R107" s="32"/>
      <c r="S107" s="397">
        <f t="shared" si="12"/>
        <v>0</v>
      </c>
      <c r="T107" s="32"/>
      <c r="U107" s="32"/>
      <c r="V107" s="32">
        <v>1</v>
      </c>
      <c r="W107" s="327">
        <f t="shared" si="15"/>
        <v>1</v>
      </c>
      <c r="X107" s="32">
        <v>1</v>
      </c>
      <c r="Y107" s="32"/>
      <c r="Z107" s="32"/>
      <c r="AA107" s="327">
        <f t="shared" si="9"/>
        <v>1</v>
      </c>
      <c r="AB107" s="32"/>
      <c r="AC107" s="32"/>
      <c r="AD107" s="33"/>
      <c r="AE107" s="327">
        <f t="shared" si="10"/>
        <v>0</v>
      </c>
    </row>
    <row r="108" spans="1:31" ht="49.5" customHeight="1" thickBot="1">
      <c r="A108" s="1"/>
      <c r="B108" s="13"/>
      <c r="C108" s="28">
        <v>1.4</v>
      </c>
      <c r="D108" s="496">
        <v>18</v>
      </c>
      <c r="E108" s="496">
        <v>19</v>
      </c>
      <c r="F108" s="200">
        <v>82</v>
      </c>
      <c r="G108" s="819" t="s">
        <v>494</v>
      </c>
      <c r="H108" s="820"/>
      <c r="I108" s="820"/>
      <c r="J108" s="821"/>
      <c r="K108" s="3">
        <f t="shared" si="16"/>
        <v>82.1</v>
      </c>
      <c r="L108" s="29" t="s">
        <v>495</v>
      </c>
      <c r="M108" s="1"/>
      <c r="N108" s="360" t="s">
        <v>472</v>
      </c>
      <c r="O108" s="36">
        <f t="shared" si="8"/>
        <v>2</v>
      </c>
      <c r="P108" s="232"/>
      <c r="Q108" s="233"/>
      <c r="R108" s="237"/>
      <c r="S108" s="397">
        <f t="shared" si="12"/>
        <v>0</v>
      </c>
      <c r="T108" s="233"/>
      <c r="U108" s="233">
        <v>1</v>
      </c>
      <c r="V108" s="233"/>
      <c r="W108" s="327">
        <f t="shared" si="15"/>
        <v>1</v>
      </c>
      <c r="X108" s="233"/>
      <c r="Y108" s="233"/>
      <c r="Z108" s="233"/>
      <c r="AA108" s="327">
        <f t="shared" si="9"/>
        <v>0</v>
      </c>
      <c r="AB108" s="233">
        <v>1</v>
      </c>
      <c r="AC108" s="233"/>
      <c r="AD108" s="234"/>
      <c r="AE108" s="327">
        <f t="shared" si="10"/>
        <v>1</v>
      </c>
    </row>
    <row r="109" spans="1:31" ht="52.5" customHeight="1" thickBot="1">
      <c r="A109" s="1"/>
      <c r="B109" s="13"/>
      <c r="C109" s="28">
        <v>1.5</v>
      </c>
      <c r="D109" s="496">
        <v>19</v>
      </c>
      <c r="E109" s="496">
        <v>20</v>
      </c>
      <c r="F109" s="200">
        <v>83</v>
      </c>
      <c r="G109" s="833" t="s">
        <v>33</v>
      </c>
      <c r="H109" s="834"/>
      <c r="I109" s="834"/>
      <c r="J109" s="835"/>
      <c r="K109" s="3">
        <f t="shared" si="16"/>
        <v>83.1</v>
      </c>
      <c r="L109" s="29" t="s">
        <v>496</v>
      </c>
      <c r="M109" s="1"/>
      <c r="N109" s="360" t="s">
        <v>231</v>
      </c>
      <c r="O109" s="36">
        <f t="shared" si="8"/>
        <v>2</v>
      </c>
      <c r="P109" s="232"/>
      <c r="Q109" s="233"/>
      <c r="R109" s="237">
        <v>1</v>
      </c>
      <c r="S109" s="397">
        <f t="shared" si="12"/>
        <v>1</v>
      </c>
      <c r="T109" s="233"/>
      <c r="U109" s="233"/>
      <c r="V109" s="233"/>
      <c r="W109" s="327">
        <f t="shared" si="15"/>
        <v>0</v>
      </c>
      <c r="X109" s="233"/>
      <c r="Y109" s="233"/>
      <c r="Z109" s="233">
        <v>1</v>
      </c>
      <c r="AA109" s="327">
        <f t="shared" si="9"/>
        <v>1</v>
      </c>
      <c r="AB109" s="233"/>
      <c r="AC109" s="233"/>
      <c r="AD109" s="234"/>
      <c r="AE109" s="327">
        <f t="shared" si="10"/>
        <v>0</v>
      </c>
    </row>
    <row r="110" spans="1:31" ht="29.25" customHeight="1" thickBot="1">
      <c r="A110" s="1"/>
      <c r="B110" s="13"/>
      <c r="C110" s="28">
        <v>1.1</v>
      </c>
      <c r="D110" s="496">
        <v>20</v>
      </c>
      <c r="E110" s="496">
        <v>21</v>
      </c>
      <c r="F110" s="200">
        <v>84</v>
      </c>
      <c r="G110" s="819" t="s">
        <v>34</v>
      </c>
      <c r="H110" s="820"/>
      <c r="I110" s="820"/>
      <c r="J110" s="821"/>
      <c r="K110" s="3">
        <f t="shared" si="16"/>
        <v>84.1</v>
      </c>
      <c r="L110" s="29" t="s">
        <v>364</v>
      </c>
      <c r="M110" s="1"/>
      <c r="N110" s="360" t="s">
        <v>216</v>
      </c>
      <c r="O110" s="36">
        <f t="shared" si="8"/>
        <v>14</v>
      </c>
      <c r="P110" s="232">
        <v>1</v>
      </c>
      <c r="Q110" s="233">
        <v>1</v>
      </c>
      <c r="R110" s="233">
        <v>1</v>
      </c>
      <c r="S110" s="397">
        <f t="shared" si="12"/>
        <v>3</v>
      </c>
      <c r="T110" s="233">
        <v>2</v>
      </c>
      <c r="U110" s="233">
        <v>1</v>
      </c>
      <c r="V110" s="233">
        <v>1</v>
      </c>
      <c r="W110" s="327">
        <f t="shared" si="15"/>
        <v>4</v>
      </c>
      <c r="X110" s="233"/>
      <c r="Y110" s="233">
        <v>2</v>
      </c>
      <c r="Z110" s="233">
        <v>1</v>
      </c>
      <c r="AA110" s="327">
        <f t="shared" si="9"/>
        <v>3</v>
      </c>
      <c r="AB110" s="233">
        <v>2</v>
      </c>
      <c r="AC110" s="233">
        <v>1</v>
      </c>
      <c r="AD110" s="234">
        <v>1</v>
      </c>
      <c r="AE110" s="327">
        <f t="shared" si="10"/>
        <v>4</v>
      </c>
    </row>
    <row r="111" spans="1:31" ht="31.5" customHeight="1" thickBot="1">
      <c r="A111" s="1"/>
      <c r="B111" s="13"/>
      <c r="C111" s="28">
        <v>4.5</v>
      </c>
      <c r="D111" s="496">
        <v>21</v>
      </c>
      <c r="E111" s="496">
        <v>22</v>
      </c>
      <c r="F111" s="200">
        <v>85</v>
      </c>
      <c r="G111" s="819" t="s">
        <v>37</v>
      </c>
      <c r="H111" s="820"/>
      <c r="I111" s="820"/>
      <c r="J111" s="821"/>
      <c r="K111" s="3">
        <f t="shared" si="16"/>
        <v>85.1</v>
      </c>
      <c r="L111" s="29" t="s">
        <v>365</v>
      </c>
      <c r="M111" s="1"/>
      <c r="N111" s="360" t="s">
        <v>221</v>
      </c>
      <c r="O111" s="36">
        <f t="shared" si="8"/>
        <v>12</v>
      </c>
      <c r="P111" s="32"/>
      <c r="Q111" s="32">
        <v>2</v>
      </c>
      <c r="R111" s="32">
        <v>2</v>
      </c>
      <c r="S111" s="397">
        <f t="shared" si="12"/>
        <v>4</v>
      </c>
      <c r="T111" s="32">
        <v>2</v>
      </c>
      <c r="U111" s="32"/>
      <c r="V111" s="32"/>
      <c r="W111" s="327">
        <f t="shared" si="15"/>
        <v>2</v>
      </c>
      <c r="X111" s="32"/>
      <c r="Y111" s="32"/>
      <c r="Z111" s="32">
        <v>2</v>
      </c>
      <c r="AA111" s="327">
        <f t="shared" si="9"/>
        <v>2</v>
      </c>
      <c r="AB111" s="32">
        <v>2</v>
      </c>
      <c r="AC111" s="32">
        <v>2</v>
      </c>
      <c r="AD111" s="33"/>
      <c r="AE111" s="327">
        <f t="shared" si="10"/>
        <v>4</v>
      </c>
    </row>
    <row r="112" spans="1:31" ht="26.25" customHeight="1" thickBot="1">
      <c r="A112" s="1"/>
      <c r="B112" s="13"/>
      <c r="C112" s="28">
        <v>5.2</v>
      </c>
      <c r="D112" s="496">
        <v>22</v>
      </c>
      <c r="E112" s="496">
        <v>23</v>
      </c>
      <c r="F112" s="200">
        <v>86</v>
      </c>
      <c r="G112" s="819" t="s">
        <v>366</v>
      </c>
      <c r="H112" s="820"/>
      <c r="I112" s="820"/>
      <c r="J112" s="821"/>
      <c r="K112" s="3">
        <f t="shared" si="16"/>
        <v>86.1</v>
      </c>
      <c r="L112" s="29" t="s">
        <v>367</v>
      </c>
      <c r="M112" s="1"/>
      <c r="N112" s="360" t="s">
        <v>225</v>
      </c>
      <c r="O112" s="36">
        <f t="shared" si="8"/>
        <v>2</v>
      </c>
      <c r="P112" s="239"/>
      <c r="Q112" s="240"/>
      <c r="R112" s="240"/>
      <c r="S112" s="397">
        <f t="shared" si="12"/>
        <v>0</v>
      </c>
      <c r="T112" s="240"/>
      <c r="U112" s="240"/>
      <c r="V112" s="240">
        <v>1</v>
      </c>
      <c r="W112" s="327">
        <f t="shared" si="15"/>
        <v>1</v>
      </c>
      <c r="X112" s="233"/>
      <c r="Y112" s="240"/>
      <c r="Z112" s="240"/>
      <c r="AA112" s="327">
        <f t="shared" si="9"/>
        <v>0</v>
      </c>
      <c r="AB112" s="240"/>
      <c r="AC112" s="240"/>
      <c r="AD112" s="234">
        <v>1</v>
      </c>
      <c r="AE112" s="327">
        <f t="shared" si="10"/>
        <v>1</v>
      </c>
    </row>
    <row r="113" spans="1:31" ht="52.5" customHeight="1" thickBot="1">
      <c r="A113" s="1"/>
      <c r="B113" s="13"/>
      <c r="C113" s="28">
        <v>1.7</v>
      </c>
      <c r="D113" s="496">
        <v>23</v>
      </c>
      <c r="E113" s="496">
        <v>24</v>
      </c>
      <c r="F113" s="200">
        <v>87</v>
      </c>
      <c r="G113" s="819" t="s">
        <v>368</v>
      </c>
      <c r="H113" s="820"/>
      <c r="I113" s="820"/>
      <c r="J113" s="821"/>
      <c r="K113" s="3">
        <f t="shared" si="16"/>
        <v>87.1</v>
      </c>
      <c r="L113" s="29" t="s">
        <v>369</v>
      </c>
      <c r="M113" s="1"/>
      <c r="N113" s="360" t="s">
        <v>216</v>
      </c>
      <c r="O113" s="36">
        <f t="shared" si="8"/>
        <v>14</v>
      </c>
      <c r="P113" s="232">
        <v>2</v>
      </c>
      <c r="Q113" s="233"/>
      <c r="R113" s="233"/>
      <c r="S113" s="397">
        <f t="shared" si="12"/>
        <v>2</v>
      </c>
      <c r="T113" s="233">
        <v>2</v>
      </c>
      <c r="U113" s="233">
        <v>1</v>
      </c>
      <c r="V113" s="233">
        <v>2</v>
      </c>
      <c r="W113" s="327">
        <f t="shared" si="15"/>
        <v>5</v>
      </c>
      <c r="X113" s="233"/>
      <c r="Y113" s="233">
        <v>2</v>
      </c>
      <c r="Z113" s="233"/>
      <c r="AA113" s="327">
        <f t="shared" si="9"/>
        <v>2</v>
      </c>
      <c r="AB113" s="233">
        <v>2</v>
      </c>
      <c r="AC113" s="233"/>
      <c r="AD113" s="234">
        <v>3</v>
      </c>
      <c r="AE113" s="327">
        <f t="shared" si="10"/>
        <v>5</v>
      </c>
    </row>
    <row r="114" spans="1:31" ht="52.5" customHeight="1" thickBot="1">
      <c r="A114" s="1"/>
      <c r="B114" s="13"/>
      <c r="C114" s="28">
        <v>1.4</v>
      </c>
      <c r="D114" s="496">
        <v>24</v>
      </c>
      <c r="E114" s="496">
        <v>25</v>
      </c>
      <c r="F114" s="200">
        <v>88</v>
      </c>
      <c r="G114" s="819" t="s">
        <v>370</v>
      </c>
      <c r="H114" s="820"/>
      <c r="I114" s="820"/>
      <c r="J114" s="821"/>
      <c r="K114" s="3">
        <f t="shared" si="16"/>
        <v>88.1</v>
      </c>
      <c r="L114" s="29" t="s">
        <v>371</v>
      </c>
      <c r="M114" s="1"/>
      <c r="N114" s="360" t="s">
        <v>218</v>
      </c>
      <c r="O114" s="36">
        <f t="shared" si="8"/>
        <v>8</v>
      </c>
      <c r="P114" s="232">
        <v>1</v>
      </c>
      <c r="Q114" s="233">
        <v>1</v>
      </c>
      <c r="R114" s="233">
        <v>1</v>
      </c>
      <c r="S114" s="397">
        <f t="shared" si="12"/>
        <v>3</v>
      </c>
      <c r="T114" s="233"/>
      <c r="U114" s="233"/>
      <c r="V114" s="233">
        <v>1</v>
      </c>
      <c r="W114" s="327">
        <f t="shared" si="15"/>
        <v>1</v>
      </c>
      <c r="X114" s="233"/>
      <c r="Y114" s="233"/>
      <c r="Z114" s="233">
        <v>1</v>
      </c>
      <c r="AA114" s="327">
        <f t="shared" si="9"/>
        <v>1</v>
      </c>
      <c r="AB114" s="233">
        <v>1</v>
      </c>
      <c r="AC114" s="233"/>
      <c r="AD114" s="234">
        <v>2</v>
      </c>
      <c r="AE114" s="327">
        <f t="shared" si="10"/>
        <v>3</v>
      </c>
    </row>
    <row r="115" spans="1:31" ht="30" customHeight="1" thickBot="1">
      <c r="A115" s="1"/>
      <c r="B115" s="13"/>
      <c r="C115" s="28">
        <v>1.4</v>
      </c>
      <c r="D115" s="496">
        <v>25</v>
      </c>
      <c r="E115" s="496">
        <v>26</v>
      </c>
      <c r="F115" s="200">
        <v>89</v>
      </c>
      <c r="G115" s="819" t="s">
        <v>372</v>
      </c>
      <c r="H115" s="820"/>
      <c r="I115" s="820"/>
      <c r="J115" s="821"/>
      <c r="K115" s="3">
        <f t="shared" si="16"/>
        <v>89.1</v>
      </c>
      <c r="L115" s="29" t="s">
        <v>373</v>
      </c>
      <c r="M115" s="1"/>
      <c r="N115" s="359" t="s">
        <v>231</v>
      </c>
      <c r="O115" s="36">
        <f t="shared" si="8"/>
        <v>5</v>
      </c>
      <c r="P115" s="232"/>
      <c r="Q115" s="233">
        <v>1</v>
      </c>
      <c r="R115" s="233"/>
      <c r="S115" s="397">
        <f t="shared" si="12"/>
        <v>1</v>
      </c>
      <c r="T115" s="233">
        <v>1</v>
      </c>
      <c r="U115" s="233"/>
      <c r="V115" s="233">
        <v>1</v>
      </c>
      <c r="W115" s="327">
        <f t="shared" si="15"/>
        <v>2</v>
      </c>
      <c r="X115" s="233"/>
      <c r="Y115" s="233">
        <v>1</v>
      </c>
      <c r="Z115" s="233"/>
      <c r="AA115" s="327">
        <f t="shared" si="9"/>
        <v>1</v>
      </c>
      <c r="AB115" s="233">
        <v>1</v>
      </c>
      <c r="AC115" s="233"/>
      <c r="AD115" s="234"/>
      <c r="AE115" s="327">
        <f t="shared" si="10"/>
        <v>1</v>
      </c>
    </row>
    <row r="116" spans="1:31" ht="30" customHeight="1" thickBot="1">
      <c r="A116" s="1"/>
      <c r="B116" s="13"/>
      <c r="C116" s="28">
        <v>1.6</v>
      </c>
      <c r="D116" s="496">
        <v>26</v>
      </c>
      <c r="E116" s="496">
        <v>27</v>
      </c>
      <c r="F116" s="200">
        <v>90</v>
      </c>
      <c r="G116" s="819" t="s">
        <v>374</v>
      </c>
      <c r="H116" s="820"/>
      <c r="I116" s="820"/>
      <c r="J116" s="821"/>
      <c r="K116" s="3">
        <f t="shared" si="16"/>
        <v>90.1</v>
      </c>
      <c r="L116" s="29" t="s">
        <v>375</v>
      </c>
      <c r="M116" s="1"/>
      <c r="N116" s="359" t="s">
        <v>218</v>
      </c>
      <c r="O116" s="36">
        <f t="shared" si="8"/>
        <v>2</v>
      </c>
      <c r="P116" s="30"/>
      <c r="Q116" s="30"/>
      <c r="R116" s="126"/>
      <c r="S116" s="397">
        <f t="shared" si="12"/>
        <v>0</v>
      </c>
      <c r="T116" s="30"/>
      <c r="U116" s="30"/>
      <c r="V116" s="30">
        <v>1</v>
      </c>
      <c r="W116" s="327">
        <f t="shared" si="15"/>
        <v>1</v>
      </c>
      <c r="X116" s="30"/>
      <c r="Y116" s="30"/>
      <c r="Z116" s="30"/>
      <c r="AA116" s="327">
        <f t="shared" si="9"/>
        <v>0</v>
      </c>
      <c r="AB116" s="30"/>
      <c r="AC116" s="30">
        <v>1</v>
      </c>
      <c r="AD116" s="31"/>
      <c r="AE116" s="327">
        <f t="shared" si="10"/>
        <v>1</v>
      </c>
    </row>
    <row r="117" spans="1:31" ht="42" customHeight="1" thickBot="1">
      <c r="A117" s="1"/>
      <c r="B117" s="13"/>
      <c r="C117" s="28">
        <v>1.4</v>
      </c>
      <c r="D117" s="496">
        <v>27</v>
      </c>
      <c r="E117" s="496">
        <v>28</v>
      </c>
      <c r="F117" s="200">
        <v>91</v>
      </c>
      <c r="G117" s="819" t="s">
        <v>376</v>
      </c>
      <c r="H117" s="820"/>
      <c r="I117" s="820"/>
      <c r="J117" s="821"/>
      <c r="K117" s="3">
        <f t="shared" si="16"/>
        <v>91.1</v>
      </c>
      <c r="L117" s="29" t="s">
        <v>377</v>
      </c>
      <c r="M117" s="1"/>
      <c r="N117" s="359" t="s">
        <v>220</v>
      </c>
      <c r="O117" s="36">
        <f t="shared" si="8"/>
        <v>6</v>
      </c>
      <c r="P117" s="30"/>
      <c r="Q117" s="30">
        <v>2</v>
      </c>
      <c r="R117" s="30"/>
      <c r="S117" s="397">
        <f t="shared" si="12"/>
        <v>2</v>
      </c>
      <c r="T117" s="30">
        <v>1</v>
      </c>
      <c r="U117" s="30">
        <v>1</v>
      </c>
      <c r="V117" s="30">
        <v>1</v>
      </c>
      <c r="W117" s="327">
        <f t="shared" si="15"/>
        <v>3</v>
      </c>
      <c r="X117" s="30"/>
      <c r="Y117" s="30"/>
      <c r="Z117" s="30"/>
      <c r="AA117" s="327">
        <f t="shared" si="9"/>
        <v>0</v>
      </c>
      <c r="AB117" s="30"/>
      <c r="AC117" s="30">
        <v>1</v>
      </c>
      <c r="AD117" s="35"/>
      <c r="AE117" s="327">
        <f t="shared" si="10"/>
        <v>1</v>
      </c>
    </row>
    <row r="118" spans="1:31" ht="42" customHeight="1" thickBot="1">
      <c r="A118" s="1"/>
      <c r="B118" s="13"/>
      <c r="C118" s="28" t="s">
        <v>334</v>
      </c>
      <c r="D118" s="496">
        <v>28</v>
      </c>
      <c r="E118" s="496">
        <v>29</v>
      </c>
      <c r="F118" s="200">
        <v>92</v>
      </c>
      <c r="G118" s="816" t="s">
        <v>378</v>
      </c>
      <c r="H118" s="817"/>
      <c r="I118" s="817"/>
      <c r="J118" s="818"/>
      <c r="K118" s="3">
        <f t="shared" si="16"/>
        <v>92.1</v>
      </c>
      <c r="L118" s="29" t="s">
        <v>379</v>
      </c>
      <c r="M118" s="1"/>
      <c r="N118" s="359" t="s">
        <v>219</v>
      </c>
      <c r="O118" s="36">
        <f t="shared" si="8"/>
        <v>2</v>
      </c>
      <c r="P118" s="30">
        <v>1</v>
      </c>
      <c r="Q118" s="30"/>
      <c r="R118" s="30"/>
      <c r="S118" s="397">
        <f t="shared" si="12"/>
        <v>1</v>
      </c>
      <c r="T118" s="30"/>
      <c r="U118" s="30"/>
      <c r="V118" s="30"/>
      <c r="W118" s="327">
        <f t="shared" si="15"/>
        <v>0</v>
      </c>
      <c r="X118" s="30"/>
      <c r="Y118" s="406">
        <v>1</v>
      </c>
      <c r="Z118" s="30"/>
      <c r="AA118" s="327">
        <f t="shared" si="9"/>
        <v>1</v>
      </c>
      <c r="AB118" s="30"/>
      <c r="AC118" s="30"/>
      <c r="AD118" s="35"/>
      <c r="AE118" s="327">
        <f t="shared" si="10"/>
        <v>0</v>
      </c>
    </row>
    <row r="119" spans="1:31" ht="30" customHeight="1" thickBot="1">
      <c r="A119" s="1"/>
      <c r="B119" s="13"/>
      <c r="C119" s="28">
        <v>6.2</v>
      </c>
      <c r="D119" s="496">
        <v>29</v>
      </c>
      <c r="E119" s="496">
        <v>30</v>
      </c>
      <c r="F119" s="200">
        <v>93</v>
      </c>
      <c r="G119" s="819" t="s">
        <v>380</v>
      </c>
      <c r="H119" s="820"/>
      <c r="I119" s="820"/>
      <c r="J119" s="821"/>
      <c r="K119" s="3">
        <f t="shared" si="16"/>
        <v>93.1</v>
      </c>
      <c r="L119" s="29" t="s">
        <v>381</v>
      </c>
      <c r="M119" s="1"/>
      <c r="N119" s="359" t="s">
        <v>231</v>
      </c>
      <c r="O119" s="36">
        <f t="shared" si="8"/>
        <v>1</v>
      </c>
      <c r="P119" s="30"/>
      <c r="Q119" s="30"/>
      <c r="R119" s="30"/>
      <c r="S119" s="397">
        <f t="shared" si="12"/>
        <v>0</v>
      </c>
      <c r="T119" s="30"/>
      <c r="U119" s="30">
        <v>1</v>
      </c>
      <c r="V119" s="30"/>
      <c r="W119" s="327">
        <f t="shared" si="15"/>
        <v>1</v>
      </c>
      <c r="X119" s="30"/>
      <c r="Y119" s="30"/>
      <c r="Z119" s="30"/>
      <c r="AA119" s="327">
        <f t="shared" si="9"/>
        <v>0</v>
      </c>
      <c r="AB119" s="30"/>
      <c r="AC119" s="30"/>
      <c r="AD119" s="31"/>
      <c r="AE119" s="327">
        <f t="shared" si="10"/>
        <v>0</v>
      </c>
    </row>
    <row r="120" spans="2:31" s="1" customFormat="1" ht="30" customHeight="1" thickBot="1">
      <c r="B120" s="13"/>
      <c r="C120" s="505" t="s">
        <v>477</v>
      </c>
      <c r="D120" s="506">
        <v>9</v>
      </c>
      <c r="E120" s="504">
        <v>31</v>
      </c>
      <c r="F120" s="200">
        <v>73</v>
      </c>
      <c r="G120" s="842" t="s">
        <v>26</v>
      </c>
      <c r="H120" s="843"/>
      <c r="I120" s="843"/>
      <c r="J120" s="844"/>
      <c r="K120" s="3">
        <f>+F120+0.1</f>
        <v>73.1</v>
      </c>
      <c r="L120" s="507" t="s">
        <v>27</v>
      </c>
      <c r="N120" s="36" t="s">
        <v>219</v>
      </c>
      <c r="O120" s="36">
        <f>+S120+W120+AA120+AE120</f>
        <v>1</v>
      </c>
      <c r="P120" s="36"/>
      <c r="Q120" s="36"/>
      <c r="R120" s="36"/>
      <c r="S120" s="508">
        <f>SUM(P120:R120)</f>
        <v>0</v>
      </c>
      <c r="T120" s="36"/>
      <c r="U120" s="36"/>
      <c r="V120" s="36"/>
      <c r="W120" s="509">
        <f>SUM(T120:V120)</f>
        <v>0</v>
      </c>
      <c r="X120" s="36"/>
      <c r="Y120" s="36"/>
      <c r="Z120" s="36"/>
      <c r="AA120" s="509">
        <f>SUM(X120:Z120)</f>
        <v>0</v>
      </c>
      <c r="AB120" s="36"/>
      <c r="AC120" s="36"/>
      <c r="AD120" s="514">
        <v>1</v>
      </c>
      <c r="AE120" s="509">
        <f>SUM(AB120:AD120)</f>
        <v>1</v>
      </c>
    </row>
    <row r="121" spans="1:31" ht="30" customHeight="1" thickBot="1">
      <c r="A121" s="1"/>
      <c r="B121" s="13"/>
      <c r="C121" s="28">
        <v>2.1</v>
      </c>
      <c r="D121" s="496">
        <v>31</v>
      </c>
      <c r="E121" s="496">
        <v>32</v>
      </c>
      <c r="F121" s="200">
        <v>95</v>
      </c>
      <c r="G121" s="819" t="s">
        <v>384</v>
      </c>
      <c r="H121" s="820"/>
      <c r="I121" s="820"/>
      <c r="J121" s="821"/>
      <c r="K121" s="3">
        <f t="shared" si="16"/>
        <v>95.1</v>
      </c>
      <c r="L121" s="29" t="s">
        <v>385</v>
      </c>
      <c r="M121" s="1"/>
      <c r="N121" s="359" t="s">
        <v>219</v>
      </c>
      <c r="O121" s="36">
        <f t="shared" si="8"/>
        <v>1</v>
      </c>
      <c r="P121" s="30"/>
      <c r="Q121" s="30"/>
      <c r="R121" s="30"/>
      <c r="S121" s="397">
        <f t="shared" si="12"/>
        <v>0</v>
      </c>
      <c r="T121" s="30"/>
      <c r="U121" s="30"/>
      <c r="V121" s="30"/>
      <c r="W121" s="327">
        <f t="shared" si="15"/>
        <v>0</v>
      </c>
      <c r="X121" s="30"/>
      <c r="Y121" s="30"/>
      <c r="Z121" s="30"/>
      <c r="AA121" s="327">
        <f t="shared" si="9"/>
        <v>0</v>
      </c>
      <c r="AB121" s="30"/>
      <c r="AC121" s="30"/>
      <c r="AD121" s="31">
        <v>1</v>
      </c>
      <c r="AE121" s="327">
        <f t="shared" si="10"/>
        <v>1</v>
      </c>
    </row>
    <row r="122" spans="1:31" ht="48" customHeight="1" thickBot="1">
      <c r="A122" s="1"/>
      <c r="B122" s="13"/>
      <c r="C122" s="28">
        <v>1.2</v>
      </c>
      <c r="D122" s="496">
        <v>32</v>
      </c>
      <c r="E122" s="496">
        <v>33</v>
      </c>
      <c r="F122" s="200">
        <v>96</v>
      </c>
      <c r="G122" s="819" t="s">
        <v>386</v>
      </c>
      <c r="H122" s="820"/>
      <c r="I122" s="820"/>
      <c r="J122" s="821"/>
      <c r="K122" s="3">
        <f t="shared" si="16"/>
        <v>96.1</v>
      </c>
      <c r="L122" s="29" t="s">
        <v>387</v>
      </c>
      <c r="M122" s="1"/>
      <c r="N122" s="359" t="s">
        <v>472</v>
      </c>
      <c r="O122" s="36">
        <f t="shared" si="8"/>
        <v>2</v>
      </c>
      <c r="P122" s="30"/>
      <c r="Q122" s="30">
        <v>1</v>
      </c>
      <c r="R122" s="30"/>
      <c r="S122" s="397">
        <f t="shared" si="12"/>
        <v>1</v>
      </c>
      <c r="T122" s="30"/>
      <c r="U122" s="30"/>
      <c r="V122" s="30"/>
      <c r="W122" s="327">
        <f t="shared" si="15"/>
        <v>0</v>
      </c>
      <c r="X122" s="30"/>
      <c r="Y122" s="30">
        <v>1</v>
      </c>
      <c r="Z122" s="30"/>
      <c r="AA122" s="327">
        <f t="shared" si="9"/>
        <v>1</v>
      </c>
      <c r="AB122" s="30"/>
      <c r="AC122" s="30"/>
      <c r="AD122" s="31"/>
      <c r="AE122" s="327">
        <f t="shared" si="10"/>
        <v>0</v>
      </c>
    </row>
    <row r="123" spans="2:31" s="404" customFormat="1" ht="30" customHeight="1" thickBot="1">
      <c r="B123" s="445"/>
      <c r="C123" s="400">
        <v>1.6</v>
      </c>
      <c r="D123" s="512">
        <v>8</v>
      </c>
      <c r="E123" s="512"/>
      <c r="F123" s="489" t="s">
        <v>22</v>
      </c>
      <c r="G123" s="816" t="s">
        <v>20</v>
      </c>
      <c r="H123" s="817"/>
      <c r="I123" s="817"/>
      <c r="J123" s="818"/>
      <c r="K123" s="402">
        <f>+F123+0.1</f>
        <v>12997.1</v>
      </c>
      <c r="L123" s="403" t="s">
        <v>21</v>
      </c>
      <c r="N123" s="406" t="s">
        <v>231</v>
      </c>
      <c r="O123" s="406">
        <f>+S123+W123+AA123+AE123</f>
        <v>4</v>
      </c>
      <c r="P123" s="406"/>
      <c r="Q123" s="406"/>
      <c r="R123" s="406">
        <v>1</v>
      </c>
      <c r="S123" s="407">
        <f>SUM(P123:R123)</f>
        <v>1</v>
      </c>
      <c r="T123" s="406"/>
      <c r="U123" s="406"/>
      <c r="V123" s="406">
        <v>1</v>
      </c>
      <c r="W123" s="405">
        <f>SUM(T123:V123)</f>
        <v>1</v>
      </c>
      <c r="X123" s="406"/>
      <c r="Y123" s="406"/>
      <c r="Z123" s="406">
        <v>1</v>
      </c>
      <c r="AA123" s="405">
        <f>SUM(X123:Z123)</f>
        <v>1</v>
      </c>
      <c r="AB123" s="406"/>
      <c r="AC123" s="406"/>
      <c r="AD123" s="411">
        <v>1</v>
      </c>
      <c r="AE123" s="405">
        <f>SUM(AB123:AD123)</f>
        <v>1</v>
      </c>
    </row>
    <row r="124" spans="1:31" ht="30" customHeight="1" thickBot="1">
      <c r="A124" s="1"/>
      <c r="B124" s="13"/>
      <c r="C124" s="28"/>
      <c r="D124" s="496">
        <v>34</v>
      </c>
      <c r="E124" s="496">
        <v>37</v>
      </c>
      <c r="F124" s="200">
        <v>98</v>
      </c>
      <c r="G124" s="816" t="s">
        <v>390</v>
      </c>
      <c r="H124" s="817"/>
      <c r="I124" s="817"/>
      <c r="J124" s="818"/>
      <c r="K124" s="3">
        <f t="shared" si="16"/>
        <v>98.1</v>
      </c>
      <c r="L124" s="29" t="s">
        <v>391</v>
      </c>
      <c r="M124" s="1"/>
      <c r="N124" s="359" t="s">
        <v>225</v>
      </c>
      <c r="O124" s="36">
        <f t="shared" si="8"/>
        <v>3</v>
      </c>
      <c r="P124" s="30"/>
      <c r="Q124" s="30"/>
      <c r="R124" s="406">
        <v>1</v>
      </c>
      <c r="S124" s="397">
        <f t="shared" si="12"/>
        <v>1</v>
      </c>
      <c r="T124" s="30">
        <v>1</v>
      </c>
      <c r="U124" s="30"/>
      <c r="V124" s="30"/>
      <c r="W124" s="327">
        <f t="shared" si="15"/>
        <v>1</v>
      </c>
      <c r="X124" s="30"/>
      <c r="Y124" s="30"/>
      <c r="Z124" s="30">
        <v>1</v>
      </c>
      <c r="AA124" s="327">
        <f t="shared" si="9"/>
        <v>1</v>
      </c>
      <c r="AB124" s="30"/>
      <c r="AC124" s="30"/>
      <c r="AD124" s="31"/>
      <c r="AE124" s="327">
        <f t="shared" si="10"/>
        <v>0</v>
      </c>
    </row>
    <row r="125" spans="1:31" ht="30" customHeight="1" thickBot="1">
      <c r="A125" s="1"/>
      <c r="B125" s="13"/>
      <c r="C125" s="28"/>
      <c r="D125" s="496">
        <v>35</v>
      </c>
      <c r="E125" s="496">
        <v>38</v>
      </c>
      <c r="F125" s="200">
        <v>99</v>
      </c>
      <c r="G125" s="819" t="s">
        <v>5</v>
      </c>
      <c r="H125" s="820"/>
      <c r="I125" s="820"/>
      <c r="J125" s="821"/>
      <c r="K125" s="3">
        <f t="shared" si="16"/>
        <v>99.1</v>
      </c>
      <c r="L125" s="29" t="s">
        <v>393</v>
      </c>
      <c r="M125" s="1"/>
      <c r="N125" s="359" t="s">
        <v>219</v>
      </c>
      <c r="O125" s="36">
        <f t="shared" si="8"/>
        <v>1</v>
      </c>
      <c r="P125" s="30"/>
      <c r="Q125" s="30"/>
      <c r="R125" s="30"/>
      <c r="S125" s="397">
        <f t="shared" si="12"/>
        <v>0</v>
      </c>
      <c r="T125" s="30"/>
      <c r="U125" s="30"/>
      <c r="V125" s="30"/>
      <c r="W125" s="327">
        <f t="shared" si="15"/>
        <v>0</v>
      </c>
      <c r="X125" s="30">
        <v>1</v>
      </c>
      <c r="Y125" s="30"/>
      <c r="Z125" s="30"/>
      <c r="AA125" s="327">
        <f t="shared" si="9"/>
        <v>1</v>
      </c>
      <c r="AB125" s="30"/>
      <c r="AC125" s="30"/>
      <c r="AD125" s="31"/>
      <c r="AE125" s="327">
        <f t="shared" si="10"/>
        <v>0</v>
      </c>
    </row>
    <row r="126" spans="1:31" ht="30" customHeight="1" thickBot="1">
      <c r="A126" s="1"/>
      <c r="B126" s="13"/>
      <c r="C126" s="28">
        <v>3.1</v>
      </c>
      <c r="D126" s="496">
        <v>36</v>
      </c>
      <c r="E126" s="496">
        <v>39</v>
      </c>
      <c r="F126" s="200">
        <v>100</v>
      </c>
      <c r="G126" s="833" t="s">
        <v>394</v>
      </c>
      <c r="H126" s="834"/>
      <c r="I126" s="834"/>
      <c r="J126" s="835"/>
      <c r="K126" s="3">
        <f t="shared" si="16"/>
        <v>100.1</v>
      </c>
      <c r="L126" s="29" t="s">
        <v>395</v>
      </c>
      <c r="M126" s="1"/>
      <c r="N126" s="359" t="s">
        <v>216</v>
      </c>
      <c r="O126" s="36">
        <f t="shared" si="8"/>
        <v>4</v>
      </c>
      <c r="P126" s="30"/>
      <c r="Q126" s="30">
        <v>1</v>
      </c>
      <c r="R126" s="30">
        <v>1</v>
      </c>
      <c r="S126" s="397">
        <f t="shared" si="12"/>
        <v>2</v>
      </c>
      <c r="T126" s="30"/>
      <c r="U126" s="30"/>
      <c r="V126" s="30"/>
      <c r="W126" s="327">
        <f t="shared" si="15"/>
        <v>0</v>
      </c>
      <c r="X126" s="30"/>
      <c r="Y126" s="30">
        <v>1</v>
      </c>
      <c r="Z126" s="30">
        <v>1</v>
      </c>
      <c r="AA126" s="327">
        <f t="shared" si="9"/>
        <v>2</v>
      </c>
      <c r="AB126" s="30"/>
      <c r="AC126" s="30"/>
      <c r="AD126" s="35"/>
      <c r="AE126" s="327">
        <f t="shared" si="10"/>
        <v>0</v>
      </c>
    </row>
    <row r="127" spans="1:31" ht="30" customHeight="1" thickBot="1">
      <c r="A127" s="1"/>
      <c r="B127" s="13"/>
      <c r="C127" s="28"/>
      <c r="D127" s="496"/>
      <c r="E127" s="496">
        <v>40</v>
      </c>
      <c r="F127" s="200"/>
      <c r="G127" s="833" t="s">
        <v>35</v>
      </c>
      <c r="H127" s="834"/>
      <c r="I127" s="834"/>
      <c r="J127" s="835"/>
      <c r="K127" s="3"/>
      <c r="L127" s="29" t="s">
        <v>36</v>
      </c>
      <c r="M127" s="1"/>
      <c r="N127" s="359" t="s">
        <v>217</v>
      </c>
      <c r="O127" s="36">
        <f t="shared" si="8"/>
        <v>1</v>
      </c>
      <c r="P127" s="30"/>
      <c r="Q127" s="30"/>
      <c r="R127" s="30"/>
      <c r="S127" s="397">
        <f t="shared" si="12"/>
        <v>0</v>
      </c>
      <c r="T127" s="30"/>
      <c r="U127" s="30"/>
      <c r="V127" s="30"/>
      <c r="W127" s="327">
        <f t="shared" si="15"/>
        <v>0</v>
      </c>
      <c r="X127" s="30"/>
      <c r="Y127" s="30"/>
      <c r="Z127" s="30"/>
      <c r="AA127" s="327">
        <f t="shared" si="9"/>
        <v>0</v>
      </c>
      <c r="AB127" s="30"/>
      <c r="AC127" s="30"/>
      <c r="AD127" s="31">
        <v>1</v>
      </c>
      <c r="AE127" s="327">
        <f t="shared" si="10"/>
        <v>1</v>
      </c>
    </row>
    <row r="128" spans="1:31" ht="30" customHeight="1" thickBot="1">
      <c r="A128" s="1"/>
      <c r="B128" s="13"/>
      <c r="C128" s="28"/>
      <c r="D128" s="496"/>
      <c r="E128" s="496"/>
      <c r="F128" s="200"/>
      <c r="G128" s="437"/>
      <c r="H128" s="438"/>
      <c r="I128" s="438"/>
      <c r="J128" s="439"/>
      <c r="K128" s="3"/>
      <c r="L128" s="29"/>
      <c r="M128" s="1"/>
      <c r="N128" s="359"/>
      <c r="O128" s="36"/>
      <c r="P128" s="30"/>
      <c r="Q128" s="30"/>
      <c r="R128" s="30"/>
      <c r="S128" s="397"/>
      <c r="T128" s="30"/>
      <c r="U128" s="30"/>
      <c r="V128" s="30"/>
      <c r="W128" s="327"/>
      <c r="X128" s="30"/>
      <c r="Y128" s="30"/>
      <c r="Z128" s="30"/>
      <c r="AA128" s="327"/>
      <c r="AB128" s="30"/>
      <c r="AC128" s="30"/>
      <c r="AD128" s="31"/>
      <c r="AE128" s="327"/>
    </row>
    <row r="129" spans="1:31" ht="30" customHeight="1" thickBot="1">
      <c r="A129" s="1"/>
      <c r="B129" s="13"/>
      <c r="C129" s="28"/>
      <c r="D129" s="496"/>
      <c r="E129" s="496"/>
      <c r="F129" s="200"/>
      <c r="G129" s="437"/>
      <c r="H129" s="438"/>
      <c r="I129" s="438"/>
      <c r="J129" s="439"/>
      <c r="K129" s="3"/>
      <c r="L129" s="29"/>
      <c r="M129" s="1"/>
      <c r="N129" s="359"/>
      <c r="O129" s="36"/>
      <c r="P129" s="30"/>
      <c r="Q129" s="30"/>
      <c r="R129" s="30"/>
      <c r="S129" s="397"/>
      <c r="T129" s="30"/>
      <c r="U129" s="30"/>
      <c r="V129" s="30"/>
      <c r="W129" s="327"/>
      <c r="X129" s="30"/>
      <c r="Y129" s="30"/>
      <c r="Z129" s="30"/>
      <c r="AA129" s="327"/>
      <c r="AB129" s="30"/>
      <c r="AC129" s="30"/>
      <c r="AD129" s="31"/>
      <c r="AE129" s="327"/>
    </row>
    <row r="130" spans="1:31" ht="30" customHeight="1" thickBot="1">
      <c r="A130" s="1"/>
      <c r="B130" s="13"/>
      <c r="C130" s="28"/>
      <c r="D130" s="496"/>
      <c r="E130" s="496"/>
      <c r="F130" s="200"/>
      <c r="G130" s="437"/>
      <c r="H130" s="438"/>
      <c r="I130" s="438"/>
      <c r="J130" s="439"/>
      <c r="K130" s="3"/>
      <c r="L130" s="29"/>
      <c r="M130" s="1"/>
      <c r="N130" s="359"/>
      <c r="O130" s="36"/>
      <c r="P130" s="30"/>
      <c r="Q130" s="30"/>
      <c r="R130" s="30"/>
      <c r="S130" s="397"/>
      <c r="T130" s="30"/>
      <c r="U130" s="30"/>
      <c r="V130" s="30"/>
      <c r="W130" s="327"/>
      <c r="X130" s="30"/>
      <c r="Y130" s="30"/>
      <c r="Z130" s="30"/>
      <c r="AA130" s="327"/>
      <c r="AB130" s="30"/>
      <c r="AC130" s="30"/>
      <c r="AD130" s="31"/>
      <c r="AE130" s="327"/>
    </row>
    <row r="131" spans="1:31" ht="30" customHeight="1" thickBot="1">
      <c r="A131" s="1"/>
      <c r="B131" s="13"/>
      <c r="C131" s="28"/>
      <c r="D131" s="496"/>
      <c r="E131" s="496"/>
      <c r="F131" s="200"/>
      <c r="G131" s="437"/>
      <c r="H131" s="438"/>
      <c r="I131" s="438"/>
      <c r="J131" s="439"/>
      <c r="K131" s="3"/>
      <c r="L131" s="29"/>
      <c r="M131" s="1"/>
      <c r="N131" s="359"/>
      <c r="O131" s="36"/>
      <c r="P131" s="30"/>
      <c r="Q131" s="30"/>
      <c r="R131" s="30"/>
      <c r="S131" s="397"/>
      <c r="T131" s="30"/>
      <c r="U131" s="30"/>
      <c r="V131" s="30"/>
      <c r="W131" s="327"/>
      <c r="X131" s="30"/>
      <c r="Y131" s="30"/>
      <c r="Z131" s="30"/>
      <c r="AA131" s="327"/>
      <c r="AB131" s="30"/>
      <c r="AC131" s="30"/>
      <c r="AD131" s="31"/>
      <c r="AE131" s="327"/>
    </row>
    <row r="132" spans="1:31" ht="41.25" customHeight="1" thickBot="1">
      <c r="A132" s="26"/>
      <c r="B132" s="27"/>
      <c r="C132" s="15">
        <v>1.4</v>
      </c>
      <c r="D132" s="491">
        <v>12</v>
      </c>
      <c r="E132" s="511" t="s">
        <v>29</v>
      </c>
      <c r="F132" s="200">
        <v>76</v>
      </c>
      <c r="G132" s="819" t="s">
        <v>483</v>
      </c>
      <c r="H132" s="820"/>
      <c r="I132" s="820"/>
      <c r="J132" s="821"/>
      <c r="K132" s="3">
        <f aca="true" t="shared" si="17" ref="K132:K137">+F132+0.1</f>
        <v>76.1</v>
      </c>
      <c r="L132" s="29" t="s">
        <v>484</v>
      </c>
      <c r="M132" s="1"/>
      <c r="N132" s="359" t="s">
        <v>227</v>
      </c>
      <c r="O132" s="36">
        <f aca="true" t="shared" si="18" ref="O132:O137">+S132+W132+AA132+AE132</f>
        <v>1</v>
      </c>
      <c r="P132" s="30"/>
      <c r="Q132" s="30"/>
      <c r="R132" s="30"/>
      <c r="S132" s="397">
        <f aca="true" t="shared" si="19" ref="S132:S137">SUM(P132:R132)</f>
        <v>0</v>
      </c>
      <c r="T132" s="30"/>
      <c r="U132" s="30"/>
      <c r="V132" s="30"/>
      <c r="W132" s="327">
        <f aca="true" t="shared" si="20" ref="W132:W137">SUM(T132:V132)</f>
        <v>0</v>
      </c>
      <c r="X132" s="30"/>
      <c r="Y132" s="30">
        <v>1</v>
      </c>
      <c r="Z132" s="30"/>
      <c r="AA132" s="327">
        <f aca="true" t="shared" si="21" ref="AA132:AA137">SUM(X132:Z132)</f>
        <v>1</v>
      </c>
      <c r="AB132" s="30"/>
      <c r="AC132" s="30"/>
      <c r="AD132" s="31"/>
      <c r="AE132" s="327">
        <f aca="true" t="shared" si="22" ref="AE132:AE137">SUM(AB132:AD132)</f>
        <v>0</v>
      </c>
    </row>
    <row r="133" spans="1:31" ht="30" customHeight="1" thickBot="1">
      <c r="A133" s="1"/>
      <c r="B133" s="13"/>
      <c r="C133" s="28" t="s">
        <v>477</v>
      </c>
      <c r="D133" s="495">
        <v>9</v>
      </c>
      <c r="E133" s="503" t="s">
        <v>25</v>
      </c>
      <c r="F133" s="200">
        <v>73</v>
      </c>
      <c r="G133" s="819" t="s">
        <v>475</v>
      </c>
      <c r="H133" s="820"/>
      <c r="I133" s="820"/>
      <c r="J133" s="821"/>
      <c r="K133" s="3">
        <f t="shared" si="17"/>
        <v>73.1</v>
      </c>
      <c r="L133" s="29" t="s">
        <v>476</v>
      </c>
      <c r="M133" s="1"/>
      <c r="N133" s="359" t="s">
        <v>221</v>
      </c>
      <c r="O133" s="36">
        <f t="shared" si="18"/>
        <v>2</v>
      </c>
      <c r="P133" s="30"/>
      <c r="Q133" s="30"/>
      <c r="R133" s="30"/>
      <c r="S133" s="397">
        <f t="shared" si="19"/>
        <v>0</v>
      </c>
      <c r="T133" s="30"/>
      <c r="U133" s="30">
        <v>1</v>
      </c>
      <c r="V133" s="30"/>
      <c r="W133" s="327">
        <f t="shared" si="20"/>
        <v>1</v>
      </c>
      <c r="X133" s="30"/>
      <c r="Y133" s="30"/>
      <c r="Z133" s="30"/>
      <c r="AA133" s="327">
        <f t="shared" si="21"/>
        <v>0</v>
      </c>
      <c r="AB133" s="30"/>
      <c r="AC133" s="30">
        <v>1</v>
      </c>
      <c r="AD133" s="35"/>
      <c r="AE133" s="327">
        <f t="shared" si="22"/>
        <v>1</v>
      </c>
    </row>
    <row r="134" spans="1:31" ht="30" customHeight="1" thickBot="1">
      <c r="A134" s="1"/>
      <c r="B134" s="13"/>
      <c r="C134" s="28" t="s">
        <v>477</v>
      </c>
      <c r="D134" s="496">
        <v>10</v>
      </c>
      <c r="E134" s="503" t="s">
        <v>25</v>
      </c>
      <c r="F134" s="200">
        <v>74</v>
      </c>
      <c r="G134" s="819" t="s">
        <v>479</v>
      </c>
      <c r="H134" s="820"/>
      <c r="I134" s="820"/>
      <c r="J134" s="821"/>
      <c r="K134" s="3">
        <f t="shared" si="17"/>
        <v>74.1</v>
      </c>
      <c r="L134" s="29" t="s">
        <v>480</v>
      </c>
      <c r="M134" s="1"/>
      <c r="N134" s="359" t="s">
        <v>221</v>
      </c>
      <c r="O134" s="36">
        <f t="shared" si="18"/>
        <v>1</v>
      </c>
      <c r="P134" s="30"/>
      <c r="Q134" s="30"/>
      <c r="R134" s="30"/>
      <c r="S134" s="397">
        <f t="shared" si="19"/>
        <v>0</v>
      </c>
      <c r="T134" s="30"/>
      <c r="U134" s="30"/>
      <c r="V134" s="30"/>
      <c r="W134" s="327">
        <f t="shared" si="20"/>
        <v>0</v>
      </c>
      <c r="X134" s="30"/>
      <c r="Y134" s="30"/>
      <c r="Z134" s="30">
        <v>1</v>
      </c>
      <c r="AA134" s="327">
        <f t="shared" si="21"/>
        <v>1</v>
      </c>
      <c r="AB134" s="30"/>
      <c r="AC134" s="30"/>
      <c r="AD134" s="35"/>
      <c r="AE134" s="327">
        <f t="shared" si="22"/>
        <v>0</v>
      </c>
    </row>
    <row r="135" spans="1:31" ht="48.75" customHeight="1" thickBot="1">
      <c r="A135" s="26"/>
      <c r="B135" s="27"/>
      <c r="C135" s="15">
        <v>2.1</v>
      </c>
      <c r="D135" s="491">
        <v>13</v>
      </c>
      <c r="E135" s="503" t="s">
        <v>25</v>
      </c>
      <c r="F135" s="200">
        <v>77</v>
      </c>
      <c r="G135" s="819" t="s">
        <v>485</v>
      </c>
      <c r="H135" s="820"/>
      <c r="I135" s="820"/>
      <c r="J135" s="821"/>
      <c r="K135" s="3">
        <f t="shared" si="17"/>
        <v>77.1</v>
      </c>
      <c r="L135" s="29" t="s">
        <v>486</v>
      </c>
      <c r="M135" s="1"/>
      <c r="N135" s="359" t="s">
        <v>472</v>
      </c>
      <c r="O135" s="36">
        <f t="shared" si="18"/>
        <v>4</v>
      </c>
      <c r="P135" s="232"/>
      <c r="Q135" s="233"/>
      <c r="R135" s="233">
        <v>1</v>
      </c>
      <c r="S135" s="397">
        <f t="shared" si="19"/>
        <v>1</v>
      </c>
      <c r="T135" s="235">
        <v>1</v>
      </c>
      <c r="U135" s="235"/>
      <c r="V135" s="233"/>
      <c r="W135" s="327">
        <f t="shared" si="20"/>
        <v>1</v>
      </c>
      <c r="X135" s="233"/>
      <c r="Y135" s="233"/>
      <c r="Z135" s="235">
        <v>1</v>
      </c>
      <c r="AA135" s="327">
        <f t="shared" si="21"/>
        <v>1</v>
      </c>
      <c r="AB135" s="235"/>
      <c r="AC135" s="233">
        <v>1</v>
      </c>
      <c r="AD135" s="234"/>
      <c r="AE135" s="327">
        <f t="shared" si="22"/>
        <v>1</v>
      </c>
    </row>
    <row r="136" spans="1:31" ht="45" customHeight="1" thickBot="1">
      <c r="A136" s="1"/>
      <c r="B136" s="13"/>
      <c r="C136" s="28">
        <v>5.1</v>
      </c>
      <c r="D136" s="496">
        <v>30</v>
      </c>
      <c r="E136" s="503" t="s">
        <v>25</v>
      </c>
      <c r="F136" s="200">
        <v>94</v>
      </c>
      <c r="G136" s="819" t="s">
        <v>382</v>
      </c>
      <c r="H136" s="820"/>
      <c r="I136" s="820"/>
      <c r="J136" s="821"/>
      <c r="K136" s="3">
        <f t="shared" si="17"/>
        <v>94.1</v>
      </c>
      <c r="L136" s="29" t="s">
        <v>383</v>
      </c>
      <c r="M136" s="1"/>
      <c r="N136" s="359" t="s">
        <v>231</v>
      </c>
      <c r="O136" s="36">
        <f t="shared" si="18"/>
        <v>12</v>
      </c>
      <c r="P136" s="30"/>
      <c r="Q136" s="30">
        <v>1</v>
      </c>
      <c r="R136" s="30">
        <v>1</v>
      </c>
      <c r="S136" s="397">
        <f t="shared" si="19"/>
        <v>2</v>
      </c>
      <c r="T136" s="30">
        <v>1</v>
      </c>
      <c r="U136" s="30">
        <v>1</v>
      </c>
      <c r="V136" s="30">
        <v>2</v>
      </c>
      <c r="W136" s="327">
        <f t="shared" si="20"/>
        <v>4</v>
      </c>
      <c r="X136" s="30"/>
      <c r="Y136" s="30"/>
      <c r="Z136" s="30">
        <v>2</v>
      </c>
      <c r="AA136" s="327">
        <f t="shared" si="21"/>
        <v>2</v>
      </c>
      <c r="AB136" s="30">
        <v>2</v>
      </c>
      <c r="AC136" s="30">
        <v>2</v>
      </c>
      <c r="AD136" s="31"/>
      <c r="AE136" s="327">
        <f t="shared" si="22"/>
        <v>4</v>
      </c>
    </row>
    <row r="137" spans="1:31" ht="48.75" customHeight="1" thickBot="1">
      <c r="A137" s="1"/>
      <c r="B137" s="13"/>
      <c r="C137" s="28">
        <v>1.1</v>
      </c>
      <c r="D137" s="496">
        <v>33</v>
      </c>
      <c r="E137" s="528" t="s">
        <v>22</v>
      </c>
      <c r="F137" s="200">
        <v>97</v>
      </c>
      <c r="G137" s="819" t="s">
        <v>389</v>
      </c>
      <c r="H137" s="820"/>
      <c r="I137" s="820"/>
      <c r="J137" s="821"/>
      <c r="K137" s="3">
        <f t="shared" si="17"/>
        <v>97.1</v>
      </c>
      <c r="L137" s="29" t="s">
        <v>388</v>
      </c>
      <c r="M137" s="1"/>
      <c r="N137" s="359" t="s">
        <v>231</v>
      </c>
      <c r="O137" s="36">
        <f t="shared" si="18"/>
        <v>12</v>
      </c>
      <c r="P137" s="30">
        <v>1</v>
      </c>
      <c r="Q137" s="30">
        <v>1</v>
      </c>
      <c r="R137" s="30">
        <v>1</v>
      </c>
      <c r="S137" s="397">
        <f t="shared" si="19"/>
        <v>3</v>
      </c>
      <c r="T137" s="30">
        <v>1</v>
      </c>
      <c r="U137" s="30">
        <v>1</v>
      </c>
      <c r="V137" s="30">
        <v>1</v>
      </c>
      <c r="W137" s="327">
        <f t="shared" si="20"/>
        <v>3</v>
      </c>
      <c r="X137" s="30">
        <v>1</v>
      </c>
      <c r="Y137" s="30">
        <v>1</v>
      </c>
      <c r="Z137" s="30">
        <v>1</v>
      </c>
      <c r="AA137" s="327">
        <f t="shared" si="21"/>
        <v>3</v>
      </c>
      <c r="AB137" s="30">
        <v>1</v>
      </c>
      <c r="AC137" s="30">
        <v>1</v>
      </c>
      <c r="AD137" s="31">
        <v>1</v>
      </c>
      <c r="AE137" s="327">
        <f t="shared" si="22"/>
        <v>3</v>
      </c>
    </row>
    <row r="138" spans="2:31" s="388" customFormat="1" ht="30" customHeight="1" thickBot="1">
      <c r="B138" s="498"/>
      <c r="C138" s="490"/>
      <c r="D138" s="496"/>
      <c r="E138" s="496"/>
      <c r="F138" s="499"/>
      <c r="G138" s="437"/>
      <c r="H138" s="438"/>
      <c r="I138" s="438"/>
      <c r="J138" s="439"/>
      <c r="K138" s="500"/>
      <c r="L138" s="229"/>
      <c r="N138" s="82"/>
      <c r="O138" s="82"/>
      <c r="P138" s="82"/>
      <c r="Q138" s="82"/>
      <c r="R138" s="82"/>
      <c r="S138" s="501"/>
      <c r="T138" s="82"/>
      <c r="U138" s="82"/>
      <c r="V138" s="82"/>
      <c r="W138" s="121"/>
      <c r="X138" s="82"/>
      <c r="Y138" s="82"/>
      <c r="Z138" s="82"/>
      <c r="AA138" s="121"/>
      <c r="AB138" s="82"/>
      <c r="AC138" s="82"/>
      <c r="AD138" s="502"/>
      <c r="AE138" s="121"/>
    </row>
    <row r="139" spans="2:31" s="388" customFormat="1" ht="30" customHeight="1" thickBot="1">
      <c r="B139" s="498"/>
      <c r="C139" s="490"/>
      <c r="D139" s="496"/>
      <c r="E139" s="496"/>
      <c r="F139" s="499"/>
      <c r="G139" s="437"/>
      <c r="H139" s="438"/>
      <c r="I139" s="438"/>
      <c r="J139" s="439"/>
      <c r="K139" s="500"/>
      <c r="L139" s="229"/>
      <c r="N139" s="82"/>
      <c r="O139" s="82"/>
      <c r="P139" s="82"/>
      <c r="Q139" s="82"/>
      <c r="R139" s="82"/>
      <c r="S139" s="501"/>
      <c r="T139" s="82"/>
      <c r="U139" s="82"/>
      <c r="V139" s="82"/>
      <c r="W139" s="121"/>
      <c r="X139" s="82"/>
      <c r="Y139" s="82"/>
      <c r="Z139" s="82"/>
      <c r="AA139" s="121"/>
      <c r="AB139" s="82"/>
      <c r="AC139" s="82"/>
      <c r="AD139" s="502"/>
      <c r="AE139" s="121"/>
    </row>
    <row r="140" spans="2:31" s="388" customFormat="1" ht="30" customHeight="1" thickBot="1">
      <c r="B140" s="498"/>
      <c r="C140" s="490"/>
      <c r="D140" s="496"/>
      <c r="E140" s="496"/>
      <c r="F140" s="499"/>
      <c r="G140" s="437"/>
      <c r="H140" s="438"/>
      <c r="I140" s="438"/>
      <c r="J140" s="439"/>
      <c r="K140" s="500"/>
      <c r="L140" s="229"/>
      <c r="N140" s="82"/>
      <c r="O140" s="82"/>
      <c r="P140" s="82"/>
      <c r="Q140" s="82"/>
      <c r="R140" s="82"/>
      <c r="S140" s="501"/>
      <c r="T140" s="82"/>
      <c r="U140" s="82"/>
      <c r="V140" s="82"/>
      <c r="W140" s="121"/>
      <c r="X140" s="82"/>
      <c r="Y140" s="82"/>
      <c r="Z140" s="82"/>
      <c r="AA140" s="121"/>
      <c r="AB140" s="82"/>
      <c r="AC140" s="82"/>
      <c r="AD140" s="502"/>
      <c r="AE140" s="121"/>
    </row>
    <row r="141" spans="2:31" s="388" customFormat="1" ht="30" customHeight="1" thickBot="1">
      <c r="B141" s="498"/>
      <c r="C141" s="490"/>
      <c r="D141" s="496"/>
      <c r="E141" s="496"/>
      <c r="F141" s="499"/>
      <c r="G141" s="437"/>
      <c r="H141" s="438"/>
      <c r="I141" s="438"/>
      <c r="J141" s="439"/>
      <c r="K141" s="500"/>
      <c r="L141" s="229"/>
      <c r="N141" s="82"/>
      <c r="O141" s="82"/>
      <c r="P141" s="82"/>
      <c r="Q141" s="82"/>
      <c r="R141" s="82"/>
      <c r="S141" s="501"/>
      <c r="T141" s="82"/>
      <c r="U141" s="82"/>
      <c r="V141" s="82"/>
      <c r="W141" s="121"/>
      <c r="X141" s="82"/>
      <c r="Y141" s="82"/>
      <c r="Z141" s="82"/>
      <c r="AA141" s="121"/>
      <c r="AB141" s="82"/>
      <c r="AC141" s="82"/>
      <c r="AD141" s="502"/>
      <c r="AE141" s="121"/>
    </row>
    <row r="142" spans="2:31" s="388" customFormat="1" ht="30" customHeight="1" thickBot="1">
      <c r="B142" s="498"/>
      <c r="C142" s="490"/>
      <c r="D142" s="496"/>
      <c r="E142" s="496"/>
      <c r="F142" s="499"/>
      <c r="G142" s="437"/>
      <c r="H142" s="438"/>
      <c r="I142" s="438"/>
      <c r="J142" s="439"/>
      <c r="K142" s="500"/>
      <c r="L142" s="229"/>
      <c r="N142" s="82"/>
      <c r="O142" s="82"/>
      <c r="P142" s="82"/>
      <c r="Q142" s="82"/>
      <c r="R142" s="82"/>
      <c r="S142" s="501"/>
      <c r="T142" s="82"/>
      <c r="U142" s="82"/>
      <c r="V142" s="82"/>
      <c r="W142" s="121"/>
      <c r="X142" s="82"/>
      <c r="Y142" s="82"/>
      <c r="Z142" s="82"/>
      <c r="AA142" s="121"/>
      <c r="AB142" s="82"/>
      <c r="AC142" s="82"/>
      <c r="AD142" s="502"/>
      <c r="AE142" s="121"/>
    </row>
    <row r="143" spans="2:31" s="388" customFormat="1" ht="30" customHeight="1" thickBot="1">
      <c r="B143" s="498"/>
      <c r="C143" s="490"/>
      <c r="D143" s="496"/>
      <c r="E143" s="496"/>
      <c r="F143" s="499"/>
      <c r="G143" s="437"/>
      <c r="H143" s="438"/>
      <c r="I143" s="438"/>
      <c r="J143" s="439"/>
      <c r="K143" s="500"/>
      <c r="L143" s="229"/>
      <c r="N143" s="82"/>
      <c r="O143" s="82"/>
      <c r="P143" s="82"/>
      <c r="Q143" s="82"/>
      <c r="R143" s="82"/>
      <c r="S143" s="501"/>
      <c r="T143" s="82"/>
      <c r="U143" s="82"/>
      <c r="V143" s="82"/>
      <c r="W143" s="121"/>
      <c r="X143" s="82"/>
      <c r="Y143" s="82"/>
      <c r="Z143" s="82"/>
      <c r="AA143" s="121"/>
      <c r="AB143" s="82"/>
      <c r="AC143" s="82"/>
      <c r="AD143" s="502"/>
      <c r="AE143" s="121"/>
    </row>
    <row r="144" spans="2:31" s="388" customFormat="1" ht="30" customHeight="1" thickBot="1">
      <c r="B144" s="498"/>
      <c r="C144" s="490"/>
      <c r="D144" s="496"/>
      <c r="E144" s="496"/>
      <c r="F144" s="499"/>
      <c r="G144" s="437"/>
      <c r="H144" s="438"/>
      <c r="I144" s="438"/>
      <c r="J144" s="439"/>
      <c r="K144" s="500"/>
      <c r="L144" s="229"/>
      <c r="N144" s="82"/>
      <c r="O144" s="82"/>
      <c r="P144" s="82"/>
      <c r="Q144" s="82"/>
      <c r="R144" s="82"/>
      <c r="S144" s="501"/>
      <c r="T144" s="82"/>
      <c r="U144" s="82"/>
      <c r="V144" s="82"/>
      <c r="W144" s="121"/>
      <c r="X144" s="82"/>
      <c r="Y144" s="82"/>
      <c r="Z144" s="82"/>
      <c r="AA144" s="121"/>
      <c r="AB144" s="82"/>
      <c r="AC144" s="82"/>
      <c r="AD144" s="502"/>
      <c r="AE144" s="121"/>
    </row>
    <row r="145" spans="2:31" s="388" customFormat="1" ht="30" customHeight="1" thickBot="1">
      <c r="B145" s="498"/>
      <c r="C145" s="490"/>
      <c r="D145" s="496"/>
      <c r="E145" s="496"/>
      <c r="F145" s="499"/>
      <c r="G145" s="437"/>
      <c r="H145" s="438"/>
      <c r="I145" s="438"/>
      <c r="J145" s="439"/>
      <c r="K145" s="500"/>
      <c r="L145" s="229"/>
      <c r="N145" s="82"/>
      <c r="O145" s="82"/>
      <c r="P145" s="82"/>
      <c r="Q145" s="82"/>
      <c r="R145" s="82"/>
      <c r="S145" s="501"/>
      <c r="T145" s="82"/>
      <c r="U145" s="82"/>
      <c r="V145" s="82"/>
      <c r="W145" s="121"/>
      <c r="X145" s="82"/>
      <c r="Y145" s="82"/>
      <c r="Z145" s="82"/>
      <c r="AA145" s="121"/>
      <c r="AB145" s="82"/>
      <c r="AC145" s="82"/>
      <c r="AD145" s="502"/>
      <c r="AE145" s="121"/>
    </row>
    <row r="146" spans="2:31" s="388" customFormat="1" ht="30" customHeight="1" thickBot="1">
      <c r="B146" s="498"/>
      <c r="C146" s="490"/>
      <c r="D146" s="496"/>
      <c r="E146" s="496"/>
      <c r="F146" s="499"/>
      <c r="G146" s="437"/>
      <c r="H146" s="438"/>
      <c r="I146" s="438"/>
      <c r="J146" s="439"/>
      <c r="K146" s="500"/>
      <c r="L146" s="229"/>
      <c r="N146" s="82"/>
      <c r="O146" s="82"/>
      <c r="P146" s="82"/>
      <c r="Q146" s="82"/>
      <c r="R146" s="82"/>
      <c r="S146" s="501"/>
      <c r="T146" s="82"/>
      <c r="U146" s="82"/>
      <c r="V146" s="82"/>
      <c r="W146" s="121"/>
      <c r="X146" s="82"/>
      <c r="Y146" s="82"/>
      <c r="Z146" s="82"/>
      <c r="AA146" s="121"/>
      <c r="AB146" s="82"/>
      <c r="AC146" s="82"/>
      <c r="AD146" s="502"/>
      <c r="AE146" s="121"/>
    </row>
    <row r="147" spans="2:31" s="388" customFormat="1" ht="30" customHeight="1" thickBot="1">
      <c r="B147" s="498"/>
      <c r="C147" s="490"/>
      <c r="D147" s="496"/>
      <c r="E147" s="496"/>
      <c r="F147" s="499"/>
      <c r="G147" s="437"/>
      <c r="H147" s="438"/>
      <c r="I147" s="438"/>
      <c r="J147" s="439"/>
      <c r="K147" s="500"/>
      <c r="L147" s="229"/>
      <c r="N147" s="82"/>
      <c r="O147" s="82"/>
      <c r="P147" s="82"/>
      <c r="Q147" s="82"/>
      <c r="R147" s="82"/>
      <c r="S147" s="501"/>
      <c r="T147" s="82"/>
      <c r="U147" s="82"/>
      <c r="V147" s="82"/>
      <c r="W147" s="121"/>
      <c r="X147" s="82"/>
      <c r="Y147" s="82"/>
      <c r="Z147" s="82"/>
      <c r="AA147" s="121"/>
      <c r="AB147" s="82"/>
      <c r="AC147" s="82"/>
      <c r="AD147" s="502"/>
      <c r="AE147" s="121"/>
    </row>
    <row r="148" spans="2:31" s="388" customFormat="1" ht="30" customHeight="1" thickBot="1">
      <c r="B148" s="498"/>
      <c r="C148" s="490"/>
      <c r="D148" s="496"/>
      <c r="E148" s="496"/>
      <c r="F148" s="499"/>
      <c r="G148" s="437"/>
      <c r="H148" s="438"/>
      <c r="I148" s="438"/>
      <c r="J148" s="439"/>
      <c r="K148" s="500"/>
      <c r="L148" s="229"/>
      <c r="N148" s="82"/>
      <c r="O148" s="82"/>
      <c r="P148" s="82"/>
      <c r="Q148" s="82"/>
      <c r="R148" s="82"/>
      <c r="S148" s="501"/>
      <c r="T148" s="82"/>
      <c r="U148" s="82"/>
      <c r="V148" s="82"/>
      <c r="W148" s="121"/>
      <c r="X148" s="82"/>
      <c r="Y148" s="82"/>
      <c r="Z148" s="82"/>
      <c r="AA148" s="121"/>
      <c r="AB148" s="82"/>
      <c r="AC148" s="82"/>
      <c r="AD148" s="502"/>
      <c r="AE148" s="121"/>
    </row>
    <row r="149" spans="2:31" s="388" customFormat="1" ht="30" customHeight="1" thickBot="1">
      <c r="B149" s="498"/>
      <c r="C149" s="490"/>
      <c r="D149" s="496"/>
      <c r="E149" s="496"/>
      <c r="F149" s="499"/>
      <c r="G149" s="437"/>
      <c r="H149" s="438"/>
      <c r="I149" s="438"/>
      <c r="J149" s="439"/>
      <c r="K149" s="500"/>
      <c r="L149" s="229"/>
      <c r="N149" s="82"/>
      <c r="O149" s="82"/>
      <c r="P149" s="82"/>
      <c r="Q149" s="82"/>
      <c r="R149" s="82"/>
      <c r="S149" s="501"/>
      <c r="T149" s="82"/>
      <c r="U149" s="82"/>
      <c r="V149" s="82"/>
      <c r="W149" s="121"/>
      <c r="X149" s="82"/>
      <c r="Y149" s="82"/>
      <c r="Z149" s="82"/>
      <c r="AA149" s="121"/>
      <c r="AB149" s="82"/>
      <c r="AC149" s="82"/>
      <c r="AD149" s="502"/>
      <c r="AE149" s="121"/>
    </row>
    <row r="150" spans="2:31" s="388" customFormat="1" ht="30" customHeight="1" thickBot="1">
      <c r="B150" s="498"/>
      <c r="C150" s="490"/>
      <c r="D150" s="496"/>
      <c r="E150" s="496"/>
      <c r="F150" s="499"/>
      <c r="G150" s="437"/>
      <c r="H150" s="438"/>
      <c r="I150" s="438"/>
      <c r="J150" s="439"/>
      <c r="K150" s="500"/>
      <c r="L150" s="229"/>
      <c r="N150" s="82"/>
      <c r="O150" s="82"/>
      <c r="P150" s="82"/>
      <c r="Q150" s="82"/>
      <c r="R150" s="82"/>
      <c r="S150" s="501"/>
      <c r="T150" s="82"/>
      <c r="U150" s="82"/>
      <c r="V150" s="82"/>
      <c r="W150" s="121"/>
      <c r="X150" s="82"/>
      <c r="Y150" s="82"/>
      <c r="Z150" s="82"/>
      <c r="AA150" s="121"/>
      <c r="AB150" s="82"/>
      <c r="AC150" s="82"/>
      <c r="AD150" s="502"/>
      <c r="AE150" s="121"/>
    </row>
    <row r="151" spans="2:31" s="346" customFormat="1" ht="30" customHeight="1" thickBot="1">
      <c r="B151" s="349"/>
      <c r="C151" s="343"/>
      <c r="D151" s="496"/>
      <c r="E151" s="496"/>
      <c r="F151" s="344"/>
      <c r="G151" s="348" t="s">
        <v>603</v>
      </c>
      <c r="H151" s="350"/>
      <c r="I151" s="350"/>
      <c r="J151" s="351"/>
      <c r="K151" s="347"/>
      <c r="L151" s="352"/>
      <c r="N151" s="338"/>
      <c r="O151" s="36">
        <f t="shared" si="8"/>
        <v>4</v>
      </c>
      <c r="P151" s="338">
        <f>+P152</f>
        <v>0</v>
      </c>
      <c r="Q151" s="338">
        <f aca="true" t="shared" si="23" ref="Q151:AD151">+Q152</f>
        <v>0</v>
      </c>
      <c r="R151" s="338">
        <f t="shared" si="23"/>
        <v>1</v>
      </c>
      <c r="S151" s="397">
        <f t="shared" si="12"/>
        <v>1</v>
      </c>
      <c r="T151" s="338">
        <f t="shared" si="23"/>
        <v>0</v>
      </c>
      <c r="U151" s="338">
        <f t="shared" si="23"/>
        <v>0</v>
      </c>
      <c r="V151" s="338">
        <f t="shared" si="23"/>
        <v>1</v>
      </c>
      <c r="W151" s="327">
        <f t="shared" si="15"/>
        <v>1</v>
      </c>
      <c r="X151" s="338">
        <f t="shared" si="23"/>
        <v>0</v>
      </c>
      <c r="Y151" s="338">
        <f t="shared" si="23"/>
        <v>0</v>
      </c>
      <c r="Z151" s="338">
        <f t="shared" si="23"/>
        <v>1</v>
      </c>
      <c r="AA151" s="327">
        <f t="shared" si="9"/>
        <v>1</v>
      </c>
      <c r="AB151" s="338">
        <f t="shared" si="23"/>
        <v>0</v>
      </c>
      <c r="AC151" s="338">
        <f t="shared" si="23"/>
        <v>0</v>
      </c>
      <c r="AD151" s="338">
        <f t="shared" si="23"/>
        <v>1</v>
      </c>
      <c r="AE151" s="327">
        <f t="shared" si="10"/>
        <v>1</v>
      </c>
    </row>
    <row r="152" spans="1:31" ht="43.5" customHeight="1" thickBot="1">
      <c r="A152" s="1"/>
      <c r="B152" s="13"/>
      <c r="C152" s="28">
        <v>5.1</v>
      </c>
      <c r="D152" s="496"/>
      <c r="E152" s="496"/>
      <c r="F152" s="200">
        <v>101</v>
      </c>
      <c r="G152" s="819" t="s">
        <v>134</v>
      </c>
      <c r="H152" s="820"/>
      <c r="I152" s="820"/>
      <c r="J152" s="821"/>
      <c r="K152" s="3">
        <f t="shared" si="16"/>
        <v>101.1</v>
      </c>
      <c r="L152" s="29" t="s">
        <v>605</v>
      </c>
      <c r="M152" s="1"/>
      <c r="N152" s="328" t="s">
        <v>231</v>
      </c>
      <c r="O152" s="36">
        <f t="shared" si="8"/>
        <v>4</v>
      </c>
      <c r="P152" s="30"/>
      <c r="Q152" s="30"/>
      <c r="R152" s="30">
        <v>1</v>
      </c>
      <c r="S152" s="397">
        <f t="shared" si="12"/>
        <v>1</v>
      </c>
      <c r="T152" s="30"/>
      <c r="U152" s="30"/>
      <c r="V152" s="30">
        <v>1</v>
      </c>
      <c r="W152" s="327">
        <f t="shared" si="15"/>
        <v>1</v>
      </c>
      <c r="X152" s="30"/>
      <c r="Y152" s="30"/>
      <c r="Z152" s="30">
        <v>1</v>
      </c>
      <c r="AA152" s="327">
        <f t="shared" si="9"/>
        <v>1</v>
      </c>
      <c r="AB152" s="30"/>
      <c r="AC152" s="30"/>
      <c r="AD152" s="35">
        <v>1</v>
      </c>
      <c r="AE152" s="327">
        <f t="shared" si="10"/>
        <v>1</v>
      </c>
    </row>
    <row r="153" spans="1:31" ht="33.75" customHeight="1" hidden="1" thickBot="1">
      <c r="A153" s="1"/>
      <c r="B153" s="13"/>
      <c r="C153" s="28"/>
      <c r="D153" s="496"/>
      <c r="E153" s="496"/>
      <c r="F153" s="200">
        <v>93</v>
      </c>
      <c r="G153" s="819"/>
      <c r="H153" s="820"/>
      <c r="I153" s="820"/>
      <c r="J153" s="821"/>
      <c r="K153" s="3">
        <f t="shared" si="16"/>
        <v>93.1</v>
      </c>
      <c r="L153" s="29"/>
      <c r="M153" s="1"/>
      <c r="N153" s="30"/>
      <c r="O153" s="36">
        <f t="shared" si="8"/>
        <v>0</v>
      </c>
      <c r="P153" s="30"/>
      <c r="Q153" s="126"/>
      <c r="R153" s="30"/>
      <c r="S153" s="397">
        <f t="shared" si="12"/>
        <v>0</v>
      </c>
      <c r="T153" s="30"/>
      <c r="U153" s="30"/>
      <c r="V153" s="30"/>
      <c r="W153" s="327">
        <f t="shared" si="15"/>
        <v>0</v>
      </c>
      <c r="X153" s="30"/>
      <c r="Y153" s="30"/>
      <c r="Z153" s="30"/>
      <c r="AA153" s="327">
        <f t="shared" si="9"/>
        <v>0</v>
      </c>
      <c r="AB153" s="30"/>
      <c r="AC153" s="30"/>
      <c r="AD153" s="31"/>
      <c r="AE153" s="327">
        <f t="shared" si="10"/>
        <v>0</v>
      </c>
    </row>
    <row r="154" spans="1:31" ht="30" customHeight="1" hidden="1" thickBot="1">
      <c r="A154" s="1"/>
      <c r="B154" s="13"/>
      <c r="C154" s="28"/>
      <c r="D154" s="496"/>
      <c r="E154" s="496"/>
      <c r="F154" s="200">
        <v>94</v>
      </c>
      <c r="G154" s="819"/>
      <c r="H154" s="820"/>
      <c r="I154" s="820"/>
      <c r="J154" s="821"/>
      <c r="K154" s="3">
        <f t="shared" si="16"/>
        <v>94.1</v>
      </c>
      <c r="L154" s="29"/>
      <c r="M154" s="1"/>
      <c r="N154" s="30"/>
      <c r="O154" s="36">
        <f t="shared" si="8"/>
        <v>0</v>
      </c>
      <c r="P154" s="30"/>
      <c r="Q154" s="30"/>
      <c r="R154" s="126"/>
      <c r="S154" s="397">
        <f t="shared" si="12"/>
        <v>0</v>
      </c>
      <c r="T154" s="30"/>
      <c r="U154" s="30"/>
      <c r="V154" s="30"/>
      <c r="W154" s="327">
        <f t="shared" si="15"/>
        <v>0</v>
      </c>
      <c r="X154" s="30"/>
      <c r="Y154" s="30"/>
      <c r="Z154" s="30"/>
      <c r="AA154" s="327">
        <f t="shared" si="9"/>
        <v>0</v>
      </c>
      <c r="AB154" s="30"/>
      <c r="AC154" s="30"/>
      <c r="AD154" s="31"/>
      <c r="AE154" s="327">
        <f t="shared" si="10"/>
        <v>0</v>
      </c>
    </row>
    <row r="155" spans="1:31" ht="30.75" customHeight="1" hidden="1" thickBot="1">
      <c r="A155" s="26"/>
      <c r="B155" s="27"/>
      <c r="C155" s="15"/>
      <c r="D155" s="491"/>
      <c r="E155" s="491"/>
      <c r="F155" s="200">
        <v>95</v>
      </c>
      <c r="G155" s="819"/>
      <c r="H155" s="820"/>
      <c r="I155" s="820"/>
      <c r="J155" s="821"/>
      <c r="K155" s="3">
        <f t="shared" si="16"/>
        <v>95.1</v>
      </c>
      <c r="L155" s="29"/>
      <c r="M155" s="1"/>
      <c r="N155" s="30"/>
      <c r="O155" s="36">
        <f t="shared" si="8"/>
        <v>0</v>
      </c>
      <c r="P155" s="30"/>
      <c r="Q155" s="30"/>
      <c r="R155" s="30"/>
      <c r="S155" s="397">
        <f t="shared" si="12"/>
        <v>0</v>
      </c>
      <c r="T155" s="30"/>
      <c r="U155" s="30"/>
      <c r="V155" s="30"/>
      <c r="W155" s="327">
        <f t="shared" si="15"/>
        <v>0</v>
      </c>
      <c r="X155" s="30"/>
      <c r="Y155" s="30"/>
      <c r="Z155" s="30"/>
      <c r="AA155" s="327">
        <f t="shared" si="9"/>
        <v>0</v>
      </c>
      <c r="AB155" s="30"/>
      <c r="AC155" s="30"/>
      <c r="AD155" s="31"/>
      <c r="AE155" s="327">
        <f t="shared" si="10"/>
        <v>0</v>
      </c>
    </row>
    <row r="156" spans="1:31" ht="30" customHeight="1" hidden="1" thickBot="1">
      <c r="A156" s="1"/>
      <c r="B156" s="13"/>
      <c r="C156" s="28"/>
      <c r="D156" s="496"/>
      <c r="E156" s="496"/>
      <c r="F156" s="200">
        <v>96</v>
      </c>
      <c r="G156" s="819"/>
      <c r="H156" s="820"/>
      <c r="I156" s="820"/>
      <c r="J156" s="821"/>
      <c r="K156" s="3">
        <f t="shared" si="16"/>
        <v>96.1</v>
      </c>
      <c r="L156" s="29"/>
      <c r="M156" s="1"/>
      <c r="N156" s="30"/>
      <c r="O156" s="36">
        <f aca="true" t="shared" si="24" ref="O156:O164">+S156+W156+AA156+AE156</f>
        <v>0</v>
      </c>
      <c r="P156" s="30"/>
      <c r="Q156" s="30"/>
      <c r="R156" s="30"/>
      <c r="S156" s="397">
        <f t="shared" si="12"/>
        <v>0</v>
      </c>
      <c r="T156" s="30"/>
      <c r="U156" s="30"/>
      <c r="V156" s="30"/>
      <c r="W156" s="327">
        <f t="shared" si="15"/>
        <v>0</v>
      </c>
      <c r="X156" s="34"/>
      <c r="Y156" s="30"/>
      <c r="Z156" s="30"/>
      <c r="AA156" s="327">
        <f t="shared" si="9"/>
        <v>0</v>
      </c>
      <c r="AB156" s="30"/>
      <c r="AC156" s="30"/>
      <c r="AD156" s="31"/>
      <c r="AE156" s="327">
        <f t="shared" si="10"/>
        <v>0</v>
      </c>
    </row>
    <row r="157" spans="1:31" ht="30" customHeight="1" hidden="1" thickBot="1">
      <c r="A157" s="1"/>
      <c r="B157" s="13"/>
      <c r="C157" s="28"/>
      <c r="D157" s="496"/>
      <c r="E157" s="496"/>
      <c r="F157" s="200">
        <v>97</v>
      </c>
      <c r="G157" s="819"/>
      <c r="H157" s="820"/>
      <c r="I157" s="820"/>
      <c r="J157" s="821"/>
      <c r="K157" s="3">
        <f t="shared" si="16"/>
        <v>97.1</v>
      </c>
      <c r="L157" s="29"/>
      <c r="M157" s="1"/>
      <c r="N157" s="82"/>
      <c r="O157" s="36">
        <f t="shared" si="24"/>
        <v>0</v>
      </c>
      <c r="P157" s="30"/>
      <c r="Q157" s="30"/>
      <c r="R157" s="30"/>
      <c r="S157" s="397">
        <f t="shared" si="12"/>
        <v>0</v>
      </c>
      <c r="T157" s="30"/>
      <c r="U157" s="34"/>
      <c r="V157" s="30"/>
      <c r="W157" s="327">
        <f t="shared" si="15"/>
        <v>0</v>
      </c>
      <c r="X157" s="30"/>
      <c r="Y157" s="30"/>
      <c r="Z157" s="30"/>
      <c r="AA157" s="327">
        <f aca="true" t="shared" si="25" ref="AA157:AA164">SUM(X157:Z157)</f>
        <v>0</v>
      </c>
      <c r="AB157" s="30"/>
      <c r="AC157" s="30"/>
      <c r="AD157" s="31"/>
      <c r="AE157" s="327">
        <f aca="true" t="shared" si="26" ref="AE157:AE164">SUM(AB157:AD157)</f>
        <v>0</v>
      </c>
    </row>
    <row r="158" spans="1:31" ht="30" customHeight="1" hidden="1" thickBot="1">
      <c r="A158" s="1"/>
      <c r="B158" s="13"/>
      <c r="C158" s="28"/>
      <c r="D158" s="496"/>
      <c r="E158" s="496"/>
      <c r="F158" s="200">
        <v>98</v>
      </c>
      <c r="G158" s="819"/>
      <c r="H158" s="820"/>
      <c r="I158" s="820"/>
      <c r="J158" s="821"/>
      <c r="K158" s="3">
        <f t="shared" si="16"/>
        <v>98.1</v>
      </c>
      <c r="L158" s="29"/>
      <c r="M158" s="1"/>
      <c r="N158" s="30"/>
      <c r="O158" s="36">
        <f t="shared" si="24"/>
        <v>0</v>
      </c>
      <c r="P158" s="30"/>
      <c r="Q158" s="30"/>
      <c r="R158" s="30"/>
      <c r="S158" s="397">
        <f t="shared" si="12"/>
        <v>0</v>
      </c>
      <c r="T158" s="30"/>
      <c r="U158" s="30"/>
      <c r="V158" s="30"/>
      <c r="W158" s="327">
        <f t="shared" si="15"/>
        <v>0</v>
      </c>
      <c r="X158" s="30"/>
      <c r="Y158" s="30"/>
      <c r="Z158" s="30"/>
      <c r="AA158" s="327">
        <f t="shared" si="25"/>
        <v>0</v>
      </c>
      <c r="AB158" s="30"/>
      <c r="AC158" s="30"/>
      <c r="AD158" s="31"/>
      <c r="AE158" s="327">
        <f t="shared" si="26"/>
        <v>0</v>
      </c>
    </row>
    <row r="159" spans="1:31" ht="30" customHeight="1" hidden="1" thickBot="1">
      <c r="A159" s="1"/>
      <c r="B159" s="13"/>
      <c r="C159" s="28"/>
      <c r="D159" s="496"/>
      <c r="E159" s="496"/>
      <c r="F159" s="200">
        <v>99</v>
      </c>
      <c r="G159" s="819"/>
      <c r="H159" s="820"/>
      <c r="I159" s="820"/>
      <c r="J159" s="821"/>
      <c r="K159" s="3">
        <f t="shared" si="16"/>
        <v>99.1</v>
      </c>
      <c r="L159" s="29"/>
      <c r="M159" s="1"/>
      <c r="N159" s="30"/>
      <c r="O159" s="36">
        <f t="shared" si="24"/>
        <v>0</v>
      </c>
      <c r="P159" s="30"/>
      <c r="Q159" s="30"/>
      <c r="R159" s="30"/>
      <c r="S159" s="397">
        <f t="shared" si="12"/>
        <v>0</v>
      </c>
      <c r="T159" s="30"/>
      <c r="U159" s="30"/>
      <c r="V159" s="30"/>
      <c r="W159" s="327">
        <f t="shared" si="15"/>
        <v>0</v>
      </c>
      <c r="X159" s="30"/>
      <c r="Y159" s="30"/>
      <c r="Z159" s="30"/>
      <c r="AA159" s="327">
        <f t="shared" si="25"/>
        <v>0</v>
      </c>
      <c r="AB159" s="30"/>
      <c r="AC159" s="30"/>
      <c r="AD159" s="31"/>
      <c r="AE159" s="327">
        <f t="shared" si="26"/>
        <v>0</v>
      </c>
    </row>
    <row r="160" spans="1:31" ht="30" customHeight="1" hidden="1" thickBot="1">
      <c r="A160" s="1"/>
      <c r="B160" s="13"/>
      <c r="C160" s="28"/>
      <c r="D160" s="496"/>
      <c r="E160" s="496"/>
      <c r="F160" s="200">
        <v>100</v>
      </c>
      <c r="G160" s="819"/>
      <c r="H160" s="820"/>
      <c r="I160" s="820"/>
      <c r="J160" s="821"/>
      <c r="K160" s="3">
        <f t="shared" si="16"/>
        <v>100.1</v>
      </c>
      <c r="L160" s="29"/>
      <c r="M160" s="1"/>
      <c r="N160" s="32"/>
      <c r="O160" s="36">
        <f t="shared" si="24"/>
        <v>0</v>
      </c>
      <c r="P160" s="32"/>
      <c r="Q160" s="32"/>
      <c r="R160" s="32"/>
      <c r="S160" s="397">
        <f aca="true" t="shared" si="27" ref="S160:S165">SUM(P160:R160)</f>
        <v>0</v>
      </c>
      <c r="T160" s="32"/>
      <c r="U160" s="32"/>
      <c r="V160" s="32"/>
      <c r="W160" s="327">
        <f t="shared" si="15"/>
        <v>0</v>
      </c>
      <c r="X160" s="32"/>
      <c r="Y160" s="32"/>
      <c r="Z160" s="32"/>
      <c r="AA160" s="327">
        <f t="shared" si="25"/>
        <v>0</v>
      </c>
      <c r="AB160" s="32"/>
      <c r="AC160" s="32"/>
      <c r="AD160" s="33"/>
      <c r="AE160" s="327">
        <f t="shared" si="26"/>
        <v>0</v>
      </c>
    </row>
    <row r="161" spans="1:31" ht="43.5" customHeight="1" hidden="1" thickBot="1">
      <c r="A161" s="1"/>
      <c r="B161" s="13"/>
      <c r="C161" s="28"/>
      <c r="D161" s="496"/>
      <c r="E161" s="496"/>
      <c r="F161" s="200">
        <v>101</v>
      </c>
      <c r="G161" s="819"/>
      <c r="H161" s="820"/>
      <c r="I161" s="820"/>
      <c r="J161" s="821"/>
      <c r="K161" s="3">
        <f t="shared" si="16"/>
        <v>101.1</v>
      </c>
      <c r="L161" s="29"/>
      <c r="M161" s="1"/>
      <c r="N161" s="30"/>
      <c r="O161" s="36">
        <f t="shared" si="24"/>
        <v>0</v>
      </c>
      <c r="P161" s="30"/>
      <c r="Q161" s="30"/>
      <c r="R161" s="30"/>
      <c r="S161" s="397">
        <f t="shared" si="27"/>
        <v>0</v>
      </c>
      <c r="T161" s="30"/>
      <c r="U161" s="30"/>
      <c r="V161" s="30"/>
      <c r="W161" s="327">
        <f t="shared" si="15"/>
        <v>0</v>
      </c>
      <c r="X161" s="30"/>
      <c r="Y161" s="30"/>
      <c r="Z161" s="30"/>
      <c r="AA161" s="327">
        <f t="shared" si="25"/>
        <v>0</v>
      </c>
      <c r="AB161" s="30"/>
      <c r="AC161" s="30"/>
      <c r="AD161" s="35"/>
      <c r="AE161" s="327">
        <f t="shared" si="26"/>
        <v>0</v>
      </c>
    </row>
    <row r="162" spans="1:31" ht="43.5" customHeight="1" hidden="1" thickBot="1">
      <c r="A162" s="1"/>
      <c r="B162" s="13"/>
      <c r="C162" s="28"/>
      <c r="D162" s="496"/>
      <c r="E162" s="496"/>
      <c r="F162" s="200">
        <v>102</v>
      </c>
      <c r="G162" s="819"/>
      <c r="H162" s="820"/>
      <c r="I162" s="820"/>
      <c r="J162" s="821"/>
      <c r="K162" s="3">
        <f t="shared" si="16"/>
        <v>102.1</v>
      </c>
      <c r="L162" s="29"/>
      <c r="M162" s="1"/>
      <c r="N162" s="30"/>
      <c r="O162" s="36">
        <f t="shared" si="24"/>
        <v>0</v>
      </c>
      <c r="P162" s="30"/>
      <c r="Q162" s="30"/>
      <c r="R162" s="30"/>
      <c r="S162" s="397">
        <f t="shared" si="27"/>
        <v>0</v>
      </c>
      <c r="T162" s="30"/>
      <c r="U162" s="30"/>
      <c r="V162" s="30"/>
      <c r="W162" s="327">
        <f t="shared" si="15"/>
        <v>0</v>
      </c>
      <c r="X162" s="30"/>
      <c r="Y162" s="30"/>
      <c r="Z162" s="30"/>
      <c r="AA162" s="327">
        <f t="shared" si="25"/>
        <v>0</v>
      </c>
      <c r="AB162" s="30"/>
      <c r="AC162" s="30"/>
      <c r="AD162" s="35"/>
      <c r="AE162" s="327">
        <f t="shared" si="26"/>
        <v>0</v>
      </c>
    </row>
    <row r="163" spans="4:31" s="353" customFormat="1" ht="19.5" customHeight="1" thickBot="1">
      <c r="D163" s="497"/>
      <c r="E163" s="497"/>
      <c r="F163" s="354"/>
      <c r="L163" s="353" t="s">
        <v>89</v>
      </c>
      <c r="O163" s="36" t="e">
        <f t="shared" si="24"/>
        <v>#REF!</v>
      </c>
      <c r="P163" s="355" t="e">
        <f>SUM(P7:P162)-P151-P93-P79-P77-P63-P44-P30-#REF!-P9</f>
        <v>#REF!</v>
      </c>
      <c r="Q163" s="355" t="e">
        <f>SUM(Q7:Q162)-Q151-Q93-Q79-Q77-Q63-Q44-Q30-#REF!-Q9</f>
        <v>#REF!</v>
      </c>
      <c r="R163" s="355" t="e">
        <f>SUM(R7:R162)-R151-R93-R79-R77-R63-R44-R30-#REF!-R9</f>
        <v>#REF!</v>
      </c>
      <c r="S163" s="397" t="e">
        <f t="shared" si="27"/>
        <v>#REF!</v>
      </c>
      <c r="T163" s="355" t="e">
        <f>SUM(T7:T162)-T151-T93-T79-T77-T63-T44-T30-#REF!-T9</f>
        <v>#REF!</v>
      </c>
      <c r="U163" s="355" t="e">
        <f>SUM(U7:U162)-U151-U93-U79-U77-U63-U44-U30-#REF!-U9</f>
        <v>#REF!</v>
      </c>
      <c r="V163" s="355" t="e">
        <f>SUM(V7:V162)-V151-V93-V79-V77-V63-V44-V30-#REF!-V9</f>
        <v>#REF!</v>
      </c>
      <c r="W163" s="327" t="e">
        <f t="shared" si="15"/>
        <v>#REF!</v>
      </c>
      <c r="X163" s="355" t="e">
        <f>SUM(X7:X162)-X151-X93-X79-X77-X63-X44-X30-#REF!-X9</f>
        <v>#REF!</v>
      </c>
      <c r="Y163" s="355" t="e">
        <f>SUM(Y7:Y162)-Y151-Y93-Y79-Y77-Y63-Y44-Y30-#REF!-Y9</f>
        <v>#REF!</v>
      </c>
      <c r="Z163" s="355" t="e">
        <f>SUM(Z7:Z162)-Z151-Z93-Z79-Z77-Z63-Z44-Z30-#REF!-Z9</f>
        <v>#REF!</v>
      </c>
      <c r="AA163" s="327" t="e">
        <f t="shared" si="25"/>
        <v>#REF!</v>
      </c>
      <c r="AB163" s="355" t="e">
        <f>SUM(AB7:AB162)-AB151-AB93-AB79-AB77-AB63-AB44-AB30-#REF!-AB9</f>
        <v>#REF!</v>
      </c>
      <c r="AC163" s="355" t="e">
        <f>SUM(AC7:AC162)-AC151-AC93-AC79-AC77-AC63-AC44-AC30-#REF!-AC9</f>
        <v>#REF!</v>
      </c>
      <c r="AD163" s="355" t="e">
        <f>SUM(AD7:AD162)-AD151-AD93-AD79-AD77-AD63-AD44-AD30-#REF!-AD9</f>
        <v>#REF!</v>
      </c>
      <c r="AE163" s="327" t="e">
        <f t="shared" si="26"/>
        <v>#REF!</v>
      </c>
    </row>
    <row r="164" spans="2:31" s="334" customFormat="1" ht="19.5" customHeight="1" thickBot="1">
      <c r="B164" s="2"/>
      <c r="C164" s="356"/>
      <c r="D164" s="493"/>
      <c r="E164" s="493"/>
      <c r="F164" s="357"/>
      <c r="O164" s="36" t="e">
        <f t="shared" si="24"/>
        <v>#REF!</v>
      </c>
      <c r="P164" s="335" t="e">
        <f>+P151+P93+P79+P77+P63+P44+P30+#REF!+P9+P6</f>
        <v>#REF!</v>
      </c>
      <c r="Q164" s="335" t="e">
        <f>+Q151+Q93+Q79+Q77+Q63+Q44+Q30+#REF!+Q9+Q6</f>
        <v>#REF!</v>
      </c>
      <c r="R164" s="335" t="e">
        <f>+R151+R93+R79+R77+R63+R44+R30+#REF!+R9+R6</f>
        <v>#REF!</v>
      </c>
      <c r="S164" s="397" t="e">
        <f t="shared" si="27"/>
        <v>#REF!</v>
      </c>
      <c r="T164" s="335" t="e">
        <f>+T151+T93+T79+T77+T63+T44+T30+#REF!+T9+T6</f>
        <v>#REF!</v>
      </c>
      <c r="U164" s="335" t="e">
        <f>+U151+U93+U79+U77+U63+U44+U30+#REF!+U9+U6</f>
        <v>#REF!</v>
      </c>
      <c r="V164" s="335" t="e">
        <f>+V151+V93+V79+V77+V63+V44+V30+#REF!+V9+V6</f>
        <v>#REF!</v>
      </c>
      <c r="W164" s="327" t="e">
        <f t="shared" si="15"/>
        <v>#REF!</v>
      </c>
      <c r="X164" s="335" t="e">
        <f>+X151+X93+X79+X77+X63+X44+X30+#REF!+X9+X6</f>
        <v>#REF!</v>
      </c>
      <c r="Y164" s="335" t="e">
        <f>+Y151+Y93+Y79+Y77+Y63+Y44+Y30+#REF!+Y9+Y6</f>
        <v>#REF!</v>
      </c>
      <c r="Z164" s="335" t="e">
        <f>+Z151+Z93+Z79+Z77+Z63+Z44+Z30+#REF!+Z9+Z6</f>
        <v>#REF!</v>
      </c>
      <c r="AA164" s="327" t="e">
        <f t="shared" si="25"/>
        <v>#REF!</v>
      </c>
      <c r="AB164" s="335" t="e">
        <f>+AB151+AB93+AB79+AB77+AB63+AB44+AB30+#REF!+AB9+AB6</f>
        <v>#REF!</v>
      </c>
      <c r="AC164" s="335" t="e">
        <f>+AC151+AC93+AC79+AC77+AC63+AC44+AC30+#REF!+AC9+AC6</f>
        <v>#REF!</v>
      </c>
      <c r="AD164" s="335" t="e">
        <f>+AD151+AD93+AD79+AD77+AD63+AD44+AD30+#REF!+AD9+AD6</f>
        <v>#REF!</v>
      </c>
      <c r="AE164" s="327" t="e">
        <f t="shared" si="26"/>
        <v>#REF!</v>
      </c>
    </row>
    <row r="165" ht="13.5" thickBot="1">
      <c r="S165" s="397">
        <f t="shared" si="27"/>
        <v>0</v>
      </c>
    </row>
  </sheetData>
  <sheetProtection/>
  <mergeCells count="139">
    <mergeCell ref="G26:J26"/>
    <mergeCell ref="G27:J27"/>
    <mergeCell ref="G31:L31"/>
    <mergeCell ref="G15:J15"/>
    <mergeCell ref="G16:J16"/>
    <mergeCell ref="G17:J17"/>
    <mergeCell ref="G18:J18"/>
    <mergeCell ref="G29:J29"/>
    <mergeCell ref="G22:J22"/>
    <mergeCell ref="G23:J23"/>
    <mergeCell ref="G24:J24"/>
    <mergeCell ref="G25:J25"/>
    <mergeCell ref="G79:L79"/>
    <mergeCell ref="G77:L77"/>
    <mergeCell ref="G78:J78"/>
    <mergeCell ref="G56:J56"/>
    <mergeCell ref="G64:J64"/>
    <mergeCell ref="G61:J61"/>
    <mergeCell ref="G62:J62"/>
    <mergeCell ref="G41:J41"/>
    <mergeCell ref="G47:J47"/>
    <mergeCell ref="G42:J42"/>
    <mergeCell ref="G51:J51"/>
    <mergeCell ref="G52:J52"/>
    <mergeCell ref="G92:J92"/>
    <mergeCell ref="G87:J87"/>
    <mergeCell ref="G85:J85"/>
    <mergeCell ref="G86:J86"/>
    <mergeCell ref="G83:J83"/>
    <mergeCell ref="G81:J82"/>
    <mergeCell ref="G10:J10"/>
    <mergeCell ref="G11:J11"/>
    <mergeCell ref="G12:J12"/>
    <mergeCell ref="G13:J13"/>
    <mergeCell ref="G69:J70"/>
    <mergeCell ref="G53:J53"/>
    <mergeCell ref="G48:J48"/>
    <mergeCell ref="G50:J50"/>
    <mergeCell ref="G54:J54"/>
    <mergeCell ref="G55:J55"/>
    <mergeCell ref="G105:J105"/>
    <mergeCell ref="G101:J101"/>
    <mergeCell ref="G102:J102"/>
    <mergeCell ref="G115:J115"/>
    <mergeCell ref="G116:J116"/>
    <mergeCell ref="G108:J108"/>
    <mergeCell ref="G110:J110"/>
    <mergeCell ref="G109:J109"/>
    <mergeCell ref="G106:J106"/>
    <mergeCell ref="G103:J103"/>
    <mergeCell ref="G112:J112"/>
    <mergeCell ref="G119:J119"/>
    <mergeCell ref="G14:J14"/>
    <mergeCell ref="G72:J72"/>
    <mergeCell ref="G73:J73"/>
    <mergeCell ref="G19:J19"/>
    <mergeCell ref="G20:J20"/>
    <mergeCell ref="G104:J104"/>
    <mergeCell ref="G93:L93"/>
    <mergeCell ref="G100:J100"/>
    <mergeCell ref="G132:J132"/>
    <mergeCell ref="G107:J107"/>
    <mergeCell ref="G120:J120"/>
    <mergeCell ref="G127:J127"/>
    <mergeCell ref="G125:J125"/>
    <mergeCell ref="G111:J111"/>
    <mergeCell ref="G124:J124"/>
    <mergeCell ref="G117:J117"/>
    <mergeCell ref="G126:J126"/>
    <mergeCell ref="G122:J122"/>
    <mergeCell ref="G135:J135"/>
    <mergeCell ref="G161:J161"/>
    <mergeCell ref="G160:J160"/>
    <mergeCell ref="G154:J154"/>
    <mergeCell ref="G159:J159"/>
    <mergeCell ref="G136:J136"/>
    <mergeCell ref="G156:J156"/>
    <mergeCell ref="G157:J157"/>
    <mergeCell ref="G137:J137"/>
    <mergeCell ref="G155:J155"/>
    <mergeCell ref="G134:J134"/>
    <mergeCell ref="G158:J158"/>
    <mergeCell ref="B1:J2"/>
    <mergeCell ref="B3:J3"/>
    <mergeCell ref="B4:L4"/>
    <mergeCell ref="G7:J7"/>
    <mergeCell ref="G114:J114"/>
    <mergeCell ref="G153:J153"/>
    <mergeCell ref="G121:J121"/>
    <mergeCell ref="G152:J152"/>
    <mergeCell ref="G133:J133"/>
    <mergeCell ref="G118:J118"/>
    <mergeCell ref="G9:L9"/>
    <mergeCell ref="G68:J68"/>
    <mergeCell ref="G63:L63"/>
    <mergeCell ref="G67:J67"/>
    <mergeCell ref="G65:J65"/>
    <mergeCell ref="G66:J66"/>
    <mergeCell ref="G45:J45"/>
    <mergeCell ref="G46:J46"/>
    <mergeCell ref="G8:J8"/>
    <mergeCell ref="G6:L6"/>
    <mergeCell ref="G60:J60"/>
    <mergeCell ref="G34:J34"/>
    <mergeCell ref="G35:J35"/>
    <mergeCell ref="G36:J36"/>
    <mergeCell ref="G43:J43"/>
    <mergeCell ref="G21:J21"/>
    <mergeCell ref="G28:J28"/>
    <mergeCell ref="G32:J33"/>
    <mergeCell ref="G162:J162"/>
    <mergeCell ref="G113:J113"/>
    <mergeCell ref="G37:J37"/>
    <mergeCell ref="G123:J123"/>
    <mergeCell ref="G38:J38"/>
    <mergeCell ref="G39:J39"/>
    <mergeCell ref="G71:J71"/>
    <mergeCell ref="G49:J49"/>
    <mergeCell ref="G44:L44"/>
    <mergeCell ref="G40:J40"/>
    <mergeCell ref="G80:J80"/>
    <mergeCell ref="G99:J99"/>
    <mergeCell ref="G91:J91"/>
    <mergeCell ref="G88:J88"/>
    <mergeCell ref="G89:J89"/>
    <mergeCell ref="G84:J84"/>
    <mergeCell ref="G94:J94"/>
    <mergeCell ref="G95:J95"/>
    <mergeCell ref="G96:J96"/>
    <mergeCell ref="C97:C98"/>
    <mergeCell ref="C81:C82"/>
    <mergeCell ref="G97:J98"/>
    <mergeCell ref="G57:J57"/>
    <mergeCell ref="G58:J58"/>
    <mergeCell ref="G59:J59"/>
    <mergeCell ref="G74:J74"/>
    <mergeCell ref="G75:J75"/>
    <mergeCell ref="G76:J76"/>
    <mergeCell ref="G90:J90"/>
  </mergeCells>
  <printOptions/>
  <pageMargins left="0.17" right="0.17" top="0.3" bottom="0.48" header="0" footer="0"/>
  <pageSetup fitToHeight="3" horizontalDpi="600" verticalDpi="600" orientation="landscape"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E120"/>
  <sheetViews>
    <sheetView zoomScalePageLayoutView="0" workbookViewId="0" topLeftCell="A115">
      <selection activeCell="E12" sqref="E12:H12"/>
    </sheetView>
  </sheetViews>
  <sheetFormatPr defaultColWidth="11.421875" defaultRowHeight="12.75"/>
  <cols>
    <col min="1" max="1" width="2.7109375" style="708" customWidth="1"/>
    <col min="2" max="2" width="12.140625" style="14" customWidth="1"/>
    <col min="3" max="3" width="8.421875" style="16" customWidth="1"/>
    <col min="4" max="4" width="5.140625" style="541" customWidth="1"/>
    <col min="5" max="5" width="19.8515625" style="606" customWidth="1"/>
    <col min="6" max="6" width="14.421875" style="606" customWidth="1"/>
    <col min="7" max="7" width="17.8515625" style="606" customWidth="1"/>
    <col min="8" max="8" width="14.7109375" style="606" customWidth="1"/>
    <col min="9" max="9" width="6.57421875" style="606" bestFit="1" customWidth="1"/>
    <col min="10" max="10" width="61.00390625" style="606" customWidth="1"/>
    <col min="11" max="11" width="2.140625" style="660" customWidth="1"/>
    <col min="12" max="12" width="14.57421875" style="0" customWidth="1"/>
    <col min="13" max="13" width="7.421875" style="1" customWidth="1"/>
    <col min="14" max="16" width="7.7109375" style="0" customWidth="1"/>
    <col min="17" max="17" width="7.7109375" style="332" customWidth="1"/>
    <col min="18" max="20" width="7.7109375" style="0" customWidth="1"/>
    <col min="21" max="21" width="7.7109375" style="326" customWidth="1"/>
    <col min="22" max="24" width="7.7109375" style="0" customWidth="1"/>
    <col min="25" max="25" width="7.7109375" style="326" customWidth="1"/>
    <col min="26" max="28" width="7.7109375" style="0" customWidth="1"/>
    <col min="29" max="29" width="7.7109375" style="326" customWidth="1"/>
    <col min="30" max="30" width="4.421875" style="1" customWidth="1"/>
    <col min="31" max="31" width="11.421875" style="25" customWidth="1"/>
  </cols>
  <sheetData>
    <row r="1" spans="2:29" ht="12.75">
      <c r="B1" s="770" t="s">
        <v>166</v>
      </c>
      <c r="C1" s="770"/>
      <c r="D1" s="770"/>
      <c r="E1" s="770"/>
      <c r="F1" s="770"/>
      <c r="G1" s="770"/>
      <c r="H1" s="770"/>
      <c r="I1" s="607"/>
      <c r="J1" s="607"/>
      <c r="K1" s="653"/>
      <c r="L1" s="1"/>
      <c r="N1" s="1"/>
      <c r="O1" s="1"/>
      <c r="P1" s="1"/>
      <c r="Q1" s="543"/>
      <c r="R1" s="1"/>
      <c r="S1" s="1"/>
      <c r="T1" s="1"/>
      <c r="U1" s="1"/>
      <c r="V1" s="1"/>
      <c r="W1" s="1"/>
      <c r="X1" s="1"/>
      <c r="Y1" s="1"/>
      <c r="Z1" s="1"/>
      <c r="AA1" s="1"/>
      <c r="AB1" s="1"/>
      <c r="AC1" s="1"/>
    </row>
    <row r="2" spans="2:29" ht="12.75">
      <c r="B2" s="770"/>
      <c r="C2" s="770"/>
      <c r="D2" s="770"/>
      <c r="E2" s="770"/>
      <c r="F2" s="770"/>
      <c r="G2" s="770"/>
      <c r="H2" s="770"/>
      <c r="I2" s="607"/>
      <c r="J2" s="607"/>
      <c r="K2" s="653"/>
      <c r="L2" s="1"/>
      <c r="N2" s="1"/>
      <c r="O2" s="1"/>
      <c r="P2" s="1"/>
      <c r="Q2" s="543"/>
      <c r="R2" s="1"/>
      <c r="S2" s="1"/>
      <c r="T2" s="1"/>
      <c r="U2" s="1"/>
      <c r="V2" s="1"/>
      <c r="W2" s="1"/>
      <c r="X2" s="1"/>
      <c r="Y2" s="1"/>
      <c r="Z2" s="1"/>
      <c r="AA2" s="1"/>
      <c r="AB2" s="1"/>
      <c r="AC2" s="1"/>
    </row>
    <row r="3" spans="2:29" ht="12.75">
      <c r="B3" s="770" t="s">
        <v>627</v>
      </c>
      <c r="C3" s="770"/>
      <c r="D3" s="770"/>
      <c r="E3" s="770"/>
      <c r="F3" s="770"/>
      <c r="G3" s="770"/>
      <c r="H3" s="770"/>
      <c r="I3" s="607"/>
      <c r="J3" s="607"/>
      <c r="K3" s="653"/>
      <c r="L3" s="1"/>
      <c r="N3" s="1"/>
      <c r="O3" s="1" t="s">
        <v>198</v>
      </c>
      <c r="P3" s="1"/>
      <c r="Q3" s="543"/>
      <c r="R3" s="1"/>
      <c r="S3" s="1"/>
      <c r="T3" s="1"/>
      <c r="U3" s="1"/>
      <c r="V3" s="1"/>
      <c r="W3" s="1"/>
      <c r="X3" s="1"/>
      <c r="Y3" s="1"/>
      <c r="Z3" s="1"/>
      <c r="AA3" s="1"/>
      <c r="AB3" s="1"/>
      <c r="AC3" s="1"/>
    </row>
    <row r="4" spans="1:29" ht="13.5" thickBot="1">
      <c r="A4" s="710"/>
      <c r="B4" s="858" t="s">
        <v>148</v>
      </c>
      <c r="C4" s="858"/>
      <c r="D4" s="858"/>
      <c r="E4" s="858"/>
      <c r="F4" s="858"/>
      <c r="G4" s="858"/>
      <c r="H4" s="858"/>
      <c r="I4" s="858"/>
      <c r="J4" s="858"/>
      <c r="K4" s="654"/>
      <c r="L4" s="1"/>
      <c r="N4" s="1"/>
      <c r="O4" s="1"/>
      <c r="P4" s="1"/>
      <c r="Q4" s="543"/>
      <c r="R4" s="1"/>
      <c r="S4" s="1"/>
      <c r="T4" s="1"/>
      <c r="U4" s="1"/>
      <c r="V4" s="1"/>
      <c r="W4" s="1"/>
      <c r="X4" s="1"/>
      <c r="Y4" s="1"/>
      <c r="Z4" s="1"/>
      <c r="AA4" s="1"/>
      <c r="AB4" s="1"/>
      <c r="AC4" s="1"/>
    </row>
    <row r="5" spans="2:29" ht="26.25" customHeight="1">
      <c r="B5" s="3"/>
      <c r="C5" s="17" t="s">
        <v>196</v>
      </c>
      <c r="D5" s="3"/>
      <c r="E5" s="3"/>
      <c r="F5" s="3"/>
      <c r="G5" s="3"/>
      <c r="H5" s="3"/>
      <c r="I5" s="3"/>
      <c r="J5" s="575"/>
      <c r="K5" s="653"/>
      <c r="L5" s="18" t="s">
        <v>176</v>
      </c>
      <c r="M5" s="18" t="s">
        <v>197</v>
      </c>
      <c r="N5" s="19" t="s">
        <v>177</v>
      </c>
      <c r="O5" s="19" t="s">
        <v>178</v>
      </c>
      <c r="P5" s="19" t="s">
        <v>179</v>
      </c>
      <c r="Q5" s="330" t="s">
        <v>420</v>
      </c>
      <c r="R5" s="19" t="s">
        <v>180</v>
      </c>
      <c r="S5" s="19" t="s">
        <v>181</v>
      </c>
      <c r="T5" s="19" t="s">
        <v>182</v>
      </c>
      <c r="U5" s="333" t="s">
        <v>419</v>
      </c>
      <c r="V5" s="19" t="s">
        <v>183</v>
      </c>
      <c r="W5" s="19" t="s">
        <v>184</v>
      </c>
      <c r="X5" s="19" t="s">
        <v>185</v>
      </c>
      <c r="Y5" s="333" t="s">
        <v>421</v>
      </c>
      <c r="Z5" s="19" t="s">
        <v>186</v>
      </c>
      <c r="AA5" s="19" t="s">
        <v>187</v>
      </c>
      <c r="AB5" s="20" t="s">
        <v>188</v>
      </c>
      <c r="AC5" s="333" t="s">
        <v>626</v>
      </c>
    </row>
    <row r="6" spans="1:30" s="346" customFormat="1" ht="15.75" customHeight="1">
      <c r="A6" s="709"/>
      <c r="B6" s="3"/>
      <c r="C6" s="28"/>
      <c r="D6" s="200"/>
      <c r="E6" s="855" t="s">
        <v>116</v>
      </c>
      <c r="F6" s="855"/>
      <c r="G6" s="855"/>
      <c r="H6" s="855"/>
      <c r="I6" s="855"/>
      <c r="J6" s="855"/>
      <c r="K6" s="655"/>
      <c r="L6" s="577"/>
      <c r="M6" s="577">
        <f>+Q6+U6+Y6+AC6</f>
        <v>2</v>
      </c>
      <c r="N6" s="577">
        <f>+N7</f>
        <v>0</v>
      </c>
      <c r="O6" s="577">
        <f>+O7</f>
        <v>1</v>
      </c>
      <c r="P6" s="577">
        <f>+P7</f>
        <v>0</v>
      </c>
      <c r="Q6" s="577">
        <f>SUM(N6:P6)</f>
        <v>1</v>
      </c>
      <c r="R6" s="577">
        <f>+R7</f>
        <v>0</v>
      </c>
      <c r="S6" s="577">
        <f>+S7</f>
        <v>0</v>
      </c>
      <c r="T6" s="577">
        <f>+T7</f>
        <v>0</v>
      </c>
      <c r="U6" s="577">
        <f>SUM(R6:T6)</f>
        <v>0</v>
      </c>
      <c r="V6" s="577">
        <f>+V7</f>
        <v>0</v>
      </c>
      <c r="W6" s="577">
        <f>+W7</f>
        <v>1</v>
      </c>
      <c r="X6" s="577">
        <f>+X7</f>
        <v>0</v>
      </c>
      <c r="Y6" s="577">
        <f>SUM(V6:X6)</f>
        <v>1</v>
      </c>
      <c r="Z6" s="577">
        <f>+Z7</f>
        <v>0</v>
      </c>
      <c r="AA6" s="577">
        <f>+AA7</f>
        <v>0</v>
      </c>
      <c r="AB6" s="577">
        <f>+AB7</f>
        <v>0</v>
      </c>
      <c r="AC6" s="577">
        <f>SUM(Z6:AB6)</f>
        <v>0</v>
      </c>
      <c r="AD6" s="334"/>
    </row>
    <row r="7" spans="2:29" ht="30" customHeight="1">
      <c r="B7" s="3"/>
      <c r="C7" s="28">
        <v>5.1</v>
      </c>
      <c r="D7" s="200">
        <v>1</v>
      </c>
      <c r="E7" s="856" t="s">
        <v>776</v>
      </c>
      <c r="F7" s="856"/>
      <c r="G7" s="856"/>
      <c r="H7" s="856"/>
      <c r="I7" s="578">
        <f>+D7+0.1</f>
        <v>1.1</v>
      </c>
      <c r="J7" s="579" t="s">
        <v>777</v>
      </c>
      <c r="K7" s="656"/>
      <c r="L7" s="582" t="s">
        <v>218</v>
      </c>
      <c r="M7" s="581">
        <f>+Q7+U7+Y7+AC7</f>
        <v>2</v>
      </c>
      <c r="N7" s="586"/>
      <c r="O7" s="586">
        <v>1</v>
      </c>
      <c r="P7" s="586"/>
      <c r="Q7" s="584">
        <f>SUM(N7:P7)</f>
        <v>1</v>
      </c>
      <c r="R7" s="586"/>
      <c r="S7" s="586"/>
      <c r="T7" s="586"/>
      <c r="U7" s="580">
        <f>SUM(R7:T7)</f>
        <v>0</v>
      </c>
      <c r="V7" s="586"/>
      <c r="W7" s="586">
        <v>1</v>
      </c>
      <c r="X7" s="586"/>
      <c r="Y7" s="580">
        <f>SUM(V7:X7)</f>
        <v>1</v>
      </c>
      <c r="Z7" s="586"/>
      <c r="AA7" s="586"/>
      <c r="AB7" s="586"/>
      <c r="AC7" s="580">
        <f>SUM(Z7:AB7)</f>
        <v>0</v>
      </c>
    </row>
    <row r="8" spans="1:31" s="228" customFormat="1" ht="15.75" customHeight="1">
      <c r="A8" s="709"/>
      <c r="B8" s="859" t="s">
        <v>38</v>
      </c>
      <c r="C8" s="336"/>
      <c r="D8" s="335"/>
      <c r="E8" s="855" t="s">
        <v>629</v>
      </c>
      <c r="F8" s="855"/>
      <c r="G8" s="855"/>
      <c r="H8" s="855"/>
      <c r="I8" s="855"/>
      <c r="J8" s="855"/>
      <c r="K8" s="655"/>
      <c r="L8" s="576"/>
      <c r="M8" s="577">
        <f>+Q8+U8+Y8+AC8</f>
        <v>28</v>
      </c>
      <c r="N8" s="592">
        <f>SUM(N9:N10)</f>
        <v>1</v>
      </c>
      <c r="O8" s="592">
        <f>SUM(O9:O10)</f>
        <v>5</v>
      </c>
      <c r="P8" s="592">
        <f>SUM(P9:P10)</f>
        <v>3</v>
      </c>
      <c r="Q8" s="577">
        <f>SUM(N8:P8)</f>
        <v>9</v>
      </c>
      <c r="R8" s="592">
        <f>SUM(R9:R10)</f>
        <v>3</v>
      </c>
      <c r="S8" s="592">
        <f aca="true" t="shared" si="0" ref="S8:AB8">SUM(S9:S10)</f>
        <v>3</v>
      </c>
      <c r="T8" s="592">
        <f t="shared" si="0"/>
        <v>2</v>
      </c>
      <c r="U8" s="577">
        <f>SUM(R8:T8)</f>
        <v>8</v>
      </c>
      <c r="V8" s="592">
        <f t="shared" si="0"/>
        <v>0</v>
      </c>
      <c r="W8" s="592">
        <f t="shared" si="0"/>
        <v>3</v>
      </c>
      <c r="X8" s="592">
        <f t="shared" si="0"/>
        <v>3</v>
      </c>
      <c r="Y8" s="577">
        <f>SUM(V8:X8)</f>
        <v>6</v>
      </c>
      <c r="Z8" s="592">
        <f t="shared" si="0"/>
        <v>3</v>
      </c>
      <c r="AA8" s="592">
        <f t="shared" si="0"/>
        <v>1</v>
      </c>
      <c r="AB8" s="592">
        <f t="shared" si="0"/>
        <v>1</v>
      </c>
      <c r="AC8" s="577">
        <f>SUM(Z8:AB8)</f>
        <v>5</v>
      </c>
      <c r="AD8" s="334"/>
      <c r="AE8" s="340"/>
    </row>
    <row r="9" spans="2:29" ht="30" customHeight="1">
      <c r="B9" s="859"/>
      <c r="C9" s="28" t="s">
        <v>632</v>
      </c>
      <c r="D9" s="200">
        <v>2</v>
      </c>
      <c r="E9" s="856" t="s">
        <v>733</v>
      </c>
      <c r="F9" s="856"/>
      <c r="G9" s="856"/>
      <c r="H9" s="856"/>
      <c r="I9" s="578">
        <f>+D9+0.1</f>
        <v>2.1</v>
      </c>
      <c r="J9" s="579" t="s">
        <v>631</v>
      </c>
      <c r="K9" s="656"/>
      <c r="L9" s="582" t="s">
        <v>225</v>
      </c>
      <c r="M9" s="581">
        <f>+Q9+U9+Y9+AC9</f>
        <v>17</v>
      </c>
      <c r="N9" s="582"/>
      <c r="O9" s="582">
        <v>4</v>
      </c>
      <c r="P9" s="582">
        <v>2</v>
      </c>
      <c r="Q9" s="577">
        <f>SUM(N9:P9)</f>
        <v>6</v>
      </c>
      <c r="R9" s="582">
        <v>2</v>
      </c>
      <c r="S9" s="582">
        <v>2</v>
      </c>
      <c r="T9" s="582">
        <v>1</v>
      </c>
      <c r="U9" s="580">
        <f>SUM(R9:T9)</f>
        <v>5</v>
      </c>
      <c r="V9" s="582"/>
      <c r="W9" s="582">
        <v>2</v>
      </c>
      <c r="X9" s="582">
        <v>2</v>
      </c>
      <c r="Y9" s="580">
        <f>SUM(V9:X9)</f>
        <v>4</v>
      </c>
      <c r="Z9" s="582">
        <v>2</v>
      </c>
      <c r="AA9" s="582"/>
      <c r="AB9" s="582"/>
      <c r="AC9" s="580">
        <f>SUM(Z9:AB9)</f>
        <v>2</v>
      </c>
    </row>
    <row r="10" spans="2:29" ht="29.25" customHeight="1">
      <c r="B10" s="859"/>
      <c r="C10" s="28" t="s">
        <v>632</v>
      </c>
      <c r="D10" s="200">
        <v>3</v>
      </c>
      <c r="E10" s="856" t="s">
        <v>734</v>
      </c>
      <c r="F10" s="856"/>
      <c r="G10" s="856"/>
      <c r="H10" s="856"/>
      <c r="I10" s="578">
        <f>+D10+0.1</f>
        <v>3.1</v>
      </c>
      <c r="J10" s="579" t="s">
        <v>634</v>
      </c>
      <c r="K10" s="656"/>
      <c r="L10" s="582" t="s">
        <v>225</v>
      </c>
      <c r="M10" s="581">
        <f>+Q10+U10+Y10+AC10</f>
        <v>11</v>
      </c>
      <c r="N10" s="582">
        <v>1</v>
      </c>
      <c r="O10" s="582">
        <v>1</v>
      </c>
      <c r="P10" s="582">
        <v>1</v>
      </c>
      <c r="Q10" s="577">
        <f>SUM(N10:P10)</f>
        <v>3</v>
      </c>
      <c r="R10" s="582">
        <v>1</v>
      </c>
      <c r="S10" s="582">
        <v>1</v>
      </c>
      <c r="T10" s="582">
        <v>1</v>
      </c>
      <c r="U10" s="580">
        <f aca="true" t="shared" si="1" ref="U10:U73">SUM(R10:T10)</f>
        <v>3</v>
      </c>
      <c r="V10" s="582"/>
      <c r="W10" s="582">
        <v>1</v>
      </c>
      <c r="X10" s="582">
        <v>1</v>
      </c>
      <c r="Y10" s="580">
        <f aca="true" t="shared" si="2" ref="Y10:Y63">SUM(V10:X10)</f>
        <v>2</v>
      </c>
      <c r="Z10" s="582">
        <v>1</v>
      </c>
      <c r="AA10" s="582">
        <v>1</v>
      </c>
      <c r="AB10" s="582">
        <v>1</v>
      </c>
      <c r="AC10" s="580">
        <f aca="true" t="shared" si="3" ref="AC10:AC63">SUM(Z10:AB10)</f>
        <v>3</v>
      </c>
    </row>
    <row r="11" spans="1:31" s="228" customFormat="1" ht="15.75" customHeight="1">
      <c r="A11" s="709"/>
      <c r="B11" s="859"/>
      <c r="C11" s="28"/>
      <c r="D11" s="200"/>
      <c r="E11" s="855" t="s">
        <v>639</v>
      </c>
      <c r="F11" s="855"/>
      <c r="G11" s="855"/>
      <c r="H11" s="855"/>
      <c r="I11" s="855"/>
      <c r="J11" s="855"/>
      <c r="K11" s="655"/>
      <c r="L11" s="577"/>
      <c r="M11" s="577">
        <f aca="true" t="shared" si="4" ref="M11:M28">+Q11+U11+Y11+AC11</f>
        <v>152</v>
      </c>
      <c r="N11" s="577">
        <f>SUM(N12:N28)</f>
        <v>8</v>
      </c>
      <c r="O11" s="577">
        <f aca="true" t="shared" si="5" ref="O11:AC11">SUM(O12:O28)</f>
        <v>15</v>
      </c>
      <c r="P11" s="577">
        <f t="shared" si="5"/>
        <v>13</v>
      </c>
      <c r="Q11" s="577">
        <f t="shared" si="5"/>
        <v>36</v>
      </c>
      <c r="R11" s="577">
        <f t="shared" si="5"/>
        <v>24</v>
      </c>
      <c r="S11" s="577">
        <f t="shared" si="5"/>
        <v>18</v>
      </c>
      <c r="T11" s="577">
        <f t="shared" si="5"/>
        <v>12</v>
      </c>
      <c r="U11" s="577">
        <f t="shared" si="5"/>
        <v>54</v>
      </c>
      <c r="V11" s="577">
        <f t="shared" si="5"/>
        <v>3</v>
      </c>
      <c r="W11" s="577">
        <f t="shared" si="5"/>
        <v>7</v>
      </c>
      <c r="X11" s="577">
        <f t="shared" si="5"/>
        <v>16</v>
      </c>
      <c r="Y11" s="577">
        <f t="shared" si="5"/>
        <v>26</v>
      </c>
      <c r="Z11" s="577">
        <f t="shared" si="5"/>
        <v>16</v>
      </c>
      <c r="AA11" s="577">
        <f t="shared" si="5"/>
        <v>11</v>
      </c>
      <c r="AB11" s="577">
        <f t="shared" si="5"/>
        <v>9</v>
      </c>
      <c r="AC11" s="577">
        <f t="shared" si="5"/>
        <v>36</v>
      </c>
      <c r="AD11" s="334"/>
      <c r="AE11" s="340"/>
    </row>
    <row r="12" spans="2:29" ht="29.25" customHeight="1">
      <c r="B12" s="859"/>
      <c r="C12" s="28">
        <v>2.3</v>
      </c>
      <c r="D12" s="200">
        <v>4</v>
      </c>
      <c r="E12" s="854" t="s">
        <v>644</v>
      </c>
      <c r="F12" s="854"/>
      <c r="G12" s="854"/>
      <c r="H12" s="854"/>
      <c r="I12" s="578">
        <f aca="true" t="shared" si="6" ref="I12:I28">+D12+0.1</f>
        <v>4.1</v>
      </c>
      <c r="J12" s="579" t="s">
        <v>237</v>
      </c>
      <c r="K12" s="656"/>
      <c r="L12" s="582" t="s">
        <v>231</v>
      </c>
      <c r="M12" s="581">
        <f t="shared" si="4"/>
        <v>12</v>
      </c>
      <c r="N12" s="582">
        <v>1</v>
      </c>
      <c r="O12" s="582">
        <v>1</v>
      </c>
      <c r="P12" s="582">
        <v>1</v>
      </c>
      <c r="Q12" s="580">
        <f>SUM(N12:P12)</f>
        <v>3</v>
      </c>
      <c r="R12" s="582">
        <v>1</v>
      </c>
      <c r="S12" s="582">
        <v>1</v>
      </c>
      <c r="T12" s="582">
        <v>1</v>
      </c>
      <c r="U12" s="580">
        <f t="shared" si="1"/>
        <v>3</v>
      </c>
      <c r="V12" s="582">
        <v>1</v>
      </c>
      <c r="W12" s="582">
        <v>1</v>
      </c>
      <c r="X12" s="582">
        <v>1</v>
      </c>
      <c r="Y12" s="580">
        <f t="shared" si="2"/>
        <v>3</v>
      </c>
      <c r="Z12" s="582">
        <v>1</v>
      </c>
      <c r="AA12" s="582">
        <v>1</v>
      </c>
      <c r="AB12" s="582">
        <v>1</v>
      </c>
      <c r="AC12" s="580">
        <f t="shared" si="3"/>
        <v>3</v>
      </c>
    </row>
    <row r="13" spans="2:29" ht="29.25" customHeight="1">
      <c r="B13" s="859"/>
      <c r="C13" s="28"/>
      <c r="D13" s="200">
        <v>5</v>
      </c>
      <c r="E13" s="854" t="s">
        <v>238</v>
      </c>
      <c r="F13" s="854"/>
      <c r="G13" s="854"/>
      <c r="H13" s="854"/>
      <c r="I13" s="578"/>
      <c r="J13" s="579" t="s">
        <v>763</v>
      </c>
      <c r="K13" s="656"/>
      <c r="L13" s="582" t="s">
        <v>228</v>
      </c>
      <c r="M13" s="581">
        <f t="shared" si="4"/>
        <v>2</v>
      </c>
      <c r="N13" s="582"/>
      <c r="O13" s="582"/>
      <c r="P13" s="582"/>
      <c r="Q13" s="580">
        <f aca="true" t="shared" si="7" ref="Q13:Q28">SUM(N13:P13)</f>
        <v>0</v>
      </c>
      <c r="R13" s="582"/>
      <c r="S13" s="582">
        <v>1</v>
      </c>
      <c r="T13" s="582"/>
      <c r="U13" s="580">
        <f t="shared" si="1"/>
        <v>1</v>
      </c>
      <c r="V13" s="582"/>
      <c r="W13" s="582"/>
      <c r="X13" s="582"/>
      <c r="Y13" s="580">
        <f t="shared" si="2"/>
        <v>0</v>
      </c>
      <c r="Z13" s="582"/>
      <c r="AA13" s="582">
        <v>1</v>
      </c>
      <c r="AB13" s="582"/>
      <c r="AC13" s="580">
        <f t="shared" si="3"/>
        <v>1</v>
      </c>
    </row>
    <row r="14" spans="2:29" ht="29.25" customHeight="1">
      <c r="B14" s="859"/>
      <c r="C14" s="28">
        <v>2.3</v>
      </c>
      <c r="D14" s="200">
        <v>6</v>
      </c>
      <c r="E14" s="854" t="s">
        <v>643</v>
      </c>
      <c r="F14" s="854"/>
      <c r="G14" s="854"/>
      <c r="H14" s="854"/>
      <c r="I14" s="578">
        <f>+D14+0.1</f>
        <v>6.1</v>
      </c>
      <c r="J14" s="579" t="s">
        <v>646</v>
      </c>
      <c r="K14" s="656"/>
      <c r="L14" s="582" t="s">
        <v>638</v>
      </c>
      <c r="M14" s="581">
        <f t="shared" si="4"/>
        <v>6</v>
      </c>
      <c r="N14" s="582"/>
      <c r="O14" s="582">
        <v>2</v>
      </c>
      <c r="P14" s="582">
        <v>1</v>
      </c>
      <c r="Q14" s="580">
        <f t="shared" si="7"/>
        <v>3</v>
      </c>
      <c r="R14" s="582">
        <v>1</v>
      </c>
      <c r="S14" s="582"/>
      <c r="T14" s="582"/>
      <c r="U14" s="580">
        <f t="shared" si="1"/>
        <v>1</v>
      </c>
      <c r="V14" s="582"/>
      <c r="W14" s="582"/>
      <c r="X14" s="582">
        <v>1</v>
      </c>
      <c r="Y14" s="580">
        <f t="shared" si="2"/>
        <v>1</v>
      </c>
      <c r="Z14" s="582">
        <v>1</v>
      </c>
      <c r="AA14" s="582"/>
      <c r="AB14" s="582"/>
      <c r="AC14" s="580">
        <f t="shared" si="3"/>
        <v>1</v>
      </c>
    </row>
    <row r="15" spans="2:29" ht="29.25" customHeight="1">
      <c r="B15" s="859"/>
      <c r="C15" s="28">
        <v>4.4</v>
      </c>
      <c r="D15" s="200">
        <v>7</v>
      </c>
      <c r="E15" s="854" t="s">
        <v>277</v>
      </c>
      <c r="F15" s="854"/>
      <c r="G15" s="854"/>
      <c r="H15" s="854"/>
      <c r="I15" s="578">
        <f t="shared" si="6"/>
        <v>7.1</v>
      </c>
      <c r="J15" s="579" t="s">
        <v>764</v>
      </c>
      <c r="K15" s="656"/>
      <c r="L15" s="582" t="s">
        <v>551</v>
      </c>
      <c r="M15" s="581">
        <f t="shared" si="4"/>
        <v>8</v>
      </c>
      <c r="N15" s="582"/>
      <c r="O15" s="582"/>
      <c r="P15" s="582"/>
      <c r="Q15" s="580">
        <f t="shared" si="7"/>
        <v>0</v>
      </c>
      <c r="R15" s="582">
        <v>4</v>
      </c>
      <c r="S15" s="582">
        <v>4</v>
      </c>
      <c r="T15" s="582"/>
      <c r="U15" s="580">
        <f t="shared" si="1"/>
        <v>8</v>
      </c>
      <c r="V15" s="582"/>
      <c r="W15" s="582"/>
      <c r="X15" s="582"/>
      <c r="Y15" s="580">
        <f t="shared" si="2"/>
        <v>0</v>
      </c>
      <c r="Z15" s="582"/>
      <c r="AA15" s="582"/>
      <c r="AB15" s="582"/>
      <c r="AC15" s="580">
        <f t="shared" si="3"/>
        <v>0</v>
      </c>
    </row>
    <row r="16" spans="2:29" ht="29.25" customHeight="1">
      <c r="B16" s="859"/>
      <c r="C16" s="28" t="s">
        <v>648</v>
      </c>
      <c r="D16" s="200">
        <v>8</v>
      </c>
      <c r="E16" s="854" t="s">
        <v>649</v>
      </c>
      <c r="F16" s="854"/>
      <c r="G16" s="854"/>
      <c r="H16" s="854"/>
      <c r="I16" s="578">
        <f t="shared" si="6"/>
        <v>8.1</v>
      </c>
      <c r="J16" s="579" t="s">
        <v>647</v>
      </c>
      <c r="K16" s="656"/>
      <c r="L16" s="582" t="s">
        <v>225</v>
      </c>
      <c r="M16" s="581">
        <f t="shared" si="4"/>
        <v>2</v>
      </c>
      <c r="N16" s="582">
        <v>1</v>
      </c>
      <c r="O16" s="582"/>
      <c r="P16" s="582"/>
      <c r="Q16" s="580">
        <f t="shared" si="7"/>
        <v>1</v>
      </c>
      <c r="R16" s="582"/>
      <c r="S16" s="582"/>
      <c r="T16" s="582"/>
      <c r="U16" s="580">
        <f t="shared" si="1"/>
        <v>0</v>
      </c>
      <c r="V16" s="582"/>
      <c r="W16" s="582">
        <v>1</v>
      </c>
      <c r="X16" s="582"/>
      <c r="Y16" s="580">
        <f t="shared" si="2"/>
        <v>1</v>
      </c>
      <c r="Z16" s="582"/>
      <c r="AA16" s="582"/>
      <c r="AB16" s="582"/>
      <c r="AC16" s="580">
        <f t="shared" si="3"/>
        <v>0</v>
      </c>
    </row>
    <row r="17" spans="2:29" ht="29.25" customHeight="1">
      <c r="B17" s="859"/>
      <c r="C17" s="28"/>
      <c r="D17" s="200">
        <v>9</v>
      </c>
      <c r="E17" s="854" t="s">
        <v>735</v>
      </c>
      <c r="F17" s="854"/>
      <c r="G17" s="854"/>
      <c r="H17" s="854"/>
      <c r="I17" s="578">
        <f t="shared" si="6"/>
        <v>9.1</v>
      </c>
      <c r="J17" s="579" t="s">
        <v>766</v>
      </c>
      <c r="K17" s="656"/>
      <c r="L17" s="582" t="s">
        <v>69</v>
      </c>
      <c r="M17" s="581">
        <f t="shared" si="4"/>
        <v>8</v>
      </c>
      <c r="N17" s="582"/>
      <c r="O17" s="582">
        <v>1</v>
      </c>
      <c r="P17" s="582">
        <v>1</v>
      </c>
      <c r="Q17" s="580">
        <f t="shared" si="7"/>
        <v>2</v>
      </c>
      <c r="R17" s="582">
        <v>1</v>
      </c>
      <c r="S17" s="582">
        <v>1</v>
      </c>
      <c r="T17" s="582">
        <v>1</v>
      </c>
      <c r="U17" s="580">
        <f t="shared" si="1"/>
        <v>3</v>
      </c>
      <c r="V17" s="582"/>
      <c r="W17" s="582"/>
      <c r="X17" s="582">
        <v>1</v>
      </c>
      <c r="Y17" s="580">
        <f t="shared" si="2"/>
        <v>1</v>
      </c>
      <c r="Z17" s="582">
        <v>1</v>
      </c>
      <c r="AA17" s="582">
        <v>1</v>
      </c>
      <c r="AB17" s="582"/>
      <c r="AC17" s="580">
        <f t="shared" si="3"/>
        <v>2</v>
      </c>
    </row>
    <row r="18" spans="2:29" ht="29.25" customHeight="1">
      <c r="B18" s="859"/>
      <c r="C18" s="28"/>
      <c r="D18" s="200">
        <v>10</v>
      </c>
      <c r="E18" s="854" t="s">
        <v>736</v>
      </c>
      <c r="F18" s="854"/>
      <c r="G18" s="854"/>
      <c r="H18" s="854"/>
      <c r="I18" s="578">
        <f t="shared" si="6"/>
        <v>10.1</v>
      </c>
      <c r="J18" s="579" t="s">
        <v>278</v>
      </c>
      <c r="K18" s="656"/>
      <c r="L18" s="582" t="s">
        <v>769</v>
      </c>
      <c r="M18" s="581">
        <f t="shared" si="4"/>
        <v>7</v>
      </c>
      <c r="N18" s="582">
        <v>1</v>
      </c>
      <c r="O18" s="582">
        <v>1</v>
      </c>
      <c r="P18" s="582"/>
      <c r="Q18" s="580">
        <f t="shared" si="7"/>
        <v>2</v>
      </c>
      <c r="R18" s="582">
        <v>1</v>
      </c>
      <c r="S18" s="582">
        <v>1</v>
      </c>
      <c r="T18" s="582"/>
      <c r="U18" s="580">
        <f t="shared" si="1"/>
        <v>2</v>
      </c>
      <c r="V18" s="582"/>
      <c r="W18" s="582">
        <v>1</v>
      </c>
      <c r="X18" s="582">
        <v>1</v>
      </c>
      <c r="Y18" s="580">
        <f t="shared" si="2"/>
        <v>2</v>
      </c>
      <c r="Z18" s="582">
        <v>1</v>
      </c>
      <c r="AA18" s="582"/>
      <c r="AB18" s="582"/>
      <c r="AC18" s="580">
        <f t="shared" si="3"/>
        <v>1</v>
      </c>
    </row>
    <row r="19" spans="2:29" ht="51">
      <c r="B19" s="859"/>
      <c r="C19" s="28"/>
      <c r="D19" s="200">
        <v>11</v>
      </c>
      <c r="E19" s="854" t="s">
        <v>65</v>
      </c>
      <c r="F19" s="854"/>
      <c r="G19" s="854"/>
      <c r="H19" s="854"/>
      <c r="I19" s="578">
        <f t="shared" si="6"/>
        <v>11.1</v>
      </c>
      <c r="J19" s="579" t="s">
        <v>279</v>
      </c>
      <c r="K19" s="656"/>
      <c r="L19" s="582" t="s">
        <v>224</v>
      </c>
      <c r="M19" s="581">
        <f t="shared" si="4"/>
        <v>8</v>
      </c>
      <c r="N19" s="582"/>
      <c r="O19" s="582">
        <v>1</v>
      </c>
      <c r="P19" s="582">
        <v>1</v>
      </c>
      <c r="Q19" s="580">
        <f t="shared" si="7"/>
        <v>2</v>
      </c>
      <c r="R19" s="582">
        <v>1</v>
      </c>
      <c r="S19" s="582">
        <v>1</v>
      </c>
      <c r="T19" s="582">
        <v>1</v>
      </c>
      <c r="U19" s="580">
        <f t="shared" si="1"/>
        <v>3</v>
      </c>
      <c r="V19" s="582"/>
      <c r="W19" s="582"/>
      <c r="X19" s="582">
        <v>1</v>
      </c>
      <c r="Y19" s="580">
        <f t="shared" si="2"/>
        <v>1</v>
      </c>
      <c r="Z19" s="582">
        <v>1</v>
      </c>
      <c r="AA19" s="582">
        <v>1</v>
      </c>
      <c r="AB19" s="582"/>
      <c r="AC19" s="580">
        <f t="shared" si="3"/>
        <v>2</v>
      </c>
    </row>
    <row r="20" spans="2:29" ht="29.25" customHeight="1">
      <c r="B20" s="859"/>
      <c r="C20" s="28">
        <v>1.4</v>
      </c>
      <c r="D20" s="200">
        <v>12</v>
      </c>
      <c r="E20" s="854" t="s">
        <v>737</v>
      </c>
      <c r="F20" s="854"/>
      <c r="G20" s="854"/>
      <c r="H20" s="854"/>
      <c r="I20" s="578">
        <f t="shared" si="6"/>
        <v>12.1</v>
      </c>
      <c r="J20" s="579" t="s">
        <v>72</v>
      </c>
      <c r="K20" s="656"/>
      <c r="L20" s="582" t="s">
        <v>231</v>
      </c>
      <c r="M20" s="581">
        <f t="shared" si="4"/>
        <v>13</v>
      </c>
      <c r="N20" s="582">
        <v>1</v>
      </c>
      <c r="O20" s="582">
        <v>2</v>
      </c>
      <c r="P20" s="582">
        <v>2</v>
      </c>
      <c r="Q20" s="580">
        <f t="shared" si="7"/>
        <v>5</v>
      </c>
      <c r="R20" s="582">
        <v>1</v>
      </c>
      <c r="S20" s="582">
        <v>1</v>
      </c>
      <c r="T20" s="582">
        <v>1</v>
      </c>
      <c r="U20" s="580">
        <f t="shared" si="1"/>
        <v>3</v>
      </c>
      <c r="V20" s="582"/>
      <c r="W20" s="582">
        <v>1</v>
      </c>
      <c r="X20" s="582">
        <v>1</v>
      </c>
      <c r="Y20" s="580">
        <f t="shared" si="2"/>
        <v>2</v>
      </c>
      <c r="Z20" s="582">
        <v>1</v>
      </c>
      <c r="AA20" s="582">
        <v>1</v>
      </c>
      <c r="AB20" s="582">
        <v>1</v>
      </c>
      <c r="AC20" s="580">
        <f t="shared" si="3"/>
        <v>3</v>
      </c>
    </row>
    <row r="21" spans="2:29" ht="51.75" customHeight="1">
      <c r="B21" s="859"/>
      <c r="C21" s="28">
        <v>8.2</v>
      </c>
      <c r="D21" s="200">
        <v>13</v>
      </c>
      <c r="E21" s="854" t="s">
        <v>657</v>
      </c>
      <c r="F21" s="857"/>
      <c r="G21" s="857"/>
      <c r="H21" s="857"/>
      <c r="I21" s="578">
        <f t="shared" si="6"/>
        <v>13.1</v>
      </c>
      <c r="J21" s="579" t="s">
        <v>280</v>
      </c>
      <c r="K21" s="656"/>
      <c r="L21" s="582" t="s">
        <v>228</v>
      </c>
      <c r="M21" s="581">
        <f t="shared" si="4"/>
        <v>24</v>
      </c>
      <c r="N21" s="582"/>
      <c r="O21" s="582"/>
      <c r="P21" s="582">
        <v>3</v>
      </c>
      <c r="Q21" s="580">
        <f t="shared" si="7"/>
        <v>3</v>
      </c>
      <c r="R21" s="582">
        <v>8</v>
      </c>
      <c r="S21" s="582">
        <v>4</v>
      </c>
      <c r="T21" s="582">
        <v>2</v>
      </c>
      <c r="U21" s="580">
        <f t="shared" si="1"/>
        <v>14</v>
      </c>
      <c r="V21" s="582"/>
      <c r="W21" s="582">
        <v>0</v>
      </c>
      <c r="X21" s="582">
        <v>0</v>
      </c>
      <c r="Y21" s="580">
        <f t="shared" si="2"/>
        <v>0</v>
      </c>
      <c r="Z21" s="582">
        <v>3</v>
      </c>
      <c r="AA21" s="582">
        <v>2</v>
      </c>
      <c r="AB21" s="582">
        <v>2</v>
      </c>
      <c r="AC21" s="580">
        <f t="shared" si="3"/>
        <v>7</v>
      </c>
    </row>
    <row r="22" spans="2:29" ht="29.25" customHeight="1">
      <c r="B22" s="859"/>
      <c r="C22" s="28">
        <v>8</v>
      </c>
      <c r="D22" s="200">
        <v>14</v>
      </c>
      <c r="E22" s="854" t="s">
        <v>770</v>
      </c>
      <c r="F22" s="854"/>
      <c r="G22" s="854"/>
      <c r="H22" s="854"/>
      <c r="I22" s="578">
        <f t="shared" si="6"/>
        <v>14.1</v>
      </c>
      <c r="J22" s="579" t="s">
        <v>771</v>
      </c>
      <c r="K22" s="656"/>
      <c r="L22" s="582" t="s">
        <v>228</v>
      </c>
      <c r="M22" s="581">
        <f t="shared" si="4"/>
        <v>11</v>
      </c>
      <c r="N22" s="582"/>
      <c r="O22" s="582">
        <v>3</v>
      </c>
      <c r="P22" s="582"/>
      <c r="Q22" s="580">
        <f t="shared" si="7"/>
        <v>3</v>
      </c>
      <c r="R22" s="582"/>
      <c r="S22" s="582"/>
      <c r="T22" s="582">
        <v>1</v>
      </c>
      <c r="U22" s="580">
        <f t="shared" si="1"/>
        <v>1</v>
      </c>
      <c r="V22" s="582"/>
      <c r="W22" s="582"/>
      <c r="X22" s="582">
        <v>4</v>
      </c>
      <c r="Y22" s="580">
        <f t="shared" si="2"/>
        <v>4</v>
      </c>
      <c r="Z22" s="582">
        <v>2</v>
      </c>
      <c r="AA22" s="582">
        <v>1</v>
      </c>
      <c r="AB22" s="582"/>
      <c r="AC22" s="580">
        <f t="shared" si="3"/>
        <v>3</v>
      </c>
    </row>
    <row r="23" spans="2:29" ht="40.5" customHeight="1">
      <c r="B23" s="859"/>
      <c r="C23" s="28">
        <v>8</v>
      </c>
      <c r="D23" s="200">
        <v>15</v>
      </c>
      <c r="E23" s="854" t="s">
        <v>87</v>
      </c>
      <c r="F23" s="854"/>
      <c r="G23" s="854"/>
      <c r="H23" s="854"/>
      <c r="I23" s="578">
        <f t="shared" si="6"/>
        <v>15.1</v>
      </c>
      <c r="J23" s="579" t="s">
        <v>772</v>
      </c>
      <c r="K23" s="656"/>
      <c r="L23" s="582" t="s">
        <v>69</v>
      </c>
      <c r="M23" s="581">
        <f t="shared" si="4"/>
        <v>10</v>
      </c>
      <c r="N23" s="582">
        <v>1</v>
      </c>
      <c r="O23" s="582">
        <v>1</v>
      </c>
      <c r="P23" s="582"/>
      <c r="Q23" s="580">
        <f t="shared" si="7"/>
        <v>2</v>
      </c>
      <c r="R23" s="582"/>
      <c r="S23" s="582">
        <v>1</v>
      </c>
      <c r="T23" s="582"/>
      <c r="U23" s="580">
        <f t="shared" si="1"/>
        <v>1</v>
      </c>
      <c r="V23" s="582"/>
      <c r="W23" s="582"/>
      <c r="X23" s="582">
        <v>3</v>
      </c>
      <c r="Y23" s="580">
        <f t="shared" si="2"/>
        <v>3</v>
      </c>
      <c r="Z23" s="582">
        <v>2</v>
      </c>
      <c r="AA23" s="582">
        <v>1</v>
      </c>
      <c r="AB23" s="582">
        <v>1</v>
      </c>
      <c r="AC23" s="580">
        <f t="shared" si="3"/>
        <v>4</v>
      </c>
    </row>
    <row r="24" spans="2:29" ht="38.25">
      <c r="B24" s="859"/>
      <c r="C24" s="28">
        <v>3.1</v>
      </c>
      <c r="D24" s="200">
        <v>16</v>
      </c>
      <c r="E24" s="854" t="s">
        <v>773</v>
      </c>
      <c r="F24" s="854"/>
      <c r="G24" s="854"/>
      <c r="H24" s="854"/>
      <c r="I24" s="578">
        <f t="shared" si="6"/>
        <v>16.1</v>
      </c>
      <c r="J24" s="579" t="s">
        <v>774</v>
      </c>
      <c r="K24" s="656"/>
      <c r="L24" s="582" t="s">
        <v>775</v>
      </c>
      <c r="M24" s="581">
        <f t="shared" si="4"/>
        <v>8</v>
      </c>
      <c r="N24" s="582">
        <v>1</v>
      </c>
      <c r="O24" s="582">
        <v>1</v>
      </c>
      <c r="P24" s="582"/>
      <c r="Q24" s="580">
        <f t="shared" si="7"/>
        <v>2</v>
      </c>
      <c r="R24" s="582">
        <v>3</v>
      </c>
      <c r="S24" s="582"/>
      <c r="T24" s="582">
        <v>1</v>
      </c>
      <c r="U24" s="580">
        <f t="shared" si="1"/>
        <v>4</v>
      </c>
      <c r="V24" s="582"/>
      <c r="W24" s="582">
        <v>1</v>
      </c>
      <c r="X24" s="582"/>
      <c r="Y24" s="580">
        <f t="shared" si="2"/>
        <v>1</v>
      </c>
      <c r="Z24" s="582"/>
      <c r="AA24" s="582"/>
      <c r="AB24" s="582">
        <v>1</v>
      </c>
      <c r="AC24" s="580">
        <f t="shared" si="3"/>
        <v>1</v>
      </c>
    </row>
    <row r="25" spans="2:29" ht="54" customHeight="1">
      <c r="B25" s="859"/>
      <c r="C25" s="28">
        <v>3.1</v>
      </c>
      <c r="D25" s="200">
        <v>17</v>
      </c>
      <c r="E25" s="854" t="s">
        <v>239</v>
      </c>
      <c r="F25" s="854"/>
      <c r="G25" s="854"/>
      <c r="H25" s="854"/>
      <c r="I25" s="578">
        <f t="shared" si="6"/>
        <v>17.1</v>
      </c>
      <c r="J25" s="579" t="s">
        <v>281</v>
      </c>
      <c r="K25" s="656"/>
      <c r="L25" s="582" t="s">
        <v>219</v>
      </c>
      <c r="M25" s="581">
        <f t="shared" si="4"/>
        <v>16</v>
      </c>
      <c r="N25" s="582">
        <v>1</v>
      </c>
      <c r="O25" s="582">
        <v>1</v>
      </c>
      <c r="P25" s="582">
        <v>2</v>
      </c>
      <c r="Q25" s="580">
        <f t="shared" si="7"/>
        <v>4</v>
      </c>
      <c r="R25" s="582">
        <v>2</v>
      </c>
      <c r="S25" s="582">
        <v>2</v>
      </c>
      <c r="T25" s="582">
        <v>1</v>
      </c>
      <c r="U25" s="580">
        <f t="shared" si="1"/>
        <v>5</v>
      </c>
      <c r="V25" s="582">
        <v>1</v>
      </c>
      <c r="W25" s="582">
        <v>1</v>
      </c>
      <c r="X25" s="582">
        <v>1</v>
      </c>
      <c r="Y25" s="580">
        <f t="shared" si="2"/>
        <v>3</v>
      </c>
      <c r="Z25" s="582">
        <v>2</v>
      </c>
      <c r="AA25" s="582">
        <v>1</v>
      </c>
      <c r="AB25" s="582">
        <v>1</v>
      </c>
      <c r="AC25" s="580">
        <f t="shared" si="3"/>
        <v>4</v>
      </c>
    </row>
    <row r="26" spans="2:29" ht="29.25" customHeight="1">
      <c r="B26" s="859"/>
      <c r="C26" s="28">
        <v>2.3</v>
      </c>
      <c r="D26" s="200">
        <v>18</v>
      </c>
      <c r="E26" s="854" t="s">
        <v>240</v>
      </c>
      <c r="F26" s="854"/>
      <c r="G26" s="854"/>
      <c r="H26" s="854"/>
      <c r="I26" s="578">
        <f t="shared" si="6"/>
        <v>18.1</v>
      </c>
      <c r="J26" s="579" t="s">
        <v>76</v>
      </c>
      <c r="K26" s="656"/>
      <c r="L26" s="582" t="s">
        <v>231</v>
      </c>
      <c r="M26" s="581">
        <f t="shared" si="4"/>
        <v>12</v>
      </c>
      <c r="N26" s="582">
        <v>1</v>
      </c>
      <c r="O26" s="582">
        <v>1</v>
      </c>
      <c r="P26" s="582">
        <v>1</v>
      </c>
      <c r="Q26" s="580">
        <f t="shared" si="7"/>
        <v>3</v>
      </c>
      <c r="R26" s="582">
        <v>1</v>
      </c>
      <c r="S26" s="582">
        <v>1</v>
      </c>
      <c r="T26" s="582">
        <v>1</v>
      </c>
      <c r="U26" s="580">
        <f t="shared" si="1"/>
        <v>3</v>
      </c>
      <c r="V26" s="582">
        <v>1</v>
      </c>
      <c r="W26" s="582">
        <v>1</v>
      </c>
      <c r="X26" s="582">
        <v>1</v>
      </c>
      <c r="Y26" s="580">
        <f t="shared" si="2"/>
        <v>3</v>
      </c>
      <c r="Z26" s="582">
        <v>1</v>
      </c>
      <c r="AA26" s="582">
        <v>1</v>
      </c>
      <c r="AB26" s="582">
        <v>1</v>
      </c>
      <c r="AC26" s="580">
        <f t="shared" si="3"/>
        <v>3</v>
      </c>
    </row>
    <row r="27" spans="2:29" ht="29.25" customHeight="1">
      <c r="B27" s="859"/>
      <c r="C27" s="28">
        <v>2.3</v>
      </c>
      <c r="D27" s="200">
        <v>19</v>
      </c>
      <c r="E27" s="854" t="s">
        <v>738</v>
      </c>
      <c r="F27" s="854"/>
      <c r="G27" s="854"/>
      <c r="H27" s="854"/>
      <c r="I27" s="578">
        <f t="shared" si="6"/>
        <v>19.1</v>
      </c>
      <c r="J27" s="579" t="s">
        <v>2</v>
      </c>
      <c r="K27" s="656"/>
      <c r="L27" s="582" t="s">
        <v>219</v>
      </c>
      <c r="M27" s="581">
        <f t="shared" si="4"/>
        <v>4</v>
      </c>
      <c r="N27" s="582"/>
      <c r="O27" s="582"/>
      <c r="P27" s="582">
        <v>1</v>
      </c>
      <c r="Q27" s="580">
        <f t="shared" si="7"/>
        <v>1</v>
      </c>
      <c r="R27" s="582"/>
      <c r="S27" s="582"/>
      <c r="T27" s="582">
        <v>1</v>
      </c>
      <c r="U27" s="580">
        <f t="shared" si="1"/>
        <v>1</v>
      </c>
      <c r="V27" s="582"/>
      <c r="W27" s="582"/>
      <c r="X27" s="582">
        <v>1</v>
      </c>
      <c r="Y27" s="580">
        <f t="shared" si="2"/>
        <v>1</v>
      </c>
      <c r="Z27" s="582"/>
      <c r="AA27" s="582"/>
      <c r="AB27" s="582">
        <v>1</v>
      </c>
      <c r="AC27" s="580">
        <f t="shared" si="3"/>
        <v>1</v>
      </c>
    </row>
    <row r="28" spans="2:29" ht="29.25" customHeight="1">
      <c r="B28" s="859"/>
      <c r="C28" s="28">
        <v>2.3</v>
      </c>
      <c r="D28" s="200">
        <v>20</v>
      </c>
      <c r="E28" s="854" t="s">
        <v>81</v>
      </c>
      <c r="F28" s="854"/>
      <c r="G28" s="854"/>
      <c r="H28" s="854"/>
      <c r="I28" s="578">
        <f t="shared" si="6"/>
        <v>20.1</v>
      </c>
      <c r="J28" s="579" t="s">
        <v>82</v>
      </c>
      <c r="K28" s="656"/>
      <c r="L28" s="582" t="s">
        <v>83</v>
      </c>
      <c r="M28" s="581">
        <f t="shared" si="4"/>
        <v>1</v>
      </c>
      <c r="N28" s="582"/>
      <c r="O28" s="582"/>
      <c r="P28" s="582"/>
      <c r="Q28" s="580">
        <f t="shared" si="7"/>
        <v>0</v>
      </c>
      <c r="R28" s="582"/>
      <c r="S28" s="582"/>
      <c r="T28" s="582">
        <v>1</v>
      </c>
      <c r="U28" s="580">
        <f t="shared" si="1"/>
        <v>1</v>
      </c>
      <c r="V28" s="582"/>
      <c r="W28" s="582"/>
      <c r="X28" s="582"/>
      <c r="Y28" s="580">
        <f t="shared" si="2"/>
        <v>0</v>
      </c>
      <c r="Z28" s="582"/>
      <c r="AA28" s="582"/>
      <c r="AB28" s="582"/>
      <c r="AC28" s="580">
        <f t="shared" si="3"/>
        <v>0</v>
      </c>
    </row>
    <row r="29" spans="1:30" s="346" customFormat="1" ht="15.75" customHeight="1">
      <c r="A29" s="709"/>
      <c r="B29" s="859"/>
      <c r="C29" s="28"/>
      <c r="D29" s="200"/>
      <c r="E29" s="855" t="s">
        <v>669</v>
      </c>
      <c r="F29" s="855"/>
      <c r="G29" s="855"/>
      <c r="H29" s="855"/>
      <c r="I29" s="855"/>
      <c r="J29" s="855"/>
      <c r="K29" s="655"/>
      <c r="L29" s="577"/>
      <c r="M29" s="577">
        <f aca="true" t="shared" si="8" ref="M29:M62">+Q29+U29+Y29+AC29</f>
        <v>83</v>
      </c>
      <c r="N29" s="577">
        <f>SUM(N30:N41)</f>
        <v>6</v>
      </c>
      <c r="O29" s="577">
        <f>SUM(O30:O41)</f>
        <v>6</v>
      </c>
      <c r="P29" s="577">
        <f>SUM(P30:P41)</f>
        <v>7</v>
      </c>
      <c r="Q29" s="577">
        <f aca="true" t="shared" si="9" ref="Q29:Q67">SUM(N29:P29)</f>
        <v>19</v>
      </c>
      <c r="R29" s="577">
        <f>SUM(R30:R41)</f>
        <v>10</v>
      </c>
      <c r="S29" s="577">
        <f>SUM(S30:S41)</f>
        <v>8</v>
      </c>
      <c r="T29" s="577">
        <f>SUM(T30:T41)</f>
        <v>6</v>
      </c>
      <c r="U29" s="577">
        <f>+R29+S29+T29</f>
        <v>24</v>
      </c>
      <c r="V29" s="577">
        <f>SUM(V30:V41)</f>
        <v>4</v>
      </c>
      <c r="W29" s="577">
        <f>SUM(W30:W41)</f>
        <v>8</v>
      </c>
      <c r="X29" s="577">
        <f>SUM(X30:X41)</f>
        <v>8</v>
      </c>
      <c r="Y29" s="577">
        <f>+V29+W29+X29</f>
        <v>20</v>
      </c>
      <c r="Z29" s="577">
        <f>SUM(Z30:Z41)</f>
        <v>5</v>
      </c>
      <c r="AA29" s="577">
        <f>SUM(AA30:AA41)</f>
        <v>10</v>
      </c>
      <c r="AB29" s="577">
        <f>SUM(AB30:AB41)</f>
        <v>5</v>
      </c>
      <c r="AC29" s="577">
        <f>+Z29+AA29+AB29</f>
        <v>20</v>
      </c>
      <c r="AD29" s="334"/>
    </row>
    <row r="30" spans="2:29" ht="29.25" customHeight="1">
      <c r="B30" s="859"/>
      <c r="C30" s="28">
        <v>3.1</v>
      </c>
      <c r="D30" s="200"/>
      <c r="E30" s="854" t="s">
        <v>756</v>
      </c>
      <c r="F30" s="854"/>
      <c r="G30" s="854"/>
      <c r="H30" s="854"/>
      <c r="I30" s="578">
        <f>+D30+0.1</f>
        <v>0.1</v>
      </c>
      <c r="J30" s="579" t="s">
        <v>670</v>
      </c>
      <c r="K30" s="656"/>
      <c r="L30" s="582" t="s">
        <v>225</v>
      </c>
      <c r="M30" s="581">
        <f t="shared" si="8"/>
        <v>12</v>
      </c>
      <c r="N30" s="582">
        <v>1</v>
      </c>
      <c r="O30" s="582">
        <v>1</v>
      </c>
      <c r="P30" s="582">
        <v>1</v>
      </c>
      <c r="Q30" s="583">
        <f t="shared" si="9"/>
        <v>3</v>
      </c>
      <c r="R30" s="582">
        <v>1</v>
      </c>
      <c r="S30" s="582">
        <v>1</v>
      </c>
      <c r="T30" s="582">
        <v>1</v>
      </c>
      <c r="U30" s="580">
        <f t="shared" si="1"/>
        <v>3</v>
      </c>
      <c r="V30" s="582">
        <v>1</v>
      </c>
      <c r="W30" s="582">
        <v>1</v>
      </c>
      <c r="X30" s="582">
        <v>1</v>
      </c>
      <c r="Y30" s="580">
        <f t="shared" si="2"/>
        <v>3</v>
      </c>
      <c r="Z30" s="582">
        <v>1</v>
      </c>
      <c r="AA30" s="582">
        <v>1</v>
      </c>
      <c r="AB30" s="582">
        <v>1</v>
      </c>
      <c r="AC30" s="580">
        <f t="shared" si="3"/>
        <v>3</v>
      </c>
    </row>
    <row r="31" spans="2:29" ht="29.25" customHeight="1">
      <c r="B31" s="859"/>
      <c r="C31" s="28"/>
      <c r="D31" s="200">
        <v>21</v>
      </c>
      <c r="E31" s="854"/>
      <c r="F31" s="854"/>
      <c r="G31" s="854"/>
      <c r="H31" s="854"/>
      <c r="I31" s="578">
        <f>+I30+0.1</f>
        <v>0.2</v>
      </c>
      <c r="J31" s="579" t="s">
        <v>757</v>
      </c>
      <c r="K31" s="656"/>
      <c r="L31" s="582" t="s">
        <v>216</v>
      </c>
      <c r="M31" s="581">
        <f t="shared" si="8"/>
        <v>20</v>
      </c>
      <c r="N31" s="582">
        <v>2</v>
      </c>
      <c r="O31" s="582">
        <v>2</v>
      </c>
      <c r="P31" s="582">
        <v>1</v>
      </c>
      <c r="Q31" s="583">
        <f t="shared" si="9"/>
        <v>5</v>
      </c>
      <c r="R31" s="582">
        <v>2</v>
      </c>
      <c r="S31" s="582">
        <v>2</v>
      </c>
      <c r="T31" s="582">
        <v>2</v>
      </c>
      <c r="U31" s="580">
        <f t="shared" si="1"/>
        <v>6</v>
      </c>
      <c r="V31" s="582">
        <v>0</v>
      </c>
      <c r="W31" s="582">
        <v>2</v>
      </c>
      <c r="X31" s="582">
        <v>2</v>
      </c>
      <c r="Y31" s="580">
        <f t="shared" si="2"/>
        <v>4</v>
      </c>
      <c r="Z31" s="582">
        <v>2</v>
      </c>
      <c r="AA31" s="582">
        <v>2</v>
      </c>
      <c r="AB31" s="582">
        <v>1</v>
      </c>
      <c r="AC31" s="580">
        <f t="shared" si="3"/>
        <v>5</v>
      </c>
    </row>
    <row r="32" spans="2:29" ht="30" customHeight="1">
      <c r="B32" s="859"/>
      <c r="C32" s="15">
        <v>3.1</v>
      </c>
      <c r="D32" s="200">
        <v>22</v>
      </c>
      <c r="E32" s="854" t="s">
        <v>781</v>
      </c>
      <c r="F32" s="854"/>
      <c r="G32" s="854"/>
      <c r="H32" s="854"/>
      <c r="I32" s="578">
        <f aca="true" t="shared" si="10" ref="I32:I41">+D32+0.1</f>
        <v>22.1</v>
      </c>
      <c r="J32" s="579" t="s">
        <v>782</v>
      </c>
      <c r="K32" s="656"/>
      <c r="L32" s="582" t="s">
        <v>225</v>
      </c>
      <c r="M32" s="581">
        <f t="shared" si="8"/>
        <v>12</v>
      </c>
      <c r="N32" s="582">
        <v>1</v>
      </c>
      <c r="O32" s="582">
        <v>1</v>
      </c>
      <c r="P32" s="582">
        <v>1</v>
      </c>
      <c r="Q32" s="584">
        <f t="shared" si="9"/>
        <v>3</v>
      </c>
      <c r="R32" s="582">
        <v>1</v>
      </c>
      <c r="S32" s="582">
        <v>1</v>
      </c>
      <c r="T32" s="582">
        <v>1</v>
      </c>
      <c r="U32" s="580">
        <f t="shared" si="1"/>
        <v>3</v>
      </c>
      <c r="V32" s="582">
        <v>1</v>
      </c>
      <c r="W32" s="582">
        <v>1</v>
      </c>
      <c r="X32" s="582">
        <v>1</v>
      </c>
      <c r="Y32" s="580">
        <f t="shared" si="2"/>
        <v>3</v>
      </c>
      <c r="Z32" s="582">
        <v>1</v>
      </c>
      <c r="AA32" s="582">
        <v>1</v>
      </c>
      <c r="AB32" s="582">
        <v>1</v>
      </c>
      <c r="AC32" s="580">
        <f t="shared" si="3"/>
        <v>3</v>
      </c>
    </row>
    <row r="33" spans="2:29" ht="85.5" customHeight="1">
      <c r="B33" s="859"/>
      <c r="C33" s="15">
        <v>3.1</v>
      </c>
      <c r="D33" s="200">
        <v>23</v>
      </c>
      <c r="E33" s="854" t="s">
        <v>282</v>
      </c>
      <c r="F33" s="854"/>
      <c r="G33" s="854"/>
      <c r="H33" s="854"/>
      <c r="I33" s="578">
        <f t="shared" si="10"/>
        <v>23.1</v>
      </c>
      <c r="J33" s="579" t="s">
        <v>283</v>
      </c>
      <c r="K33" s="656"/>
      <c r="L33" s="582" t="s">
        <v>219</v>
      </c>
      <c r="M33" s="581">
        <f t="shared" si="8"/>
        <v>9</v>
      </c>
      <c r="N33" s="582"/>
      <c r="O33" s="582"/>
      <c r="P33" s="582">
        <v>2</v>
      </c>
      <c r="Q33" s="584">
        <f t="shared" si="9"/>
        <v>2</v>
      </c>
      <c r="R33" s="582">
        <v>2</v>
      </c>
      <c r="S33" s="582"/>
      <c r="T33" s="582"/>
      <c r="U33" s="580">
        <f t="shared" si="1"/>
        <v>2</v>
      </c>
      <c r="V33" s="582"/>
      <c r="W33" s="582">
        <v>2</v>
      </c>
      <c r="X33" s="582">
        <v>1</v>
      </c>
      <c r="Y33" s="580">
        <f t="shared" si="2"/>
        <v>3</v>
      </c>
      <c r="Z33" s="582"/>
      <c r="AA33" s="582">
        <v>1</v>
      </c>
      <c r="AB33" s="582">
        <v>1</v>
      </c>
      <c r="AC33" s="580">
        <f t="shared" si="3"/>
        <v>2</v>
      </c>
    </row>
    <row r="34" spans="2:29" ht="30" customHeight="1">
      <c r="B34" s="859"/>
      <c r="C34" s="15">
        <v>3.1</v>
      </c>
      <c r="D34" s="200">
        <v>24</v>
      </c>
      <c r="E34" s="854" t="s">
        <v>704</v>
      </c>
      <c r="F34" s="854"/>
      <c r="G34" s="854"/>
      <c r="H34" s="854"/>
      <c r="I34" s="578">
        <f t="shared" si="10"/>
        <v>24.1</v>
      </c>
      <c r="J34" s="579" t="s">
        <v>705</v>
      </c>
      <c r="K34" s="656"/>
      <c r="L34" s="582" t="s">
        <v>216</v>
      </c>
      <c r="M34" s="581">
        <f t="shared" si="8"/>
        <v>2</v>
      </c>
      <c r="N34" s="582"/>
      <c r="O34" s="582"/>
      <c r="P34" s="582"/>
      <c r="Q34" s="584">
        <f t="shared" si="9"/>
        <v>0</v>
      </c>
      <c r="R34" s="582"/>
      <c r="S34" s="582">
        <v>1</v>
      </c>
      <c r="T34" s="582"/>
      <c r="U34" s="580">
        <f t="shared" si="1"/>
        <v>1</v>
      </c>
      <c r="V34" s="582"/>
      <c r="W34" s="582"/>
      <c r="X34" s="582"/>
      <c r="Y34" s="580">
        <f t="shared" si="2"/>
        <v>0</v>
      </c>
      <c r="Z34" s="582"/>
      <c r="AA34" s="582">
        <v>1</v>
      </c>
      <c r="AB34" s="582"/>
      <c r="AC34" s="580">
        <f t="shared" si="3"/>
        <v>1</v>
      </c>
    </row>
    <row r="35" spans="2:29" ht="41.25" customHeight="1">
      <c r="B35" s="859"/>
      <c r="C35" s="15">
        <v>3.1</v>
      </c>
      <c r="D35" s="200">
        <v>25</v>
      </c>
      <c r="E35" s="854" t="s">
        <v>676</v>
      </c>
      <c r="F35" s="854"/>
      <c r="G35" s="854"/>
      <c r="H35" s="854"/>
      <c r="I35" s="578">
        <f t="shared" si="10"/>
        <v>25.1</v>
      </c>
      <c r="J35" s="579" t="s">
        <v>284</v>
      </c>
      <c r="K35" s="656"/>
      <c r="L35" s="582" t="s">
        <v>216</v>
      </c>
      <c r="M35" s="581">
        <f t="shared" si="8"/>
        <v>8</v>
      </c>
      <c r="N35" s="582">
        <v>1</v>
      </c>
      <c r="O35" s="582"/>
      <c r="P35" s="582">
        <v>1</v>
      </c>
      <c r="Q35" s="584">
        <f t="shared" si="9"/>
        <v>2</v>
      </c>
      <c r="R35" s="582">
        <v>1</v>
      </c>
      <c r="S35" s="582">
        <v>1</v>
      </c>
      <c r="T35" s="582"/>
      <c r="U35" s="580">
        <f t="shared" si="1"/>
        <v>2</v>
      </c>
      <c r="V35" s="582">
        <v>1</v>
      </c>
      <c r="W35" s="582"/>
      <c r="X35" s="582">
        <v>1</v>
      </c>
      <c r="Y35" s="580">
        <f t="shared" si="2"/>
        <v>2</v>
      </c>
      <c r="Z35" s="582"/>
      <c r="AA35" s="582">
        <v>2</v>
      </c>
      <c r="AB35" s="582"/>
      <c r="AC35" s="580">
        <f t="shared" si="3"/>
        <v>2</v>
      </c>
    </row>
    <row r="36" spans="2:29" ht="30" customHeight="1">
      <c r="B36" s="859"/>
      <c r="C36" s="15">
        <v>3.1</v>
      </c>
      <c r="D36" s="200">
        <v>26</v>
      </c>
      <c r="E36" s="854" t="s">
        <v>309</v>
      </c>
      <c r="F36" s="854"/>
      <c r="G36" s="854"/>
      <c r="H36" s="854"/>
      <c r="I36" s="578">
        <f t="shared" si="10"/>
        <v>26.1</v>
      </c>
      <c r="J36" s="579" t="s">
        <v>730</v>
      </c>
      <c r="K36" s="656"/>
      <c r="L36" s="582" t="s">
        <v>231</v>
      </c>
      <c r="M36" s="581">
        <f t="shared" si="8"/>
        <v>13</v>
      </c>
      <c r="N36" s="582">
        <v>1</v>
      </c>
      <c r="O36" s="582">
        <v>1</v>
      </c>
      <c r="P36" s="582">
        <v>1</v>
      </c>
      <c r="Q36" s="584">
        <f t="shared" si="9"/>
        <v>3</v>
      </c>
      <c r="R36" s="582">
        <v>1</v>
      </c>
      <c r="S36" s="582">
        <v>1</v>
      </c>
      <c r="T36" s="582">
        <v>1</v>
      </c>
      <c r="U36" s="580">
        <f t="shared" si="1"/>
        <v>3</v>
      </c>
      <c r="V36" s="582">
        <v>1</v>
      </c>
      <c r="W36" s="582">
        <v>1</v>
      </c>
      <c r="X36" s="582">
        <v>2</v>
      </c>
      <c r="Y36" s="580">
        <f t="shared" si="2"/>
        <v>4</v>
      </c>
      <c r="Z36" s="582">
        <v>1</v>
      </c>
      <c r="AA36" s="582">
        <v>1</v>
      </c>
      <c r="AB36" s="582">
        <v>1</v>
      </c>
      <c r="AC36" s="580">
        <f t="shared" si="3"/>
        <v>3</v>
      </c>
    </row>
    <row r="37" spans="2:29" ht="30" customHeight="1">
      <c r="B37" s="859"/>
      <c r="C37" s="15">
        <v>3.1</v>
      </c>
      <c r="D37" s="200">
        <v>27</v>
      </c>
      <c r="E37" s="861" t="s">
        <v>707</v>
      </c>
      <c r="F37" s="861"/>
      <c r="G37" s="861"/>
      <c r="H37" s="861"/>
      <c r="I37" s="578">
        <f t="shared" si="10"/>
        <v>27.1</v>
      </c>
      <c r="J37" s="579" t="s">
        <v>708</v>
      </c>
      <c r="K37" s="656"/>
      <c r="L37" s="582" t="s">
        <v>508</v>
      </c>
      <c r="M37" s="581">
        <f t="shared" si="8"/>
        <v>1</v>
      </c>
      <c r="N37" s="582"/>
      <c r="O37" s="582"/>
      <c r="P37" s="582"/>
      <c r="Q37" s="584">
        <f t="shared" si="9"/>
        <v>0</v>
      </c>
      <c r="R37" s="582"/>
      <c r="S37" s="582">
        <v>1</v>
      </c>
      <c r="T37" s="582"/>
      <c r="U37" s="580">
        <f t="shared" si="1"/>
        <v>1</v>
      </c>
      <c r="V37" s="582"/>
      <c r="W37" s="582"/>
      <c r="X37" s="582"/>
      <c r="Y37" s="580">
        <f t="shared" si="2"/>
        <v>0</v>
      </c>
      <c r="Z37" s="582"/>
      <c r="AA37" s="582"/>
      <c r="AB37" s="582"/>
      <c r="AC37" s="580">
        <f t="shared" si="3"/>
        <v>0</v>
      </c>
    </row>
    <row r="38" spans="2:29" ht="30" customHeight="1">
      <c r="B38" s="859"/>
      <c r="C38" s="15">
        <v>3.1</v>
      </c>
      <c r="D38" s="200">
        <v>28</v>
      </c>
      <c r="E38" s="861" t="s">
        <v>759</v>
      </c>
      <c r="F38" s="861"/>
      <c r="G38" s="861"/>
      <c r="H38" s="861"/>
      <c r="I38" s="578">
        <f t="shared" si="10"/>
        <v>28.1</v>
      </c>
      <c r="J38" s="579" t="s">
        <v>710</v>
      </c>
      <c r="K38" s="656"/>
      <c r="L38" s="582" t="s">
        <v>508</v>
      </c>
      <c r="M38" s="581">
        <f t="shared" si="8"/>
        <v>1</v>
      </c>
      <c r="N38" s="582"/>
      <c r="O38" s="582">
        <v>1</v>
      </c>
      <c r="P38" s="582"/>
      <c r="Q38" s="584">
        <f t="shared" si="9"/>
        <v>1</v>
      </c>
      <c r="R38" s="582"/>
      <c r="S38" s="582"/>
      <c r="T38" s="582"/>
      <c r="U38" s="580">
        <f t="shared" si="1"/>
        <v>0</v>
      </c>
      <c r="V38" s="582"/>
      <c r="W38" s="582"/>
      <c r="X38" s="582"/>
      <c r="Y38" s="580">
        <f t="shared" si="2"/>
        <v>0</v>
      </c>
      <c r="Z38" s="582"/>
      <c r="AA38" s="582"/>
      <c r="AB38" s="582"/>
      <c r="AC38" s="580">
        <f t="shared" si="3"/>
        <v>0</v>
      </c>
    </row>
    <row r="39" spans="2:29" ht="30" customHeight="1">
      <c r="B39" s="859"/>
      <c r="C39" s="15">
        <v>3.1</v>
      </c>
      <c r="D39" s="200">
        <v>29</v>
      </c>
      <c r="E39" s="861" t="s">
        <v>760</v>
      </c>
      <c r="F39" s="861"/>
      <c r="G39" s="861"/>
      <c r="H39" s="861"/>
      <c r="I39" s="578">
        <f t="shared" si="10"/>
        <v>29.1</v>
      </c>
      <c r="J39" s="579" t="s">
        <v>712</v>
      </c>
      <c r="K39" s="656"/>
      <c r="L39" s="582" t="s">
        <v>678</v>
      </c>
      <c r="M39" s="581">
        <f t="shared" si="8"/>
        <v>1</v>
      </c>
      <c r="N39" s="582"/>
      <c r="O39" s="582"/>
      <c r="P39" s="582"/>
      <c r="Q39" s="584">
        <f t="shared" si="9"/>
        <v>0</v>
      </c>
      <c r="R39" s="582">
        <v>1</v>
      </c>
      <c r="S39" s="582"/>
      <c r="T39" s="582"/>
      <c r="U39" s="580">
        <f t="shared" si="1"/>
        <v>1</v>
      </c>
      <c r="V39" s="582"/>
      <c r="W39" s="582"/>
      <c r="X39" s="582"/>
      <c r="Y39" s="580">
        <f t="shared" si="2"/>
        <v>0</v>
      </c>
      <c r="Z39" s="582"/>
      <c r="AA39" s="582"/>
      <c r="AB39" s="582"/>
      <c r="AC39" s="580">
        <f t="shared" si="3"/>
        <v>0</v>
      </c>
    </row>
    <row r="40" spans="2:29" ht="38.25">
      <c r="B40" s="859"/>
      <c r="C40" s="15">
        <v>3.1</v>
      </c>
      <c r="D40" s="200">
        <v>30</v>
      </c>
      <c r="E40" s="861" t="s">
        <v>713</v>
      </c>
      <c r="F40" s="861"/>
      <c r="G40" s="861"/>
      <c r="H40" s="861"/>
      <c r="I40" s="578">
        <f t="shared" si="10"/>
        <v>30.1</v>
      </c>
      <c r="J40" s="579" t="s">
        <v>285</v>
      </c>
      <c r="K40" s="656"/>
      <c r="L40" s="582" t="s">
        <v>678</v>
      </c>
      <c r="M40" s="581">
        <f t="shared" si="8"/>
        <v>3</v>
      </c>
      <c r="N40" s="582"/>
      <c r="O40" s="582"/>
      <c r="P40" s="582"/>
      <c r="Q40" s="584">
        <f t="shared" si="9"/>
        <v>0</v>
      </c>
      <c r="R40" s="582">
        <v>1</v>
      </c>
      <c r="S40" s="582"/>
      <c r="T40" s="582"/>
      <c r="U40" s="580">
        <f t="shared" si="1"/>
        <v>1</v>
      </c>
      <c r="V40" s="582"/>
      <c r="W40" s="582">
        <v>1</v>
      </c>
      <c r="X40" s="582"/>
      <c r="Y40" s="580">
        <f t="shared" si="2"/>
        <v>1</v>
      </c>
      <c r="Z40" s="582"/>
      <c r="AA40" s="582">
        <v>1</v>
      </c>
      <c r="AB40" s="582"/>
      <c r="AC40" s="580">
        <f t="shared" si="3"/>
        <v>1</v>
      </c>
    </row>
    <row r="41" spans="2:29" ht="30" customHeight="1">
      <c r="B41" s="859"/>
      <c r="C41" s="15"/>
      <c r="D41" s="200">
        <v>31</v>
      </c>
      <c r="E41" s="860" t="s">
        <v>714</v>
      </c>
      <c r="F41" s="860"/>
      <c r="G41" s="860"/>
      <c r="H41" s="860"/>
      <c r="I41" s="578">
        <f t="shared" si="10"/>
        <v>31.1</v>
      </c>
      <c r="J41" s="579" t="s">
        <v>715</v>
      </c>
      <c r="K41" s="656"/>
      <c r="L41" s="582" t="s">
        <v>508</v>
      </c>
      <c r="M41" s="581">
        <f t="shared" si="8"/>
        <v>1</v>
      </c>
      <c r="N41" s="582"/>
      <c r="O41" s="582"/>
      <c r="P41" s="582"/>
      <c r="Q41" s="584">
        <f t="shared" si="9"/>
        <v>0</v>
      </c>
      <c r="R41" s="582"/>
      <c r="S41" s="582"/>
      <c r="T41" s="582">
        <v>1</v>
      </c>
      <c r="U41" s="580">
        <f t="shared" si="1"/>
        <v>1</v>
      </c>
      <c r="V41" s="582"/>
      <c r="W41" s="582"/>
      <c r="X41" s="582"/>
      <c r="Y41" s="580">
        <f t="shared" si="2"/>
        <v>0</v>
      </c>
      <c r="Z41" s="582"/>
      <c r="AA41" s="582"/>
      <c r="AB41" s="582"/>
      <c r="AC41" s="580">
        <f t="shared" si="3"/>
        <v>0</v>
      </c>
    </row>
    <row r="42" spans="1:31" s="228" customFormat="1" ht="15.75" customHeight="1" thickBot="1">
      <c r="A42" s="709"/>
      <c r="B42" s="859"/>
      <c r="C42" s="28"/>
      <c r="D42" s="200"/>
      <c r="E42" s="855" t="s">
        <v>739</v>
      </c>
      <c r="F42" s="855"/>
      <c r="G42" s="855"/>
      <c r="H42" s="855"/>
      <c r="I42" s="855"/>
      <c r="J42" s="855"/>
      <c r="K42" s="657"/>
      <c r="L42" s="577"/>
      <c r="M42" s="577">
        <f t="shared" si="8"/>
        <v>37</v>
      </c>
      <c r="N42" s="577">
        <f aca="true" t="shared" si="11" ref="N42:AC42">SUM(N43:N45)</f>
        <v>2</v>
      </c>
      <c r="O42" s="577">
        <f t="shared" si="11"/>
        <v>3</v>
      </c>
      <c r="P42" s="577">
        <f t="shared" si="11"/>
        <v>4</v>
      </c>
      <c r="Q42" s="577">
        <f t="shared" si="11"/>
        <v>9</v>
      </c>
      <c r="R42" s="577">
        <f t="shared" si="11"/>
        <v>3</v>
      </c>
      <c r="S42" s="577">
        <f t="shared" si="11"/>
        <v>3</v>
      </c>
      <c r="T42" s="577">
        <f t="shared" si="11"/>
        <v>4</v>
      </c>
      <c r="U42" s="577">
        <f t="shared" si="11"/>
        <v>10</v>
      </c>
      <c r="V42" s="577">
        <f t="shared" si="11"/>
        <v>2</v>
      </c>
      <c r="W42" s="577">
        <f t="shared" si="11"/>
        <v>3</v>
      </c>
      <c r="X42" s="577">
        <f t="shared" si="11"/>
        <v>4</v>
      </c>
      <c r="Y42" s="577">
        <f t="shared" si="11"/>
        <v>9</v>
      </c>
      <c r="Z42" s="577">
        <f t="shared" si="11"/>
        <v>3</v>
      </c>
      <c r="AA42" s="577">
        <f t="shared" si="11"/>
        <v>3</v>
      </c>
      <c r="AB42" s="577">
        <f t="shared" si="11"/>
        <v>3</v>
      </c>
      <c r="AC42" s="577">
        <f t="shared" si="11"/>
        <v>9</v>
      </c>
      <c r="AD42" s="334"/>
      <c r="AE42" s="340"/>
    </row>
    <row r="43" spans="2:29" ht="30" customHeight="1" thickBot="1">
      <c r="B43" s="859"/>
      <c r="C43" s="15">
        <v>3.1</v>
      </c>
      <c r="D43" s="200">
        <v>32</v>
      </c>
      <c r="E43" s="819" t="s">
        <v>682</v>
      </c>
      <c r="F43" s="820"/>
      <c r="G43" s="820"/>
      <c r="H43" s="821"/>
      <c r="I43" s="3">
        <f>+D43+0.1</f>
        <v>32.1</v>
      </c>
      <c r="J43" s="29" t="s">
        <v>693</v>
      </c>
      <c r="K43" s="653"/>
      <c r="L43" s="82" t="s">
        <v>216</v>
      </c>
      <c r="M43" s="36">
        <f aca="true" t="shared" si="12" ref="M43:M48">SUM(N43:AB43)-Q43-U43-Y43</f>
        <v>4</v>
      </c>
      <c r="N43" s="82"/>
      <c r="O43" s="82"/>
      <c r="P43" s="82">
        <v>1</v>
      </c>
      <c r="Q43" s="327">
        <f aca="true" t="shared" si="13" ref="Q43:Q48">SUM(N43:P43)</f>
        <v>1</v>
      </c>
      <c r="R43" s="82"/>
      <c r="S43" s="82"/>
      <c r="T43" s="82">
        <v>1</v>
      </c>
      <c r="U43" s="327">
        <f aca="true" t="shared" si="14" ref="U43:U48">SUM(R43:T43)</f>
        <v>1</v>
      </c>
      <c r="V43" s="82"/>
      <c r="W43" s="82"/>
      <c r="X43" s="82">
        <v>1</v>
      </c>
      <c r="Y43" s="327">
        <f aca="true" t="shared" si="15" ref="Y43:Y48">SUM(V43:X43)</f>
        <v>1</v>
      </c>
      <c r="Z43" s="82"/>
      <c r="AA43" s="82"/>
      <c r="AB43" s="125">
        <v>1</v>
      </c>
      <c r="AC43" s="327">
        <f aca="true" t="shared" si="16" ref="AC43:AC48">SUM(Z43:AB43)</f>
        <v>1</v>
      </c>
    </row>
    <row r="44" spans="2:29" ht="42" customHeight="1" thickBot="1">
      <c r="B44" s="859"/>
      <c r="C44" s="15">
        <v>3.1</v>
      </c>
      <c r="D44" s="200">
        <v>33</v>
      </c>
      <c r="E44" s="819" t="s">
        <v>692</v>
      </c>
      <c r="F44" s="820"/>
      <c r="G44" s="820"/>
      <c r="H44" s="821"/>
      <c r="I44" s="3">
        <f>+D44+0.1</f>
        <v>33.1</v>
      </c>
      <c r="J44" s="29" t="s">
        <v>694</v>
      </c>
      <c r="K44" s="653"/>
      <c r="L44" s="82" t="s">
        <v>216</v>
      </c>
      <c r="M44" s="36">
        <f t="shared" si="12"/>
        <v>9</v>
      </c>
      <c r="N44" s="82"/>
      <c r="O44" s="82">
        <v>1</v>
      </c>
      <c r="P44" s="82">
        <v>1</v>
      </c>
      <c r="Q44" s="327">
        <f t="shared" si="13"/>
        <v>2</v>
      </c>
      <c r="R44" s="82">
        <v>1</v>
      </c>
      <c r="S44" s="82">
        <v>1</v>
      </c>
      <c r="T44" s="82">
        <v>1</v>
      </c>
      <c r="U44" s="327">
        <f t="shared" si="14"/>
        <v>3</v>
      </c>
      <c r="V44" s="82"/>
      <c r="W44" s="82">
        <v>1</v>
      </c>
      <c r="X44" s="82">
        <v>1</v>
      </c>
      <c r="Y44" s="327">
        <f t="shared" si="15"/>
        <v>2</v>
      </c>
      <c r="Z44" s="82">
        <v>1</v>
      </c>
      <c r="AA44" s="82">
        <v>1</v>
      </c>
      <c r="AB44" s="125"/>
      <c r="AC44" s="327">
        <f t="shared" si="16"/>
        <v>2</v>
      </c>
    </row>
    <row r="45" spans="2:29" ht="38.25" customHeight="1" thickBot="1">
      <c r="B45" s="859"/>
      <c r="C45" s="15">
        <v>3.1</v>
      </c>
      <c r="D45" s="200">
        <v>34</v>
      </c>
      <c r="E45" s="819" t="s">
        <v>607</v>
      </c>
      <c r="F45" s="820"/>
      <c r="G45" s="820"/>
      <c r="H45" s="821"/>
      <c r="I45" s="3">
        <f>+D45+0.1</f>
        <v>34.1</v>
      </c>
      <c r="J45" s="29" t="s">
        <v>286</v>
      </c>
      <c r="K45" s="653"/>
      <c r="L45" s="82" t="s">
        <v>216</v>
      </c>
      <c r="M45" s="36">
        <f t="shared" si="12"/>
        <v>24</v>
      </c>
      <c r="N45" s="82">
        <v>2</v>
      </c>
      <c r="O45" s="82">
        <v>2</v>
      </c>
      <c r="P45" s="82">
        <v>2</v>
      </c>
      <c r="Q45" s="327">
        <f t="shared" si="13"/>
        <v>6</v>
      </c>
      <c r="R45" s="82">
        <v>2</v>
      </c>
      <c r="S45" s="82">
        <v>2</v>
      </c>
      <c r="T45" s="82">
        <v>2</v>
      </c>
      <c r="U45" s="327">
        <f t="shared" si="14"/>
        <v>6</v>
      </c>
      <c r="V45" s="82">
        <v>2</v>
      </c>
      <c r="W45" s="82">
        <v>2</v>
      </c>
      <c r="X45" s="82">
        <v>2</v>
      </c>
      <c r="Y45" s="327">
        <f t="shared" si="15"/>
        <v>6</v>
      </c>
      <c r="Z45" s="82">
        <v>2</v>
      </c>
      <c r="AA45" s="82">
        <v>2</v>
      </c>
      <c r="AB45" s="125">
        <v>2</v>
      </c>
      <c r="AC45" s="327">
        <f t="shared" si="16"/>
        <v>6</v>
      </c>
    </row>
    <row r="46" spans="1:31" s="228" customFormat="1" ht="24.75" customHeight="1" thickBot="1">
      <c r="A46" s="709"/>
      <c r="B46" s="859"/>
      <c r="C46" s="15"/>
      <c r="D46" s="200"/>
      <c r="E46" s="828" t="s">
        <v>80</v>
      </c>
      <c r="F46" s="828"/>
      <c r="G46" s="828"/>
      <c r="H46" s="828"/>
      <c r="I46" s="828"/>
      <c r="J46" s="829"/>
      <c r="K46" s="658"/>
      <c r="L46" s="337"/>
      <c r="M46" s="338">
        <f t="shared" si="12"/>
        <v>13</v>
      </c>
      <c r="N46" s="337">
        <f aca="true" t="shared" si="17" ref="N46:AC46">SUM(N47:N50)</f>
        <v>0</v>
      </c>
      <c r="O46" s="337">
        <f t="shared" si="17"/>
        <v>0</v>
      </c>
      <c r="P46" s="337">
        <f t="shared" si="17"/>
        <v>3</v>
      </c>
      <c r="Q46" s="337">
        <f t="shared" si="17"/>
        <v>3</v>
      </c>
      <c r="R46" s="337">
        <f t="shared" si="17"/>
        <v>1</v>
      </c>
      <c r="S46" s="337">
        <f t="shared" si="17"/>
        <v>0</v>
      </c>
      <c r="T46" s="337">
        <f t="shared" si="17"/>
        <v>3</v>
      </c>
      <c r="U46" s="337">
        <f t="shared" si="17"/>
        <v>4</v>
      </c>
      <c r="V46" s="337">
        <f t="shared" si="17"/>
        <v>0</v>
      </c>
      <c r="W46" s="337">
        <f t="shared" si="17"/>
        <v>0</v>
      </c>
      <c r="X46" s="337">
        <f t="shared" si="17"/>
        <v>3</v>
      </c>
      <c r="Y46" s="337">
        <f t="shared" si="17"/>
        <v>3</v>
      </c>
      <c r="Z46" s="337">
        <f t="shared" si="17"/>
        <v>0</v>
      </c>
      <c r="AA46" s="337">
        <f t="shared" si="17"/>
        <v>0</v>
      </c>
      <c r="AB46" s="337">
        <f t="shared" si="17"/>
        <v>3</v>
      </c>
      <c r="AC46" s="337">
        <f t="shared" si="17"/>
        <v>3</v>
      </c>
      <c r="AD46" s="334"/>
      <c r="AE46" s="340"/>
    </row>
    <row r="47" spans="2:29" ht="53.25" customHeight="1" thickBot="1">
      <c r="B47" s="859"/>
      <c r="C47" s="15" t="s">
        <v>698</v>
      </c>
      <c r="D47" s="200">
        <v>35</v>
      </c>
      <c r="E47" s="819" t="s">
        <v>77</v>
      </c>
      <c r="F47" s="820"/>
      <c r="G47" s="820"/>
      <c r="H47" s="821"/>
      <c r="I47" s="3">
        <f>+D47+0.1</f>
        <v>35.1</v>
      </c>
      <c r="J47" s="29" t="s">
        <v>717</v>
      </c>
      <c r="K47" s="653"/>
      <c r="L47" s="82" t="s">
        <v>231</v>
      </c>
      <c r="M47" s="36">
        <f t="shared" si="12"/>
        <v>4</v>
      </c>
      <c r="N47" s="82"/>
      <c r="O47" s="82"/>
      <c r="P47" s="82">
        <v>1</v>
      </c>
      <c r="Q47" s="327">
        <f t="shared" si="13"/>
        <v>1</v>
      </c>
      <c r="R47" s="82"/>
      <c r="S47" s="82"/>
      <c r="T47" s="82">
        <v>1</v>
      </c>
      <c r="U47" s="327">
        <f t="shared" si="14"/>
        <v>1</v>
      </c>
      <c r="V47" s="82"/>
      <c r="W47" s="82"/>
      <c r="X47" s="82">
        <v>1</v>
      </c>
      <c r="Y47" s="327">
        <f t="shared" si="15"/>
        <v>1</v>
      </c>
      <c r="Z47" s="82"/>
      <c r="AA47" s="82"/>
      <c r="AB47" s="125">
        <v>1</v>
      </c>
      <c r="AC47" s="327">
        <f t="shared" si="16"/>
        <v>1</v>
      </c>
    </row>
    <row r="48" spans="2:29" ht="38.25" customHeight="1" thickBot="1">
      <c r="B48" s="859"/>
      <c r="C48" s="15" t="s">
        <v>698</v>
      </c>
      <c r="D48" s="200">
        <v>36</v>
      </c>
      <c r="E48" s="819" t="s">
        <v>699</v>
      </c>
      <c r="F48" s="820"/>
      <c r="G48" s="820"/>
      <c r="H48" s="821"/>
      <c r="I48" s="3">
        <f>+D48+0.1</f>
        <v>36.1</v>
      </c>
      <c r="J48" s="29" t="s">
        <v>79</v>
      </c>
      <c r="K48" s="653"/>
      <c r="L48" s="82" t="s">
        <v>219</v>
      </c>
      <c r="M48" s="36">
        <f t="shared" si="12"/>
        <v>1</v>
      </c>
      <c r="N48" s="82"/>
      <c r="O48" s="82"/>
      <c r="P48" s="82"/>
      <c r="Q48" s="327">
        <f t="shared" si="13"/>
        <v>0</v>
      </c>
      <c r="R48" s="82">
        <v>1</v>
      </c>
      <c r="S48" s="82"/>
      <c r="T48" s="82"/>
      <c r="U48" s="327">
        <f t="shared" si="14"/>
        <v>1</v>
      </c>
      <c r="V48" s="82"/>
      <c r="W48" s="82"/>
      <c r="X48" s="82"/>
      <c r="Y48" s="327">
        <f t="shared" si="15"/>
        <v>0</v>
      </c>
      <c r="Z48" s="82"/>
      <c r="AA48" s="82"/>
      <c r="AB48" s="125"/>
      <c r="AC48" s="327">
        <f t="shared" si="16"/>
        <v>0</v>
      </c>
    </row>
    <row r="49" spans="2:29" ht="38.25" customHeight="1" thickBot="1">
      <c r="B49" s="859"/>
      <c r="C49" s="15">
        <v>3.1</v>
      </c>
      <c r="D49" s="200">
        <v>37</v>
      </c>
      <c r="E49" s="819" t="s">
        <v>287</v>
      </c>
      <c r="F49" s="820"/>
      <c r="G49" s="820"/>
      <c r="H49" s="821"/>
      <c r="I49" s="3">
        <v>39.1</v>
      </c>
      <c r="J49" s="29" t="s">
        <v>288</v>
      </c>
      <c r="K49" s="653"/>
      <c r="L49" s="82" t="s">
        <v>231</v>
      </c>
      <c r="M49" s="36">
        <f>SUM(N49:AB49)-Q49-U49-Y49</f>
        <v>4</v>
      </c>
      <c r="N49" s="82" t="s">
        <v>718</v>
      </c>
      <c r="O49" s="82"/>
      <c r="P49" s="82">
        <v>1</v>
      </c>
      <c r="Q49" s="327">
        <f>SUM(N49:P49)</f>
        <v>1</v>
      </c>
      <c r="R49" s="82"/>
      <c r="S49" s="82"/>
      <c r="T49" s="82">
        <v>1</v>
      </c>
      <c r="U49" s="327">
        <f>SUM(R49:T49)</f>
        <v>1</v>
      </c>
      <c r="V49" s="82" t="s">
        <v>718</v>
      </c>
      <c r="W49" s="82"/>
      <c r="X49" s="82">
        <v>1</v>
      </c>
      <c r="Y49" s="327">
        <f>SUM(V49:X49)</f>
        <v>1</v>
      </c>
      <c r="Z49" s="82" t="s">
        <v>718</v>
      </c>
      <c r="AA49" s="82" t="s">
        <v>718</v>
      </c>
      <c r="AB49" s="125">
        <v>1</v>
      </c>
      <c r="AC49" s="327">
        <f>SUM(Z49:AB49)</f>
        <v>1</v>
      </c>
    </row>
    <row r="50" spans="2:29" ht="38.25" customHeight="1" thickBot="1">
      <c r="B50" s="859"/>
      <c r="C50" s="15">
        <v>1.1</v>
      </c>
      <c r="D50" s="200">
        <v>38</v>
      </c>
      <c r="E50" s="819" t="s">
        <v>701</v>
      </c>
      <c r="F50" s="820"/>
      <c r="G50" s="820"/>
      <c r="H50" s="821"/>
      <c r="I50" s="3">
        <v>41.1</v>
      </c>
      <c r="J50" s="29" t="s">
        <v>289</v>
      </c>
      <c r="K50" s="653"/>
      <c r="L50" s="82" t="s">
        <v>231</v>
      </c>
      <c r="M50" s="36">
        <f>SUM(N50:AB50)-Q50-U50-Y50</f>
        <v>4</v>
      </c>
      <c r="N50" s="82" t="s">
        <v>718</v>
      </c>
      <c r="O50" s="82"/>
      <c r="P50" s="82">
        <v>1</v>
      </c>
      <c r="Q50" s="327">
        <f>SUM(N50:P50)</f>
        <v>1</v>
      </c>
      <c r="R50" s="82"/>
      <c r="S50" s="82"/>
      <c r="T50" s="82">
        <v>1</v>
      </c>
      <c r="U50" s="327">
        <f>SUM(R50:T50)</f>
        <v>1</v>
      </c>
      <c r="V50" s="82" t="s">
        <v>718</v>
      </c>
      <c r="W50" s="82"/>
      <c r="X50" s="82">
        <v>1</v>
      </c>
      <c r="Y50" s="327">
        <f>SUM(V50:X50)</f>
        <v>1</v>
      </c>
      <c r="Z50" s="82" t="s">
        <v>718</v>
      </c>
      <c r="AA50" s="82" t="s">
        <v>718</v>
      </c>
      <c r="AB50" s="125">
        <v>1</v>
      </c>
      <c r="AC50" s="327">
        <f>SUM(Z50:AB50)</f>
        <v>1</v>
      </c>
    </row>
    <row r="51" spans="1:31" s="228" customFormat="1" ht="15.75" customHeight="1" thickBot="1">
      <c r="A51" s="709"/>
      <c r="B51" s="859"/>
      <c r="C51" s="567"/>
      <c r="D51" s="527"/>
      <c r="E51" s="828" t="s">
        <v>662</v>
      </c>
      <c r="F51" s="828"/>
      <c r="G51" s="828"/>
      <c r="H51" s="828"/>
      <c r="I51" s="828"/>
      <c r="J51" s="829"/>
      <c r="K51" s="658"/>
      <c r="L51" s="337"/>
      <c r="M51" s="338">
        <f>SUM(N51:AB51)-Q51-U51-Y51</f>
        <v>47</v>
      </c>
      <c r="N51" s="337">
        <f>SUM(N52:N53)</f>
        <v>1</v>
      </c>
      <c r="O51" s="337">
        <f>SUM(O52:O53)</f>
        <v>19</v>
      </c>
      <c r="P51" s="337">
        <f>SUM(P52:P53)</f>
        <v>10</v>
      </c>
      <c r="Q51" s="337">
        <f>SUM(N51:P51)</f>
        <v>30</v>
      </c>
      <c r="R51" s="337">
        <f>SUM(R52:R53)</f>
        <v>3</v>
      </c>
      <c r="S51" s="337">
        <f>SUM(S52:S53)</f>
        <v>2</v>
      </c>
      <c r="T51" s="337">
        <f>SUM(T52:T53)</f>
        <v>2</v>
      </c>
      <c r="U51" s="337">
        <f>SUM(R51:T51)</f>
        <v>7</v>
      </c>
      <c r="V51" s="337">
        <f>SUM(V52:V53)</f>
        <v>0</v>
      </c>
      <c r="W51" s="337">
        <f>SUM(W52:W53)</f>
        <v>3</v>
      </c>
      <c r="X51" s="337">
        <f>SUM(X52:X53)</f>
        <v>2</v>
      </c>
      <c r="Y51" s="337">
        <f>SUM(V51:X51)</f>
        <v>5</v>
      </c>
      <c r="Z51" s="337">
        <f>SUM(Z52:Z53)</f>
        <v>2</v>
      </c>
      <c r="AA51" s="337">
        <f>SUM(AA52:AA53)</f>
        <v>3</v>
      </c>
      <c r="AB51" s="337">
        <f>SUM(AB52:AB53)</f>
        <v>0</v>
      </c>
      <c r="AC51" s="337">
        <f>SUM(Z51:AB51)</f>
        <v>5</v>
      </c>
      <c r="AD51" s="334"/>
      <c r="AE51" s="340"/>
    </row>
    <row r="52" spans="2:29" ht="36" customHeight="1" thickBot="1">
      <c r="B52" s="859"/>
      <c r="C52" s="15">
        <v>3</v>
      </c>
      <c r="D52" s="200">
        <v>39</v>
      </c>
      <c r="E52" s="819" t="s">
        <v>666</v>
      </c>
      <c r="F52" s="820"/>
      <c r="G52" s="820"/>
      <c r="H52" s="821"/>
      <c r="I52" s="3">
        <f>+D52+0.1</f>
        <v>39.1</v>
      </c>
      <c r="J52" s="29" t="s">
        <v>290</v>
      </c>
      <c r="K52" s="653"/>
      <c r="L52" s="82" t="s">
        <v>225</v>
      </c>
      <c r="M52" s="36">
        <f>SUM(N52:AB52)-Q52-U52-Y52</f>
        <v>4</v>
      </c>
      <c r="N52" s="82">
        <v>1</v>
      </c>
      <c r="O52" s="82"/>
      <c r="P52" s="82"/>
      <c r="Q52" s="327">
        <f>SUM(N52:P52)</f>
        <v>1</v>
      </c>
      <c r="R52" s="82">
        <v>1</v>
      </c>
      <c r="S52" s="124"/>
      <c r="T52" s="82"/>
      <c r="U52" s="327">
        <f>SUM(R52:T52)</f>
        <v>1</v>
      </c>
      <c r="V52" s="82"/>
      <c r="W52" s="82">
        <v>1</v>
      </c>
      <c r="X52" s="82"/>
      <c r="Y52" s="327">
        <f>SUM(V52:X52)</f>
        <v>1</v>
      </c>
      <c r="Z52" s="82"/>
      <c r="AA52" s="82">
        <v>1</v>
      </c>
      <c r="AB52" s="125"/>
      <c r="AC52" s="327">
        <f>SUM(Z52:AB52)</f>
        <v>1</v>
      </c>
    </row>
    <row r="53" spans="2:29" ht="51" customHeight="1" thickBot="1">
      <c r="B53" s="859"/>
      <c r="C53" s="15">
        <v>5</v>
      </c>
      <c r="D53" s="200">
        <v>40</v>
      </c>
      <c r="E53" s="819" t="s">
        <v>667</v>
      </c>
      <c r="F53" s="820"/>
      <c r="G53" s="820"/>
      <c r="H53" s="821"/>
      <c r="I53" s="3">
        <f>+D53+0.1</f>
        <v>40.1</v>
      </c>
      <c r="J53" s="29" t="s">
        <v>668</v>
      </c>
      <c r="K53" s="653"/>
      <c r="L53" s="82" t="s">
        <v>221</v>
      </c>
      <c r="M53" s="36">
        <f>SUM(N53:AB53)-Q53-U53-Y53</f>
        <v>43</v>
      </c>
      <c r="N53" s="82"/>
      <c r="O53" s="82">
        <v>19</v>
      </c>
      <c r="P53" s="82">
        <v>10</v>
      </c>
      <c r="Q53" s="327">
        <f>SUM(N53:P53)</f>
        <v>29</v>
      </c>
      <c r="R53" s="82">
        <v>2</v>
      </c>
      <c r="S53" s="82">
        <v>2</v>
      </c>
      <c r="T53" s="82">
        <v>2</v>
      </c>
      <c r="U53" s="327">
        <f>SUM(R53:T53)</f>
        <v>6</v>
      </c>
      <c r="V53" s="82"/>
      <c r="W53" s="82">
        <v>2</v>
      </c>
      <c r="X53" s="82">
        <v>2</v>
      </c>
      <c r="Y53" s="327">
        <f>SUM(V53:X53)</f>
        <v>4</v>
      </c>
      <c r="Z53" s="82">
        <v>2</v>
      </c>
      <c r="AA53" s="82">
        <v>2</v>
      </c>
      <c r="AB53" s="125"/>
      <c r="AC53" s="327">
        <f>SUM(Z53:AB53)</f>
        <v>4</v>
      </c>
    </row>
    <row r="54" spans="1:30" s="346" customFormat="1" ht="15.75" customHeight="1">
      <c r="A54" s="709"/>
      <c r="B54" s="859"/>
      <c r="C54" s="28"/>
      <c r="D54" s="200"/>
      <c r="E54" s="855" t="s">
        <v>597</v>
      </c>
      <c r="F54" s="855"/>
      <c r="G54" s="855"/>
      <c r="H54" s="855"/>
      <c r="I54" s="855"/>
      <c r="J54" s="855"/>
      <c r="K54" s="655"/>
      <c r="L54" s="577"/>
      <c r="M54" s="577">
        <f t="shared" si="8"/>
        <v>109</v>
      </c>
      <c r="N54" s="577">
        <f>SUM(N55:N67)</f>
        <v>10</v>
      </c>
      <c r="O54" s="577">
        <f>SUM(O55:O67)</f>
        <v>12</v>
      </c>
      <c r="P54" s="577">
        <f>SUM(P55:P67)</f>
        <v>12</v>
      </c>
      <c r="Q54" s="577">
        <f t="shared" si="9"/>
        <v>34</v>
      </c>
      <c r="R54" s="577">
        <f>SUM(R55:R67)</f>
        <v>9</v>
      </c>
      <c r="S54" s="577">
        <f>SUM(S55:S67)</f>
        <v>9</v>
      </c>
      <c r="T54" s="577">
        <f>SUM(T55:T67)</f>
        <v>12</v>
      </c>
      <c r="U54" s="577">
        <f t="shared" si="1"/>
        <v>30</v>
      </c>
      <c r="V54" s="577">
        <f>SUM(V55:V67)</f>
        <v>3</v>
      </c>
      <c r="W54" s="577">
        <f>SUM(W55:W67)</f>
        <v>7</v>
      </c>
      <c r="X54" s="577">
        <f>SUM(X55:X67)</f>
        <v>10</v>
      </c>
      <c r="Y54" s="577">
        <f t="shared" si="2"/>
        <v>20</v>
      </c>
      <c r="Z54" s="577">
        <f>SUM(Z55:Z67)</f>
        <v>9</v>
      </c>
      <c r="AA54" s="577">
        <f>SUM(AA55:AA67)</f>
        <v>8</v>
      </c>
      <c r="AB54" s="577">
        <f>SUM(AB55:AB67)</f>
        <v>8</v>
      </c>
      <c r="AC54" s="577">
        <f t="shared" si="3"/>
        <v>25</v>
      </c>
      <c r="AD54" s="334"/>
    </row>
    <row r="55" spans="1:30" s="25" customFormat="1" ht="51" customHeight="1">
      <c r="A55" s="708"/>
      <c r="B55" s="859"/>
      <c r="C55" s="15">
        <v>3.1</v>
      </c>
      <c r="D55" s="200">
        <v>41</v>
      </c>
      <c r="E55" s="856" t="s">
        <v>39</v>
      </c>
      <c r="F55" s="856"/>
      <c r="G55" s="856"/>
      <c r="H55" s="856"/>
      <c r="I55" s="578">
        <f aca="true" t="shared" si="18" ref="I55:I60">+D55+0.1</f>
        <v>41.1</v>
      </c>
      <c r="J55" s="579" t="s">
        <v>291</v>
      </c>
      <c r="K55" s="656"/>
      <c r="L55" s="582" t="s">
        <v>8</v>
      </c>
      <c r="M55" s="581">
        <f t="shared" si="8"/>
        <v>1</v>
      </c>
      <c r="N55" s="582"/>
      <c r="O55" s="582"/>
      <c r="P55" s="582"/>
      <c r="Q55" s="584">
        <f t="shared" si="9"/>
        <v>0</v>
      </c>
      <c r="R55" s="582"/>
      <c r="S55" s="582"/>
      <c r="T55" s="582">
        <v>1</v>
      </c>
      <c r="U55" s="580">
        <f t="shared" si="1"/>
        <v>1</v>
      </c>
      <c r="V55" s="582"/>
      <c r="W55" s="582"/>
      <c r="X55" s="582"/>
      <c r="Y55" s="580">
        <f t="shared" si="2"/>
        <v>0</v>
      </c>
      <c r="Z55" s="582"/>
      <c r="AA55" s="582"/>
      <c r="AB55" s="582"/>
      <c r="AC55" s="580">
        <f t="shared" si="3"/>
        <v>0</v>
      </c>
      <c r="AD55" s="1"/>
    </row>
    <row r="56" spans="2:29" ht="43.5" customHeight="1">
      <c r="B56" s="859"/>
      <c r="C56" s="28">
        <v>3.1</v>
      </c>
      <c r="D56" s="200">
        <v>42</v>
      </c>
      <c r="E56" s="860" t="s">
        <v>56</v>
      </c>
      <c r="F56" s="860"/>
      <c r="G56" s="860"/>
      <c r="H56" s="860"/>
      <c r="I56" s="578">
        <f t="shared" si="18"/>
        <v>42.1</v>
      </c>
      <c r="J56" s="579" t="s">
        <v>55</v>
      </c>
      <c r="K56" s="656"/>
      <c r="L56" s="582" t="s">
        <v>218</v>
      </c>
      <c r="M56" s="581">
        <f t="shared" si="8"/>
        <v>9</v>
      </c>
      <c r="N56" s="582"/>
      <c r="O56" s="582">
        <v>1</v>
      </c>
      <c r="P56" s="582">
        <v>1</v>
      </c>
      <c r="Q56" s="584">
        <f t="shared" si="9"/>
        <v>2</v>
      </c>
      <c r="R56" s="582">
        <v>1</v>
      </c>
      <c r="S56" s="582">
        <v>1</v>
      </c>
      <c r="T56" s="582">
        <v>1</v>
      </c>
      <c r="U56" s="580">
        <f t="shared" si="1"/>
        <v>3</v>
      </c>
      <c r="V56" s="582"/>
      <c r="W56" s="582">
        <v>1</v>
      </c>
      <c r="X56" s="582">
        <v>1</v>
      </c>
      <c r="Y56" s="580">
        <f t="shared" si="2"/>
        <v>2</v>
      </c>
      <c r="Z56" s="582">
        <v>1</v>
      </c>
      <c r="AA56" s="582">
        <v>1</v>
      </c>
      <c r="AB56" s="582"/>
      <c r="AC56" s="580">
        <f t="shared" si="3"/>
        <v>2</v>
      </c>
    </row>
    <row r="57" spans="2:29" ht="43.5" customHeight="1">
      <c r="B57" s="859"/>
      <c r="C57" s="28">
        <v>3.1</v>
      </c>
      <c r="D57" s="200">
        <v>43</v>
      </c>
      <c r="E57" s="860" t="s">
        <v>9</v>
      </c>
      <c r="F57" s="860"/>
      <c r="G57" s="860"/>
      <c r="H57" s="860"/>
      <c r="I57" s="578">
        <f t="shared" si="18"/>
        <v>43.1</v>
      </c>
      <c r="J57" s="579" t="s">
        <v>292</v>
      </c>
      <c r="K57" s="656"/>
      <c r="L57" s="582" t="s">
        <v>231</v>
      </c>
      <c r="M57" s="581">
        <f t="shared" si="8"/>
        <v>11</v>
      </c>
      <c r="N57" s="582">
        <v>1</v>
      </c>
      <c r="O57" s="582">
        <v>1</v>
      </c>
      <c r="P57" s="582">
        <v>1</v>
      </c>
      <c r="Q57" s="584">
        <f t="shared" si="9"/>
        <v>3</v>
      </c>
      <c r="R57" s="582">
        <v>1</v>
      </c>
      <c r="S57" s="582">
        <v>1</v>
      </c>
      <c r="T57" s="582">
        <v>1</v>
      </c>
      <c r="U57" s="580">
        <f t="shared" si="1"/>
        <v>3</v>
      </c>
      <c r="V57" s="582"/>
      <c r="W57" s="582">
        <v>1</v>
      </c>
      <c r="X57" s="582">
        <v>1</v>
      </c>
      <c r="Y57" s="580">
        <f t="shared" si="2"/>
        <v>2</v>
      </c>
      <c r="Z57" s="582">
        <v>1</v>
      </c>
      <c r="AA57" s="582">
        <v>1</v>
      </c>
      <c r="AB57" s="582">
        <v>1</v>
      </c>
      <c r="AC57" s="580">
        <f t="shared" si="3"/>
        <v>3</v>
      </c>
    </row>
    <row r="58" spans="2:29" ht="43.5" customHeight="1">
      <c r="B58" s="859"/>
      <c r="C58" s="28">
        <v>3.1</v>
      </c>
      <c r="D58" s="200">
        <v>44</v>
      </c>
      <c r="E58" s="860" t="s">
        <v>59</v>
      </c>
      <c r="F58" s="860"/>
      <c r="G58" s="860"/>
      <c r="H58" s="860"/>
      <c r="I58" s="578">
        <f t="shared" si="18"/>
        <v>44.1</v>
      </c>
      <c r="J58" s="579" t="s">
        <v>60</v>
      </c>
      <c r="K58" s="656"/>
      <c r="L58" s="582" t="s">
        <v>219</v>
      </c>
      <c r="M58" s="581">
        <f t="shared" si="8"/>
        <v>20</v>
      </c>
      <c r="N58" s="582">
        <v>2</v>
      </c>
      <c r="O58" s="582">
        <v>2</v>
      </c>
      <c r="P58" s="582">
        <v>2</v>
      </c>
      <c r="Q58" s="584">
        <f t="shared" si="9"/>
        <v>6</v>
      </c>
      <c r="R58" s="582">
        <v>1</v>
      </c>
      <c r="S58" s="582">
        <v>2</v>
      </c>
      <c r="T58" s="582">
        <v>2</v>
      </c>
      <c r="U58" s="580">
        <f t="shared" si="1"/>
        <v>5</v>
      </c>
      <c r="V58" s="582"/>
      <c r="W58" s="582">
        <v>2</v>
      </c>
      <c r="X58" s="582">
        <v>2</v>
      </c>
      <c r="Y58" s="580">
        <f t="shared" si="2"/>
        <v>4</v>
      </c>
      <c r="Z58" s="582">
        <v>2</v>
      </c>
      <c r="AA58" s="582">
        <v>2</v>
      </c>
      <c r="AB58" s="582">
        <v>1</v>
      </c>
      <c r="AC58" s="580">
        <f t="shared" si="3"/>
        <v>5</v>
      </c>
    </row>
    <row r="59" spans="2:29" ht="43.5" customHeight="1">
      <c r="B59" s="859"/>
      <c r="C59" s="28">
        <v>3.1</v>
      </c>
      <c r="D59" s="200">
        <v>45</v>
      </c>
      <c r="E59" s="860" t="s">
        <v>61</v>
      </c>
      <c r="F59" s="860"/>
      <c r="G59" s="860"/>
      <c r="H59" s="860"/>
      <c r="I59" s="578">
        <f t="shared" si="18"/>
        <v>45.1</v>
      </c>
      <c r="J59" s="579" t="s">
        <v>293</v>
      </c>
      <c r="K59" s="656"/>
      <c r="L59" s="582" t="s">
        <v>219</v>
      </c>
      <c r="M59" s="581">
        <f t="shared" si="8"/>
        <v>15</v>
      </c>
      <c r="N59" s="582">
        <v>4</v>
      </c>
      <c r="O59" s="582">
        <v>3</v>
      </c>
      <c r="P59" s="582">
        <v>3</v>
      </c>
      <c r="Q59" s="584">
        <f t="shared" si="9"/>
        <v>10</v>
      </c>
      <c r="R59" s="582">
        <v>2</v>
      </c>
      <c r="S59" s="582">
        <v>1</v>
      </c>
      <c r="T59" s="582">
        <v>1</v>
      </c>
      <c r="U59" s="580">
        <f t="shared" si="1"/>
        <v>4</v>
      </c>
      <c r="V59" s="582"/>
      <c r="W59" s="582"/>
      <c r="X59" s="582"/>
      <c r="Y59" s="580">
        <f t="shared" si="2"/>
        <v>0</v>
      </c>
      <c r="Z59" s="582"/>
      <c r="AA59" s="582">
        <v>1</v>
      </c>
      <c r="AB59" s="582"/>
      <c r="AC59" s="580">
        <f t="shared" si="3"/>
        <v>1</v>
      </c>
    </row>
    <row r="60" spans="2:29" ht="43.5" customHeight="1">
      <c r="B60" s="859"/>
      <c r="C60" s="28">
        <v>5.1</v>
      </c>
      <c r="D60" s="200"/>
      <c r="E60" s="860" t="s">
        <v>63</v>
      </c>
      <c r="F60" s="860"/>
      <c r="G60" s="860"/>
      <c r="H60" s="860"/>
      <c r="I60" s="578">
        <f t="shared" si="18"/>
        <v>0.1</v>
      </c>
      <c r="J60" s="579" t="s">
        <v>64</v>
      </c>
      <c r="K60" s="656"/>
      <c r="L60" s="582" t="s">
        <v>221</v>
      </c>
      <c r="M60" s="581">
        <f t="shared" si="8"/>
        <v>6</v>
      </c>
      <c r="N60" s="582"/>
      <c r="O60" s="582">
        <v>1</v>
      </c>
      <c r="P60" s="582">
        <v>1</v>
      </c>
      <c r="Q60" s="584">
        <f t="shared" si="9"/>
        <v>2</v>
      </c>
      <c r="R60" s="582">
        <v>1</v>
      </c>
      <c r="S60" s="582"/>
      <c r="T60" s="582">
        <v>1</v>
      </c>
      <c r="U60" s="580">
        <f t="shared" si="1"/>
        <v>2</v>
      </c>
      <c r="V60" s="582"/>
      <c r="W60" s="582"/>
      <c r="X60" s="582">
        <v>1</v>
      </c>
      <c r="Y60" s="580">
        <f t="shared" si="2"/>
        <v>1</v>
      </c>
      <c r="Z60" s="582">
        <v>1</v>
      </c>
      <c r="AA60" s="582"/>
      <c r="AB60" s="582"/>
      <c r="AC60" s="580">
        <f t="shared" si="3"/>
        <v>1</v>
      </c>
    </row>
    <row r="61" spans="2:29" ht="43.5" customHeight="1">
      <c r="B61" s="859"/>
      <c r="C61" s="28">
        <v>5.1</v>
      </c>
      <c r="D61" s="200">
        <v>46</v>
      </c>
      <c r="E61" s="860"/>
      <c r="F61" s="860"/>
      <c r="G61" s="860"/>
      <c r="H61" s="860"/>
      <c r="I61" s="578">
        <f>+I60+0.1</f>
        <v>0.2</v>
      </c>
      <c r="J61" s="579" t="s">
        <v>731</v>
      </c>
      <c r="K61" s="656"/>
      <c r="L61" s="582" t="s">
        <v>218</v>
      </c>
      <c r="M61" s="581">
        <f t="shared" si="8"/>
        <v>1</v>
      </c>
      <c r="N61" s="582"/>
      <c r="O61" s="582">
        <v>1</v>
      </c>
      <c r="P61" s="582"/>
      <c r="Q61" s="584">
        <f t="shared" si="9"/>
        <v>1</v>
      </c>
      <c r="R61" s="582"/>
      <c r="S61" s="582"/>
      <c r="T61" s="582"/>
      <c r="U61" s="580">
        <f t="shared" si="1"/>
        <v>0</v>
      </c>
      <c r="V61" s="582"/>
      <c r="W61" s="582"/>
      <c r="X61" s="582"/>
      <c r="Y61" s="580">
        <f t="shared" si="2"/>
        <v>0</v>
      </c>
      <c r="Z61" s="582"/>
      <c r="AA61" s="582"/>
      <c r="AB61" s="582"/>
      <c r="AC61" s="580">
        <f t="shared" si="3"/>
        <v>0</v>
      </c>
    </row>
    <row r="62" spans="2:29" ht="36.75" customHeight="1">
      <c r="B62" s="859"/>
      <c r="C62" s="28">
        <v>1.1</v>
      </c>
      <c r="D62" s="200">
        <v>47</v>
      </c>
      <c r="E62" s="860" t="s">
        <v>307</v>
      </c>
      <c r="F62" s="860"/>
      <c r="G62" s="860"/>
      <c r="H62" s="860"/>
      <c r="I62" s="578">
        <f aca="true" t="shared" si="19" ref="I62:I67">+D62+0.1</f>
        <v>47.1</v>
      </c>
      <c r="J62" s="579" t="s">
        <v>294</v>
      </c>
      <c r="K62" s="656"/>
      <c r="L62" s="582" t="s">
        <v>231</v>
      </c>
      <c r="M62" s="581">
        <f t="shared" si="8"/>
        <v>12</v>
      </c>
      <c r="N62" s="586">
        <v>1</v>
      </c>
      <c r="O62" s="586">
        <v>1</v>
      </c>
      <c r="P62" s="586">
        <v>1</v>
      </c>
      <c r="Q62" s="584">
        <f t="shared" si="9"/>
        <v>3</v>
      </c>
      <c r="R62" s="586">
        <v>1</v>
      </c>
      <c r="S62" s="586">
        <v>1</v>
      </c>
      <c r="T62" s="586">
        <v>1</v>
      </c>
      <c r="U62" s="580">
        <f t="shared" si="1"/>
        <v>3</v>
      </c>
      <c r="V62" s="586">
        <v>1</v>
      </c>
      <c r="W62" s="586">
        <v>1</v>
      </c>
      <c r="X62" s="586">
        <v>1</v>
      </c>
      <c r="Y62" s="580">
        <f t="shared" si="2"/>
        <v>3</v>
      </c>
      <c r="Z62" s="586">
        <v>1</v>
      </c>
      <c r="AA62" s="586">
        <v>1</v>
      </c>
      <c r="AB62" s="586">
        <v>1</v>
      </c>
      <c r="AC62" s="580">
        <f t="shared" si="3"/>
        <v>3</v>
      </c>
    </row>
    <row r="63" spans="2:29" ht="30" customHeight="1">
      <c r="B63" s="859"/>
      <c r="C63" s="28">
        <v>1.1</v>
      </c>
      <c r="D63" s="200">
        <v>48</v>
      </c>
      <c r="E63" s="860" t="s">
        <v>295</v>
      </c>
      <c r="F63" s="860"/>
      <c r="G63" s="860"/>
      <c r="H63" s="860"/>
      <c r="I63" s="578">
        <f t="shared" si="19"/>
        <v>48.1</v>
      </c>
      <c r="J63" s="579" t="s">
        <v>296</v>
      </c>
      <c r="K63" s="656"/>
      <c r="L63" s="582" t="s">
        <v>231</v>
      </c>
      <c r="M63" s="581">
        <f aca="true" t="shared" si="20" ref="M63:M117">+Q63+U63+Y63+AC63</f>
        <v>12</v>
      </c>
      <c r="N63" s="586">
        <v>1</v>
      </c>
      <c r="O63" s="586">
        <v>1</v>
      </c>
      <c r="P63" s="587">
        <v>1</v>
      </c>
      <c r="Q63" s="584">
        <f t="shared" si="9"/>
        <v>3</v>
      </c>
      <c r="R63" s="586">
        <v>1</v>
      </c>
      <c r="S63" s="586">
        <v>1</v>
      </c>
      <c r="T63" s="586">
        <v>1</v>
      </c>
      <c r="U63" s="580">
        <f t="shared" si="1"/>
        <v>3</v>
      </c>
      <c r="V63" s="586">
        <v>1</v>
      </c>
      <c r="W63" s="586">
        <v>1</v>
      </c>
      <c r="X63" s="586">
        <v>1</v>
      </c>
      <c r="Y63" s="580">
        <f t="shared" si="2"/>
        <v>3</v>
      </c>
      <c r="Z63" s="586">
        <v>1</v>
      </c>
      <c r="AA63" s="586">
        <v>1</v>
      </c>
      <c r="AB63" s="586">
        <v>1</v>
      </c>
      <c r="AC63" s="580">
        <f t="shared" si="3"/>
        <v>3</v>
      </c>
    </row>
    <row r="64" spans="2:29" ht="30" customHeight="1">
      <c r="B64" s="859"/>
      <c r="C64" s="28">
        <v>1.1</v>
      </c>
      <c r="D64" s="200">
        <v>49</v>
      </c>
      <c r="E64" s="860" t="s">
        <v>114</v>
      </c>
      <c r="F64" s="860"/>
      <c r="G64" s="860"/>
      <c r="H64" s="860"/>
      <c r="I64" s="578">
        <f t="shared" si="19"/>
        <v>49.1</v>
      </c>
      <c r="J64" s="579" t="s">
        <v>297</v>
      </c>
      <c r="K64" s="656"/>
      <c r="L64" s="582" t="s">
        <v>231</v>
      </c>
      <c r="M64" s="581">
        <f t="shared" si="20"/>
        <v>12</v>
      </c>
      <c r="N64" s="586">
        <v>1</v>
      </c>
      <c r="O64" s="586">
        <v>1</v>
      </c>
      <c r="P64" s="586">
        <v>1</v>
      </c>
      <c r="Q64" s="584">
        <f t="shared" si="9"/>
        <v>3</v>
      </c>
      <c r="R64" s="586">
        <v>1</v>
      </c>
      <c r="S64" s="586">
        <v>1</v>
      </c>
      <c r="T64" s="586">
        <v>1</v>
      </c>
      <c r="U64" s="580">
        <f t="shared" si="1"/>
        <v>3</v>
      </c>
      <c r="V64" s="586">
        <v>1</v>
      </c>
      <c r="W64" s="586">
        <v>1</v>
      </c>
      <c r="X64" s="586">
        <v>1</v>
      </c>
      <c r="Y64" s="580">
        <f aca="true" t="shared" si="21" ref="Y64:Y117">SUM(V64:X64)</f>
        <v>3</v>
      </c>
      <c r="Z64" s="586">
        <v>1</v>
      </c>
      <c r="AA64" s="586">
        <v>1</v>
      </c>
      <c r="AB64" s="586">
        <v>1</v>
      </c>
      <c r="AC64" s="580">
        <f aca="true" t="shared" si="22" ref="AC64:AC117">SUM(Z64:AB64)</f>
        <v>3</v>
      </c>
    </row>
    <row r="65" spans="2:29" ht="30" customHeight="1">
      <c r="B65" s="859"/>
      <c r="C65" s="28">
        <v>3.1</v>
      </c>
      <c r="D65" s="200">
        <v>50</v>
      </c>
      <c r="E65" s="860" t="s">
        <v>96</v>
      </c>
      <c r="F65" s="860"/>
      <c r="G65" s="860"/>
      <c r="H65" s="860"/>
      <c r="I65" s="578">
        <f t="shared" si="19"/>
        <v>50.1</v>
      </c>
      <c r="J65" s="579" t="s">
        <v>97</v>
      </c>
      <c r="K65" s="656"/>
      <c r="L65" s="582" t="s">
        <v>531</v>
      </c>
      <c r="M65" s="581">
        <f t="shared" si="20"/>
        <v>4</v>
      </c>
      <c r="N65" s="586"/>
      <c r="O65" s="586"/>
      <c r="P65" s="586"/>
      <c r="Q65" s="584">
        <f t="shared" si="9"/>
        <v>0</v>
      </c>
      <c r="R65" s="586"/>
      <c r="S65" s="586"/>
      <c r="T65" s="586"/>
      <c r="U65" s="580">
        <f t="shared" si="1"/>
        <v>0</v>
      </c>
      <c r="V65" s="586"/>
      <c r="W65" s="586"/>
      <c r="X65" s="586">
        <v>1</v>
      </c>
      <c r="Y65" s="580">
        <f t="shared" si="21"/>
        <v>1</v>
      </c>
      <c r="Z65" s="586">
        <v>1</v>
      </c>
      <c r="AA65" s="586"/>
      <c r="AB65" s="586">
        <v>2</v>
      </c>
      <c r="AC65" s="580">
        <f t="shared" si="22"/>
        <v>3</v>
      </c>
    </row>
    <row r="66" spans="2:29" ht="30.75" customHeight="1">
      <c r="B66" s="859"/>
      <c r="C66" s="15">
        <v>8</v>
      </c>
      <c r="D66" s="200">
        <v>51</v>
      </c>
      <c r="E66" s="860" t="s">
        <v>11</v>
      </c>
      <c r="F66" s="860"/>
      <c r="G66" s="860"/>
      <c r="H66" s="860"/>
      <c r="I66" s="578">
        <f t="shared" si="19"/>
        <v>51.1</v>
      </c>
      <c r="J66" s="579" t="s">
        <v>502</v>
      </c>
      <c r="K66" s="656"/>
      <c r="L66" s="582" t="s">
        <v>224</v>
      </c>
      <c r="M66" s="581">
        <f t="shared" si="20"/>
        <v>2</v>
      </c>
      <c r="N66" s="586"/>
      <c r="O66" s="586"/>
      <c r="P66" s="586"/>
      <c r="Q66" s="584">
        <f t="shared" si="9"/>
        <v>0</v>
      </c>
      <c r="R66" s="586"/>
      <c r="S66" s="586">
        <v>1</v>
      </c>
      <c r="T66" s="586">
        <v>1</v>
      </c>
      <c r="U66" s="580">
        <f t="shared" si="1"/>
        <v>2</v>
      </c>
      <c r="V66" s="586"/>
      <c r="W66" s="586"/>
      <c r="X66" s="586"/>
      <c r="Y66" s="580">
        <f t="shared" si="21"/>
        <v>0</v>
      </c>
      <c r="Z66" s="586"/>
      <c r="AA66" s="586"/>
      <c r="AB66" s="586"/>
      <c r="AC66" s="580">
        <f t="shared" si="22"/>
        <v>0</v>
      </c>
    </row>
    <row r="67" spans="2:29" ht="30.75" customHeight="1">
      <c r="B67" s="859"/>
      <c r="C67" s="15"/>
      <c r="D67" s="200">
        <v>52</v>
      </c>
      <c r="E67" s="860" t="s">
        <v>298</v>
      </c>
      <c r="F67" s="860"/>
      <c r="G67" s="860"/>
      <c r="H67" s="860"/>
      <c r="I67" s="578">
        <f t="shared" si="19"/>
        <v>52.1</v>
      </c>
      <c r="J67" s="579" t="s">
        <v>18</v>
      </c>
      <c r="K67" s="656"/>
      <c r="L67" s="582" t="s">
        <v>231</v>
      </c>
      <c r="M67" s="581">
        <f t="shared" si="20"/>
        <v>4</v>
      </c>
      <c r="N67" s="586"/>
      <c r="O67" s="586"/>
      <c r="P67" s="586">
        <v>1</v>
      </c>
      <c r="Q67" s="584">
        <f t="shared" si="9"/>
        <v>1</v>
      </c>
      <c r="R67" s="586"/>
      <c r="S67" s="586"/>
      <c r="T67" s="586">
        <v>1</v>
      </c>
      <c r="U67" s="580">
        <f t="shared" si="1"/>
        <v>1</v>
      </c>
      <c r="V67" s="586"/>
      <c r="W67" s="586"/>
      <c r="X67" s="586">
        <v>1</v>
      </c>
      <c r="Y67" s="580">
        <f t="shared" si="21"/>
        <v>1</v>
      </c>
      <c r="Z67" s="586"/>
      <c r="AA67" s="586"/>
      <c r="AB67" s="586">
        <v>1</v>
      </c>
      <c r="AC67" s="580">
        <f t="shared" si="22"/>
        <v>1</v>
      </c>
    </row>
    <row r="68" spans="1:31" s="228" customFormat="1" ht="15.75" customHeight="1">
      <c r="A68" s="709"/>
      <c r="B68" s="859"/>
      <c r="C68" s="28"/>
      <c r="D68" s="200"/>
      <c r="E68" s="855" t="s">
        <v>66</v>
      </c>
      <c r="F68" s="855"/>
      <c r="G68" s="855"/>
      <c r="H68" s="855"/>
      <c r="I68" s="855"/>
      <c r="J68" s="855"/>
      <c r="K68" s="655"/>
      <c r="L68" s="577"/>
      <c r="M68" s="577">
        <f t="shared" si="20"/>
        <v>48</v>
      </c>
      <c r="N68" s="577">
        <f>SUM(N69:N82)</f>
        <v>4</v>
      </c>
      <c r="O68" s="577">
        <f>SUM(O69:O82)</f>
        <v>4</v>
      </c>
      <c r="P68" s="577">
        <f>SUM(P69:P82)</f>
        <v>7</v>
      </c>
      <c r="Q68" s="577">
        <f aca="true" t="shared" si="23" ref="Q68:Q117">SUM(N68:P68)</f>
        <v>15</v>
      </c>
      <c r="R68" s="577">
        <f>SUM(R69:R82)</f>
        <v>6</v>
      </c>
      <c r="S68" s="577">
        <f>SUM(S69:S82)</f>
        <v>2</v>
      </c>
      <c r="T68" s="577">
        <f>SUM(T69:T82)</f>
        <v>2</v>
      </c>
      <c r="U68" s="577">
        <f t="shared" si="1"/>
        <v>10</v>
      </c>
      <c r="V68" s="577">
        <f>SUM(V69:V82)</f>
        <v>5</v>
      </c>
      <c r="W68" s="577">
        <f>SUM(W69:W82)</f>
        <v>4</v>
      </c>
      <c r="X68" s="577">
        <f>SUM(X69:X82)</f>
        <v>5</v>
      </c>
      <c r="Y68" s="577">
        <f t="shared" si="21"/>
        <v>14</v>
      </c>
      <c r="Z68" s="577">
        <f>SUM(Z69:Z82)</f>
        <v>3</v>
      </c>
      <c r="AA68" s="577">
        <f>SUM(AA69:AA82)</f>
        <v>1</v>
      </c>
      <c r="AB68" s="577">
        <f>SUM(AB69:AB82)</f>
        <v>5</v>
      </c>
      <c r="AC68" s="577">
        <f t="shared" si="22"/>
        <v>9</v>
      </c>
      <c r="AD68" s="334"/>
      <c r="AE68" s="340"/>
    </row>
    <row r="69" spans="2:29" ht="18.75">
      <c r="B69" s="859"/>
      <c r="C69" s="28">
        <v>1.6</v>
      </c>
      <c r="D69" s="200">
        <v>53</v>
      </c>
      <c r="E69" s="856" t="s">
        <v>570</v>
      </c>
      <c r="F69" s="856"/>
      <c r="G69" s="856"/>
      <c r="H69" s="856"/>
      <c r="I69" s="578">
        <f>+D69+0.1</f>
        <v>53.1</v>
      </c>
      <c r="J69" s="579" t="s">
        <v>571</v>
      </c>
      <c r="K69" s="656"/>
      <c r="L69" s="582" t="s">
        <v>225</v>
      </c>
      <c r="M69" s="581">
        <f t="shared" si="20"/>
        <v>2</v>
      </c>
      <c r="N69" s="586"/>
      <c r="O69" s="586">
        <v>1</v>
      </c>
      <c r="P69" s="586"/>
      <c r="Q69" s="584">
        <f t="shared" si="23"/>
        <v>1</v>
      </c>
      <c r="R69" s="586"/>
      <c r="S69" s="586"/>
      <c r="T69" s="586"/>
      <c r="U69" s="580">
        <f t="shared" si="1"/>
        <v>0</v>
      </c>
      <c r="V69" s="586"/>
      <c r="W69" s="586"/>
      <c r="X69" s="586"/>
      <c r="Y69" s="580">
        <f t="shared" si="21"/>
        <v>0</v>
      </c>
      <c r="Z69" s="586"/>
      <c r="AA69" s="586"/>
      <c r="AB69" s="586">
        <v>1</v>
      </c>
      <c r="AC69" s="580">
        <f t="shared" si="22"/>
        <v>1</v>
      </c>
    </row>
    <row r="70" spans="2:29" ht="33.75" customHeight="1">
      <c r="B70" s="859"/>
      <c r="C70" s="809">
        <v>1.1</v>
      </c>
      <c r="D70" s="200"/>
      <c r="E70" s="854" t="s">
        <v>572</v>
      </c>
      <c r="F70" s="854"/>
      <c r="G70" s="854"/>
      <c r="H70" s="854"/>
      <c r="I70" s="578">
        <f>+D71+0.1</f>
        <v>54.1</v>
      </c>
      <c r="J70" s="579" t="s">
        <v>41</v>
      </c>
      <c r="K70" s="656"/>
      <c r="L70" s="582" t="s">
        <v>42</v>
      </c>
      <c r="M70" s="581">
        <f t="shared" si="20"/>
        <v>3</v>
      </c>
      <c r="N70" s="586">
        <v>1</v>
      </c>
      <c r="O70" s="586"/>
      <c r="P70" s="586">
        <v>1</v>
      </c>
      <c r="Q70" s="584">
        <f t="shared" si="23"/>
        <v>2</v>
      </c>
      <c r="R70" s="586"/>
      <c r="S70" s="586"/>
      <c r="T70" s="586"/>
      <c r="U70" s="580">
        <f t="shared" si="1"/>
        <v>0</v>
      </c>
      <c r="V70" s="586"/>
      <c r="W70" s="586"/>
      <c r="X70" s="586"/>
      <c r="Y70" s="580">
        <f t="shared" si="21"/>
        <v>0</v>
      </c>
      <c r="Z70" s="586"/>
      <c r="AA70" s="586"/>
      <c r="AB70" s="586">
        <v>1</v>
      </c>
      <c r="AC70" s="580">
        <f t="shared" si="22"/>
        <v>1</v>
      </c>
    </row>
    <row r="71" spans="2:29" ht="25.5">
      <c r="B71" s="859"/>
      <c r="C71" s="809"/>
      <c r="D71" s="200">
        <v>54</v>
      </c>
      <c r="E71" s="854"/>
      <c r="F71" s="854"/>
      <c r="G71" s="854"/>
      <c r="H71" s="854"/>
      <c r="I71" s="578">
        <f>+I70+0.1</f>
        <v>54.2</v>
      </c>
      <c r="J71" s="579" t="s">
        <v>299</v>
      </c>
      <c r="K71" s="656"/>
      <c r="L71" s="582" t="s">
        <v>231</v>
      </c>
      <c r="M71" s="581">
        <f t="shared" si="20"/>
        <v>3</v>
      </c>
      <c r="N71" s="586">
        <v>1</v>
      </c>
      <c r="O71" s="586">
        <v>1</v>
      </c>
      <c r="P71" s="586">
        <v>1</v>
      </c>
      <c r="Q71" s="584">
        <f t="shared" si="23"/>
        <v>3</v>
      </c>
      <c r="R71" s="586"/>
      <c r="S71" s="586"/>
      <c r="T71" s="586"/>
      <c r="U71" s="580">
        <f t="shared" si="1"/>
        <v>0</v>
      </c>
      <c r="V71" s="586"/>
      <c r="W71" s="586"/>
      <c r="X71" s="586"/>
      <c r="Y71" s="580">
        <f t="shared" si="21"/>
        <v>0</v>
      </c>
      <c r="Z71" s="586"/>
      <c r="AA71" s="586"/>
      <c r="AB71" s="586"/>
      <c r="AC71" s="580">
        <f t="shared" si="22"/>
        <v>0</v>
      </c>
    </row>
    <row r="72" spans="2:29" ht="30" customHeight="1">
      <c r="B72" s="859"/>
      <c r="C72" s="28">
        <v>1.1</v>
      </c>
      <c r="D72" s="200">
        <v>55</v>
      </c>
      <c r="E72" s="856" t="s">
        <v>300</v>
      </c>
      <c r="F72" s="856"/>
      <c r="G72" s="856"/>
      <c r="H72" s="856"/>
      <c r="I72" s="578">
        <f aca="true" t="shared" si="24" ref="I72:I82">+D72+0.1</f>
        <v>55.1</v>
      </c>
      <c r="J72" s="579" t="s">
        <v>45</v>
      </c>
      <c r="K72" s="656"/>
      <c r="L72" s="582" t="s">
        <v>231</v>
      </c>
      <c r="M72" s="581">
        <f t="shared" si="20"/>
        <v>3</v>
      </c>
      <c r="N72" s="586"/>
      <c r="O72" s="586"/>
      <c r="P72" s="586">
        <v>1</v>
      </c>
      <c r="Q72" s="584">
        <f t="shared" si="23"/>
        <v>1</v>
      </c>
      <c r="R72" s="586"/>
      <c r="S72" s="586"/>
      <c r="T72" s="586"/>
      <c r="U72" s="580">
        <f t="shared" si="1"/>
        <v>0</v>
      </c>
      <c r="V72" s="586"/>
      <c r="W72" s="586">
        <v>1</v>
      </c>
      <c r="X72" s="586"/>
      <c r="Y72" s="580">
        <f t="shared" si="21"/>
        <v>1</v>
      </c>
      <c r="Z72" s="586"/>
      <c r="AA72" s="586"/>
      <c r="AB72" s="586">
        <v>1</v>
      </c>
      <c r="AC72" s="580">
        <f t="shared" si="22"/>
        <v>1</v>
      </c>
    </row>
    <row r="73" spans="2:29" ht="47.25" customHeight="1">
      <c r="B73" s="859"/>
      <c r="C73" s="28">
        <v>3</v>
      </c>
      <c r="D73" s="200">
        <v>56</v>
      </c>
      <c r="E73" s="856" t="s">
        <v>47</v>
      </c>
      <c r="F73" s="856"/>
      <c r="G73" s="856"/>
      <c r="H73" s="856"/>
      <c r="I73" s="578">
        <f t="shared" si="24"/>
        <v>56.1</v>
      </c>
      <c r="J73" s="579" t="s">
        <v>46</v>
      </c>
      <c r="K73" s="656"/>
      <c r="L73" s="582" t="s">
        <v>231</v>
      </c>
      <c r="M73" s="581">
        <f t="shared" si="20"/>
        <v>2</v>
      </c>
      <c r="N73" s="586"/>
      <c r="O73" s="586"/>
      <c r="P73" s="586">
        <v>1</v>
      </c>
      <c r="Q73" s="584">
        <f t="shared" si="23"/>
        <v>1</v>
      </c>
      <c r="R73" s="586"/>
      <c r="S73" s="586"/>
      <c r="T73" s="586"/>
      <c r="U73" s="580">
        <f t="shared" si="1"/>
        <v>0</v>
      </c>
      <c r="V73" s="586"/>
      <c r="W73" s="586"/>
      <c r="X73" s="586">
        <v>1</v>
      </c>
      <c r="Y73" s="580">
        <f t="shared" si="21"/>
        <v>1</v>
      </c>
      <c r="Z73" s="586"/>
      <c r="AA73" s="586"/>
      <c r="AB73" s="586"/>
      <c r="AC73" s="580">
        <f t="shared" si="22"/>
        <v>0</v>
      </c>
    </row>
    <row r="74" spans="2:29" ht="30" customHeight="1">
      <c r="B74" s="859"/>
      <c r="C74" s="28">
        <v>3</v>
      </c>
      <c r="D74" s="200">
        <v>57</v>
      </c>
      <c r="E74" s="856" t="s">
        <v>51</v>
      </c>
      <c r="F74" s="856"/>
      <c r="G74" s="856"/>
      <c r="H74" s="856"/>
      <c r="I74" s="578">
        <f t="shared" si="24"/>
        <v>57.1</v>
      </c>
      <c r="J74" s="579" t="s">
        <v>52</v>
      </c>
      <c r="K74" s="656"/>
      <c r="L74" s="582" t="s">
        <v>42</v>
      </c>
      <c r="M74" s="581">
        <f t="shared" si="20"/>
        <v>1</v>
      </c>
      <c r="N74" s="586"/>
      <c r="O74" s="586"/>
      <c r="P74" s="586"/>
      <c r="Q74" s="584">
        <f t="shared" si="23"/>
        <v>0</v>
      </c>
      <c r="R74" s="586"/>
      <c r="S74" s="586"/>
      <c r="T74" s="586"/>
      <c r="U74" s="580">
        <f aca="true" t="shared" si="25" ref="U74:U117">SUM(R74:T74)</f>
        <v>0</v>
      </c>
      <c r="V74" s="586">
        <v>1</v>
      </c>
      <c r="W74" s="586"/>
      <c r="X74" s="586"/>
      <c r="Y74" s="580">
        <f t="shared" si="21"/>
        <v>1</v>
      </c>
      <c r="Z74" s="586"/>
      <c r="AA74" s="586"/>
      <c r="AB74" s="586"/>
      <c r="AC74" s="580">
        <f t="shared" si="22"/>
        <v>0</v>
      </c>
    </row>
    <row r="75" spans="2:29" ht="30" customHeight="1">
      <c r="B75" s="859"/>
      <c r="C75" s="28">
        <v>3</v>
      </c>
      <c r="D75" s="200">
        <v>58</v>
      </c>
      <c r="E75" s="856" t="s">
        <v>301</v>
      </c>
      <c r="F75" s="856"/>
      <c r="G75" s="856"/>
      <c r="H75" s="856"/>
      <c r="I75" s="578">
        <f t="shared" si="24"/>
        <v>58.1</v>
      </c>
      <c r="J75" s="579" t="s">
        <v>54</v>
      </c>
      <c r="K75" s="656"/>
      <c r="L75" s="582" t="s">
        <v>42</v>
      </c>
      <c r="M75" s="581">
        <f t="shared" si="20"/>
        <v>2</v>
      </c>
      <c r="N75" s="586"/>
      <c r="O75" s="586"/>
      <c r="P75" s="586"/>
      <c r="Q75" s="584">
        <f t="shared" si="23"/>
        <v>0</v>
      </c>
      <c r="R75" s="586">
        <v>1</v>
      </c>
      <c r="S75" s="586"/>
      <c r="T75" s="586"/>
      <c r="U75" s="580">
        <f t="shared" si="25"/>
        <v>1</v>
      </c>
      <c r="V75" s="586"/>
      <c r="W75" s="586"/>
      <c r="X75" s="586"/>
      <c r="Y75" s="580">
        <f t="shared" si="21"/>
        <v>0</v>
      </c>
      <c r="Z75" s="586"/>
      <c r="AA75" s="586">
        <v>1</v>
      </c>
      <c r="AB75" s="586"/>
      <c r="AC75" s="580">
        <f t="shared" si="22"/>
        <v>1</v>
      </c>
    </row>
    <row r="76" spans="2:29" ht="12.75">
      <c r="B76" s="859"/>
      <c r="C76" s="28">
        <v>3</v>
      </c>
      <c r="D76" s="200">
        <v>59</v>
      </c>
      <c r="E76" s="856" t="s">
        <v>302</v>
      </c>
      <c r="F76" s="856"/>
      <c r="G76" s="856"/>
      <c r="H76" s="856"/>
      <c r="I76" s="578">
        <f>+D76+0.1</f>
        <v>59.1</v>
      </c>
      <c r="J76" s="579" t="s">
        <v>778</v>
      </c>
      <c r="K76" s="656"/>
      <c r="L76" s="582" t="s">
        <v>49</v>
      </c>
      <c r="M76" s="581">
        <f>+Q76+U76+Y76+AC76</f>
        <v>2</v>
      </c>
      <c r="N76" s="586"/>
      <c r="O76" s="586"/>
      <c r="P76" s="586"/>
      <c r="Q76" s="584">
        <f>SUM(N76:P76)</f>
        <v>0</v>
      </c>
      <c r="R76" s="586">
        <v>1</v>
      </c>
      <c r="S76" s="586"/>
      <c r="T76" s="586"/>
      <c r="U76" s="580">
        <f>SUM(R76:T76)</f>
        <v>1</v>
      </c>
      <c r="V76" s="586"/>
      <c r="W76" s="586"/>
      <c r="X76" s="586">
        <v>1</v>
      </c>
      <c r="Y76" s="580">
        <f>SUM(V76:X76)</f>
        <v>1</v>
      </c>
      <c r="Z76" s="586"/>
      <c r="AA76" s="586"/>
      <c r="AB76" s="586"/>
      <c r="AC76" s="580">
        <f>SUM(Z76:AB76)</f>
        <v>0</v>
      </c>
    </row>
    <row r="77" spans="2:29" ht="55.5" customHeight="1">
      <c r="B77" s="859"/>
      <c r="C77" s="28"/>
      <c r="D77" s="200">
        <v>60</v>
      </c>
      <c r="E77" s="856" t="s">
        <v>683</v>
      </c>
      <c r="F77" s="856"/>
      <c r="G77" s="856"/>
      <c r="H77" s="856"/>
      <c r="I77" s="578">
        <f>+D77+0.1</f>
        <v>60.1</v>
      </c>
      <c r="J77" s="579" t="s">
        <v>303</v>
      </c>
      <c r="K77" s="656"/>
      <c r="L77" s="582" t="s">
        <v>231</v>
      </c>
      <c r="M77" s="581">
        <f>+Q77+U77+Y77+AC77</f>
        <v>8</v>
      </c>
      <c r="N77" s="586"/>
      <c r="O77" s="586">
        <v>2</v>
      </c>
      <c r="P77" s="586">
        <v>1</v>
      </c>
      <c r="Q77" s="580">
        <f>SUM(N77:P77)</f>
        <v>3</v>
      </c>
      <c r="R77" s="586">
        <v>1</v>
      </c>
      <c r="S77" s="586"/>
      <c r="T77" s="586"/>
      <c r="U77" s="580">
        <f>SUM(R77:T77)</f>
        <v>1</v>
      </c>
      <c r="V77" s="586">
        <v>1</v>
      </c>
      <c r="W77" s="586">
        <v>1</v>
      </c>
      <c r="X77" s="586">
        <v>1</v>
      </c>
      <c r="Y77" s="580">
        <f>SUM(V77:X77)</f>
        <v>3</v>
      </c>
      <c r="Z77" s="586">
        <v>1</v>
      </c>
      <c r="AA77" s="586"/>
      <c r="AB77" s="586"/>
      <c r="AC77" s="580">
        <f>SUM(Z77:AB77)</f>
        <v>1</v>
      </c>
    </row>
    <row r="78" spans="2:29" ht="51" customHeight="1">
      <c r="B78" s="859"/>
      <c r="C78" s="28">
        <v>1.1</v>
      </c>
      <c r="D78" s="200">
        <v>61</v>
      </c>
      <c r="E78" s="856" t="s">
        <v>681</v>
      </c>
      <c r="F78" s="856"/>
      <c r="G78" s="856"/>
      <c r="H78" s="856"/>
      <c r="I78" s="578">
        <f t="shared" si="24"/>
        <v>61.1</v>
      </c>
      <c r="J78" s="585" t="s">
        <v>779</v>
      </c>
      <c r="K78" s="656"/>
      <c r="L78" s="582" t="s">
        <v>219</v>
      </c>
      <c r="M78" s="581">
        <f t="shared" si="20"/>
        <v>1</v>
      </c>
      <c r="N78" s="586"/>
      <c r="O78" s="587"/>
      <c r="P78" s="586"/>
      <c r="Q78" s="584">
        <f t="shared" si="23"/>
        <v>0</v>
      </c>
      <c r="R78" s="586"/>
      <c r="S78" s="586">
        <v>1</v>
      </c>
      <c r="T78" s="586"/>
      <c r="U78" s="580">
        <f t="shared" si="25"/>
        <v>1</v>
      </c>
      <c r="V78" s="586"/>
      <c r="W78" s="586"/>
      <c r="X78" s="586"/>
      <c r="Y78" s="580">
        <f t="shared" si="21"/>
        <v>0</v>
      </c>
      <c r="Z78" s="586"/>
      <c r="AA78" s="586"/>
      <c r="AB78" s="586"/>
      <c r="AC78" s="580">
        <f t="shared" si="22"/>
        <v>0</v>
      </c>
    </row>
    <row r="79" spans="2:29" ht="49.5" customHeight="1">
      <c r="B79" s="859"/>
      <c r="C79" s="28">
        <v>3.1</v>
      </c>
      <c r="D79" s="200">
        <v>62</v>
      </c>
      <c r="E79" s="856" t="s">
        <v>691</v>
      </c>
      <c r="F79" s="856"/>
      <c r="G79" s="856"/>
      <c r="H79" s="856"/>
      <c r="I79" s="578">
        <f t="shared" si="24"/>
        <v>62.1</v>
      </c>
      <c r="J79" s="579" t="s">
        <v>685</v>
      </c>
      <c r="K79" s="656"/>
      <c r="L79" s="582" t="s">
        <v>219</v>
      </c>
      <c r="M79" s="581">
        <f t="shared" si="20"/>
        <v>11</v>
      </c>
      <c r="N79" s="586">
        <v>2</v>
      </c>
      <c r="O79" s="586"/>
      <c r="P79" s="586"/>
      <c r="Q79" s="584">
        <f t="shared" si="23"/>
        <v>2</v>
      </c>
      <c r="R79" s="586">
        <v>2</v>
      </c>
      <c r="S79" s="586">
        <v>1</v>
      </c>
      <c r="T79" s="586"/>
      <c r="U79" s="580">
        <f t="shared" si="25"/>
        <v>3</v>
      </c>
      <c r="V79" s="586">
        <v>3</v>
      </c>
      <c r="W79" s="586">
        <v>1</v>
      </c>
      <c r="X79" s="586"/>
      <c r="Y79" s="580">
        <f t="shared" si="21"/>
        <v>4</v>
      </c>
      <c r="Z79" s="586">
        <v>2</v>
      </c>
      <c r="AA79" s="586"/>
      <c r="AB79" s="586"/>
      <c r="AC79" s="580">
        <f t="shared" si="22"/>
        <v>2</v>
      </c>
    </row>
    <row r="80" spans="2:29" ht="52.5" customHeight="1">
      <c r="B80" s="859"/>
      <c r="C80" s="28">
        <v>3.1</v>
      </c>
      <c r="D80" s="200">
        <v>63</v>
      </c>
      <c r="E80" s="856" t="s">
        <v>689</v>
      </c>
      <c r="F80" s="856"/>
      <c r="G80" s="856"/>
      <c r="H80" s="856"/>
      <c r="I80" s="578">
        <f t="shared" si="24"/>
        <v>63.1</v>
      </c>
      <c r="J80" s="579" t="s">
        <v>732</v>
      </c>
      <c r="K80" s="656"/>
      <c r="L80" s="582" t="s">
        <v>219</v>
      </c>
      <c r="M80" s="581">
        <f t="shared" si="20"/>
        <v>2</v>
      </c>
      <c r="N80" s="586"/>
      <c r="O80" s="586"/>
      <c r="P80" s="586"/>
      <c r="Q80" s="584">
        <f t="shared" si="23"/>
        <v>0</v>
      </c>
      <c r="R80" s="586">
        <v>1</v>
      </c>
      <c r="S80" s="586"/>
      <c r="T80" s="586"/>
      <c r="U80" s="580">
        <f t="shared" si="25"/>
        <v>1</v>
      </c>
      <c r="V80" s="586"/>
      <c r="W80" s="586">
        <v>1</v>
      </c>
      <c r="X80" s="586"/>
      <c r="Y80" s="580">
        <f t="shared" si="21"/>
        <v>1</v>
      </c>
      <c r="Z80" s="586"/>
      <c r="AA80" s="586"/>
      <c r="AB80" s="586"/>
      <c r="AC80" s="580">
        <f t="shared" si="22"/>
        <v>0</v>
      </c>
    </row>
    <row r="81" spans="2:29" ht="26.25" customHeight="1">
      <c r="B81" s="859"/>
      <c r="C81" s="28">
        <v>3.1</v>
      </c>
      <c r="D81" s="200">
        <v>64</v>
      </c>
      <c r="E81" s="856" t="s">
        <v>690</v>
      </c>
      <c r="F81" s="856"/>
      <c r="G81" s="856"/>
      <c r="H81" s="856"/>
      <c r="I81" s="578">
        <f t="shared" si="24"/>
        <v>64.1</v>
      </c>
      <c r="J81" s="579" t="s">
        <v>544</v>
      </c>
      <c r="K81" s="656"/>
      <c r="L81" s="582" t="s">
        <v>225</v>
      </c>
      <c r="M81" s="581">
        <f t="shared" si="20"/>
        <v>4</v>
      </c>
      <c r="N81" s="586"/>
      <c r="O81" s="586"/>
      <c r="P81" s="586">
        <v>1</v>
      </c>
      <c r="Q81" s="584">
        <f t="shared" si="23"/>
        <v>1</v>
      </c>
      <c r="R81" s="586"/>
      <c r="S81" s="586"/>
      <c r="T81" s="586">
        <v>1</v>
      </c>
      <c r="U81" s="580">
        <f t="shared" si="25"/>
        <v>1</v>
      </c>
      <c r="V81" s="586"/>
      <c r="W81" s="586"/>
      <c r="X81" s="586">
        <v>1</v>
      </c>
      <c r="Y81" s="580">
        <f t="shared" si="21"/>
        <v>1</v>
      </c>
      <c r="Z81" s="586"/>
      <c r="AA81" s="586"/>
      <c r="AB81" s="586">
        <v>1</v>
      </c>
      <c r="AC81" s="580">
        <f t="shared" si="22"/>
        <v>1</v>
      </c>
    </row>
    <row r="82" spans="2:29" ht="30" customHeight="1">
      <c r="B82" s="859"/>
      <c r="C82" s="28"/>
      <c r="D82" s="200">
        <v>65</v>
      </c>
      <c r="E82" s="856" t="s">
        <v>687</v>
      </c>
      <c r="F82" s="856"/>
      <c r="G82" s="856"/>
      <c r="H82" s="856"/>
      <c r="I82" s="578">
        <f t="shared" si="24"/>
        <v>65.1</v>
      </c>
      <c r="J82" s="579" t="s">
        <v>688</v>
      </c>
      <c r="K82" s="656"/>
      <c r="L82" s="582" t="s">
        <v>231</v>
      </c>
      <c r="M82" s="581">
        <f t="shared" si="20"/>
        <v>4</v>
      </c>
      <c r="N82" s="586"/>
      <c r="O82" s="586"/>
      <c r="P82" s="586">
        <v>1</v>
      </c>
      <c r="Q82" s="584">
        <f t="shared" si="23"/>
        <v>1</v>
      </c>
      <c r="R82" s="586"/>
      <c r="S82" s="586"/>
      <c r="T82" s="586">
        <v>1</v>
      </c>
      <c r="U82" s="580">
        <f t="shared" si="25"/>
        <v>1</v>
      </c>
      <c r="V82" s="586"/>
      <c r="W82" s="586"/>
      <c r="X82" s="586">
        <v>1</v>
      </c>
      <c r="Y82" s="580">
        <f t="shared" si="21"/>
        <v>1</v>
      </c>
      <c r="Z82" s="586"/>
      <c r="AA82" s="586"/>
      <c r="AB82" s="586">
        <v>1</v>
      </c>
      <c r="AC82" s="580">
        <f t="shared" si="22"/>
        <v>1</v>
      </c>
    </row>
    <row r="83" spans="1:31" s="228" customFormat="1" ht="15.75" customHeight="1">
      <c r="A83" s="709"/>
      <c r="B83" s="859"/>
      <c r="C83" s="28"/>
      <c r="D83" s="200"/>
      <c r="E83" s="855" t="s">
        <v>564</v>
      </c>
      <c r="F83" s="855"/>
      <c r="G83" s="855"/>
      <c r="H83" s="855"/>
      <c r="I83" s="855"/>
      <c r="J83" s="855"/>
      <c r="K83" s="657"/>
      <c r="L83" s="577"/>
      <c r="M83" s="577">
        <f t="shared" si="20"/>
        <v>134</v>
      </c>
      <c r="N83" s="577">
        <f>SUM(N84:N115)</f>
        <v>8</v>
      </c>
      <c r="O83" s="577">
        <f>SUM(O84:O115)</f>
        <v>13</v>
      </c>
      <c r="P83" s="577">
        <f>SUM(P84:P115)</f>
        <v>10</v>
      </c>
      <c r="Q83" s="577">
        <f t="shared" si="23"/>
        <v>31</v>
      </c>
      <c r="R83" s="577">
        <f>SUM(R84:R115)</f>
        <v>12</v>
      </c>
      <c r="S83" s="577">
        <f>SUM(S84:S115)</f>
        <v>11</v>
      </c>
      <c r="T83" s="577">
        <f>SUM(T84:T115)</f>
        <v>16</v>
      </c>
      <c r="U83" s="577">
        <f t="shared" si="25"/>
        <v>39</v>
      </c>
      <c r="V83" s="577">
        <f>SUM(V84:V115)</f>
        <v>3</v>
      </c>
      <c r="W83" s="577">
        <f>SUM(W84:W115)</f>
        <v>11</v>
      </c>
      <c r="X83" s="577">
        <f>SUM(X84:X115)</f>
        <v>13</v>
      </c>
      <c r="Y83" s="577">
        <f t="shared" si="21"/>
        <v>27</v>
      </c>
      <c r="Z83" s="577">
        <f>SUM(Z84:Z114)</f>
        <v>13</v>
      </c>
      <c r="AA83" s="577">
        <f>SUM(AA84:AA115)</f>
        <v>10</v>
      </c>
      <c r="AB83" s="577">
        <f>SUM(AB84:AB115)</f>
        <v>14</v>
      </c>
      <c r="AC83" s="577">
        <f t="shared" si="22"/>
        <v>37</v>
      </c>
      <c r="AD83" s="334"/>
      <c r="AE83" s="340"/>
    </row>
    <row r="84" spans="2:29" ht="38.25">
      <c r="B84" s="859"/>
      <c r="C84" s="28">
        <v>5.1</v>
      </c>
      <c r="D84" s="200">
        <v>66</v>
      </c>
      <c r="E84" s="856" t="s">
        <v>461</v>
      </c>
      <c r="F84" s="856"/>
      <c r="G84" s="856"/>
      <c r="H84" s="856"/>
      <c r="I84" s="578">
        <f>+D84+0.1</f>
        <v>66.1</v>
      </c>
      <c r="J84" s="579" t="s">
        <v>458</v>
      </c>
      <c r="K84" s="656"/>
      <c r="L84" s="582" t="s">
        <v>219</v>
      </c>
      <c r="M84" s="581">
        <f t="shared" si="20"/>
        <v>4</v>
      </c>
      <c r="N84" s="586"/>
      <c r="O84" s="586"/>
      <c r="P84" s="586"/>
      <c r="Q84" s="584">
        <f t="shared" si="23"/>
        <v>0</v>
      </c>
      <c r="R84" s="586">
        <v>1</v>
      </c>
      <c r="S84" s="586"/>
      <c r="T84" s="586">
        <v>1</v>
      </c>
      <c r="U84" s="580">
        <f t="shared" si="25"/>
        <v>2</v>
      </c>
      <c r="V84" s="586"/>
      <c r="W84" s="586"/>
      <c r="X84" s="586"/>
      <c r="Y84" s="580">
        <f t="shared" si="21"/>
        <v>0</v>
      </c>
      <c r="Z84" s="586"/>
      <c r="AA84" s="586">
        <v>1</v>
      </c>
      <c r="AB84" s="586">
        <v>1</v>
      </c>
      <c r="AC84" s="580">
        <f t="shared" si="22"/>
        <v>2</v>
      </c>
    </row>
    <row r="85" spans="2:29" ht="30" customHeight="1">
      <c r="B85" s="859"/>
      <c r="C85" s="28">
        <v>5.1</v>
      </c>
      <c r="D85" s="200">
        <v>67</v>
      </c>
      <c r="E85" s="856" t="s">
        <v>454</v>
      </c>
      <c r="F85" s="856"/>
      <c r="G85" s="856"/>
      <c r="H85" s="856"/>
      <c r="I85" s="578">
        <f>+D85+0.1</f>
        <v>67.1</v>
      </c>
      <c r="J85" s="579" t="s">
        <v>304</v>
      </c>
      <c r="K85" s="656"/>
      <c r="L85" s="582" t="s">
        <v>225</v>
      </c>
      <c r="M85" s="581">
        <f t="shared" si="20"/>
        <v>1</v>
      </c>
      <c r="N85" s="586"/>
      <c r="O85" s="586"/>
      <c r="P85" s="586"/>
      <c r="Q85" s="584">
        <f t="shared" si="23"/>
        <v>0</v>
      </c>
      <c r="R85" s="586"/>
      <c r="S85" s="586"/>
      <c r="T85" s="586"/>
      <c r="U85" s="580">
        <f t="shared" si="25"/>
        <v>0</v>
      </c>
      <c r="V85" s="586"/>
      <c r="W85" s="586"/>
      <c r="X85" s="586"/>
      <c r="Y85" s="580">
        <f t="shared" si="21"/>
        <v>0</v>
      </c>
      <c r="Z85" s="586"/>
      <c r="AA85" s="586">
        <v>1</v>
      </c>
      <c r="AB85" s="586"/>
      <c r="AC85" s="580">
        <f t="shared" si="22"/>
        <v>1</v>
      </c>
    </row>
    <row r="86" spans="2:29" ht="30" customHeight="1">
      <c r="B86" s="859"/>
      <c r="C86" s="28">
        <v>5.1</v>
      </c>
      <c r="D86" s="200">
        <v>68</v>
      </c>
      <c r="E86" s="856" t="s">
        <v>459</v>
      </c>
      <c r="F86" s="856"/>
      <c r="G86" s="856"/>
      <c r="H86" s="856"/>
      <c r="I86" s="578">
        <f>+D86+0.1</f>
        <v>68.1</v>
      </c>
      <c r="J86" s="579" t="s">
        <v>460</v>
      </c>
      <c r="K86" s="656"/>
      <c r="L86" s="582" t="s">
        <v>225</v>
      </c>
      <c r="M86" s="581">
        <f t="shared" si="20"/>
        <v>1</v>
      </c>
      <c r="N86" s="586"/>
      <c r="O86" s="586"/>
      <c r="P86" s="586"/>
      <c r="Q86" s="584">
        <f t="shared" si="23"/>
        <v>0</v>
      </c>
      <c r="R86" s="586"/>
      <c r="S86" s="586"/>
      <c r="T86" s="586"/>
      <c r="U86" s="580">
        <f t="shared" si="25"/>
        <v>0</v>
      </c>
      <c r="V86" s="586"/>
      <c r="W86" s="586"/>
      <c r="X86" s="586"/>
      <c r="Y86" s="580">
        <f t="shared" si="21"/>
        <v>0</v>
      </c>
      <c r="Z86" s="586"/>
      <c r="AA86" s="586">
        <v>1</v>
      </c>
      <c r="AB86" s="586"/>
      <c r="AC86" s="580">
        <f t="shared" si="22"/>
        <v>1</v>
      </c>
    </row>
    <row r="87" spans="2:29" ht="39" customHeight="1">
      <c r="B87" s="859"/>
      <c r="C87" s="809">
        <v>1.6</v>
      </c>
      <c r="D87" s="200"/>
      <c r="E87" s="854" t="s">
        <v>462</v>
      </c>
      <c r="F87" s="854"/>
      <c r="G87" s="854"/>
      <c r="H87" s="854"/>
      <c r="I87" s="578">
        <f>+D88+0.1</f>
        <v>69.1</v>
      </c>
      <c r="J87" s="579" t="s">
        <v>464</v>
      </c>
      <c r="K87" s="656"/>
      <c r="L87" s="582" t="s">
        <v>216</v>
      </c>
      <c r="M87" s="581">
        <f t="shared" si="20"/>
        <v>8</v>
      </c>
      <c r="N87" s="586">
        <v>1</v>
      </c>
      <c r="O87" s="586">
        <v>2</v>
      </c>
      <c r="P87" s="586">
        <v>1</v>
      </c>
      <c r="Q87" s="584">
        <f t="shared" si="23"/>
        <v>4</v>
      </c>
      <c r="R87" s="586"/>
      <c r="S87" s="586"/>
      <c r="T87" s="586"/>
      <c r="U87" s="580">
        <f t="shared" si="25"/>
        <v>0</v>
      </c>
      <c r="V87" s="586"/>
      <c r="W87" s="586">
        <v>1</v>
      </c>
      <c r="X87" s="586">
        <v>2</v>
      </c>
      <c r="Y87" s="580">
        <f t="shared" si="21"/>
        <v>3</v>
      </c>
      <c r="Z87" s="586">
        <v>1</v>
      </c>
      <c r="AA87" s="586"/>
      <c r="AB87" s="586"/>
      <c r="AC87" s="580">
        <f t="shared" si="22"/>
        <v>1</v>
      </c>
    </row>
    <row r="88" spans="2:29" ht="14.25">
      <c r="B88" s="859"/>
      <c r="C88" s="809"/>
      <c r="D88" s="200">
        <v>69</v>
      </c>
      <c r="E88" s="854"/>
      <c r="F88" s="854"/>
      <c r="G88" s="854"/>
      <c r="H88" s="854"/>
      <c r="I88" s="578">
        <f>+I87+0.1</f>
        <v>69.19999999999999</v>
      </c>
      <c r="J88" s="579" t="s">
        <v>463</v>
      </c>
      <c r="K88" s="656"/>
      <c r="L88" s="582" t="s">
        <v>229</v>
      </c>
      <c r="M88" s="581">
        <f t="shared" si="20"/>
        <v>7</v>
      </c>
      <c r="N88" s="588"/>
      <c r="O88" s="588">
        <v>1</v>
      </c>
      <c r="P88" s="588"/>
      <c r="Q88" s="584">
        <f t="shared" si="23"/>
        <v>1</v>
      </c>
      <c r="R88" s="588">
        <v>1</v>
      </c>
      <c r="S88" s="588">
        <v>1</v>
      </c>
      <c r="T88" s="588">
        <v>1</v>
      </c>
      <c r="U88" s="580">
        <f t="shared" si="25"/>
        <v>3</v>
      </c>
      <c r="V88" s="588"/>
      <c r="W88" s="588"/>
      <c r="X88" s="588">
        <v>1</v>
      </c>
      <c r="Y88" s="580">
        <f t="shared" si="21"/>
        <v>1</v>
      </c>
      <c r="Z88" s="588">
        <v>1</v>
      </c>
      <c r="AA88" s="588"/>
      <c r="AB88" s="588">
        <v>1</v>
      </c>
      <c r="AC88" s="580">
        <f t="shared" si="22"/>
        <v>2</v>
      </c>
    </row>
    <row r="89" spans="2:29" ht="30" customHeight="1">
      <c r="B89" s="859"/>
      <c r="C89" s="28">
        <v>1.4</v>
      </c>
      <c r="D89" s="200">
        <v>70</v>
      </c>
      <c r="E89" s="856" t="s">
        <v>465</v>
      </c>
      <c r="F89" s="856"/>
      <c r="G89" s="856"/>
      <c r="H89" s="856"/>
      <c r="I89" s="578">
        <f>+D89+0.1</f>
        <v>70.1</v>
      </c>
      <c r="J89" s="579" t="s">
        <v>466</v>
      </c>
      <c r="K89" s="656"/>
      <c r="L89" s="582" t="s">
        <v>229</v>
      </c>
      <c r="M89" s="581">
        <f t="shared" si="20"/>
        <v>2</v>
      </c>
      <c r="N89" s="586"/>
      <c r="O89" s="586"/>
      <c r="P89" s="586"/>
      <c r="Q89" s="584">
        <f t="shared" si="23"/>
        <v>0</v>
      </c>
      <c r="R89" s="586"/>
      <c r="S89" s="586">
        <v>1</v>
      </c>
      <c r="T89" s="586">
        <v>1</v>
      </c>
      <c r="U89" s="580">
        <f t="shared" si="25"/>
        <v>2</v>
      </c>
      <c r="V89" s="586"/>
      <c r="W89" s="586"/>
      <c r="X89" s="586"/>
      <c r="Y89" s="580">
        <f t="shared" si="21"/>
        <v>0</v>
      </c>
      <c r="Z89" s="586"/>
      <c r="AA89" s="586"/>
      <c r="AB89" s="586"/>
      <c r="AC89" s="580">
        <f t="shared" si="22"/>
        <v>0</v>
      </c>
    </row>
    <row r="90" spans="2:29" ht="30" customHeight="1">
      <c r="B90" s="859"/>
      <c r="C90" s="28">
        <v>1.6</v>
      </c>
      <c r="D90" s="200">
        <v>71</v>
      </c>
      <c r="E90" s="856" t="s">
        <v>467</v>
      </c>
      <c r="F90" s="856"/>
      <c r="G90" s="856"/>
      <c r="H90" s="856"/>
      <c r="I90" s="578">
        <f>+D90+0.1</f>
        <v>71.1</v>
      </c>
      <c r="J90" s="579" t="s">
        <v>468</v>
      </c>
      <c r="K90" s="656"/>
      <c r="L90" s="582" t="s">
        <v>229</v>
      </c>
      <c r="M90" s="581">
        <f t="shared" si="20"/>
        <v>4</v>
      </c>
      <c r="N90" s="586"/>
      <c r="O90" s="586"/>
      <c r="P90" s="586"/>
      <c r="Q90" s="584">
        <f t="shared" si="23"/>
        <v>0</v>
      </c>
      <c r="R90" s="586"/>
      <c r="S90" s="586">
        <v>3</v>
      </c>
      <c r="T90" s="586"/>
      <c r="U90" s="580">
        <f t="shared" si="25"/>
        <v>3</v>
      </c>
      <c r="V90" s="586">
        <v>1</v>
      </c>
      <c r="W90" s="586"/>
      <c r="X90" s="586"/>
      <c r="Y90" s="580">
        <f t="shared" si="21"/>
        <v>1</v>
      </c>
      <c r="Z90" s="586"/>
      <c r="AA90" s="586"/>
      <c r="AB90" s="586"/>
      <c r="AC90" s="580">
        <f t="shared" si="22"/>
        <v>0</v>
      </c>
    </row>
    <row r="91" spans="2:29" ht="30.75" customHeight="1">
      <c r="B91" s="859"/>
      <c r="C91" s="28">
        <v>2.1</v>
      </c>
      <c r="D91" s="200">
        <v>72</v>
      </c>
      <c r="E91" s="856" t="s">
        <v>245</v>
      </c>
      <c r="F91" s="856"/>
      <c r="G91" s="856"/>
      <c r="H91" s="856"/>
      <c r="I91" s="578">
        <f>+D91+0.1</f>
        <v>72.1</v>
      </c>
      <c r="J91" s="579" t="s">
        <v>471</v>
      </c>
      <c r="K91" s="656"/>
      <c r="L91" s="582" t="s">
        <v>472</v>
      </c>
      <c r="M91" s="581">
        <f t="shared" si="20"/>
        <v>5</v>
      </c>
      <c r="N91" s="589"/>
      <c r="O91" s="586">
        <v>1</v>
      </c>
      <c r="P91" s="586"/>
      <c r="Q91" s="584">
        <f t="shared" si="23"/>
        <v>1</v>
      </c>
      <c r="R91" s="586">
        <v>1</v>
      </c>
      <c r="S91" s="586"/>
      <c r="T91" s="586">
        <v>1</v>
      </c>
      <c r="U91" s="580">
        <f t="shared" si="25"/>
        <v>2</v>
      </c>
      <c r="V91" s="586"/>
      <c r="W91" s="586"/>
      <c r="X91" s="586"/>
      <c r="Y91" s="580">
        <f t="shared" si="21"/>
        <v>0</v>
      </c>
      <c r="Z91" s="586">
        <v>1</v>
      </c>
      <c r="AA91" s="586"/>
      <c r="AB91" s="586">
        <v>1</v>
      </c>
      <c r="AC91" s="580">
        <f t="shared" si="22"/>
        <v>2</v>
      </c>
    </row>
    <row r="92" spans="2:29" ht="30" customHeight="1">
      <c r="B92" s="859"/>
      <c r="C92" s="28">
        <v>2.3</v>
      </c>
      <c r="D92" s="200">
        <v>73</v>
      </c>
      <c r="E92" s="856" t="s">
        <v>246</v>
      </c>
      <c r="F92" s="856"/>
      <c r="G92" s="856"/>
      <c r="H92" s="856"/>
      <c r="I92" s="578">
        <f aca="true" t="shared" si="26" ref="I92:I117">+D92+0.1</f>
        <v>73.1</v>
      </c>
      <c r="J92" s="579" t="s">
        <v>482</v>
      </c>
      <c r="K92" s="656"/>
      <c r="L92" s="582" t="s">
        <v>472</v>
      </c>
      <c r="M92" s="581">
        <f t="shared" si="20"/>
        <v>2</v>
      </c>
      <c r="N92" s="586"/>
      <c r="O92" s="586"/>
      <c r="P92" s="586"/>
      <c r="Q92" s="584">
        <f t="shared" si="23"/>
        <v>0</v>
      </c>
      <c r="R92" s="586"/>
      <c r="S92" s="586"/>
      <c r="T92" s="586">
        <v>1</v>
      </c>
      <c r="U92" s="580">
        <f t="shared" si="25"/>
        <v>1</v>
      </c>
      <c r="V92" s="586"/>
      <c r="W92" s="586"/>
      <c r="X92" s="586"/>
      <c r="Y92" s="580">
        <f t="shared" si="21"/>
        <v>0</v>
      </c>
      <c r="Z92" s="586"/>
      <c r="AA92" s="586">
        <v>1</v>
      </c>
      <c r="AB92" s="586"/>
      <c r="AC92" s="580">
        <f t="shared" si="22"/>
        <v>1</v>
      </c>
    </row>
    <row r="93" spans="2:29" ht="38.25">
      <c r="B93" s="859"/>
      <c r="C93" s="15">
        <v>1.1</v>
      </c>
      <c r="D93" s="200">
        <v>74</v>
      </c>
      <c r="E93" s="856" t="s">
        <v>257</v>
      </c>
      <c r="F93" s="856"/>
      <c r="G93" s="856"/>
      <c r="H93" s="856"/>
      <c r="I93" s="578">
        <f>+D93+0.1</f>
        <v>74.1</v>
      </c>
      <c r="J93" s="579" t="s">
        <v>258</v>
      </c>
      <c r="K93" s="656"/>
      <c r="L93" s="582" t="s">
        <v>216</v>
      </c>
      <c r="M93" s="581">
        <f>+Q93+U93+Y93+AC93</f>
        <v>6</v>
      </c>
      <c r="N93" s="586">
        <v>1</v>
      </c>
      <c r="O93" s="586"/>
      <c r="P93" s="586">
        <v>1</v>
      </c>
      <c r="Q93" s="584">
        <f>SUM(N93:P93)</f>
        <v>2</v>
      </c>
      <c r="R93" s="586"/>
      <c r="S93" s="586"/>
      <c r="T93" s="586">
        <v>1</v>
      </c>
      <c r="U93" s="580">
        <f>SUM(R93:T93)</f>
        <v>1</v>
      </c>
      <c r="V93" s="586"/>
      <c r="W93" s="586">
        <v>1</v>
      </c>
      <c r="X93" s="586">
        <v>1</v>
      </c>
      <c r="Y93" s="580">
        <f>SUM(V93:X93)</f>
        <v>2</v>
      </c>
      <c r="Z93" s="586"/>
      <c r="AA93" s="586"/>
      <c r="AB93" s="586">
        <v>1</v>
      </c>
      <c r="AC93" s="580">
        <f>SUM(Z93:AB93)</f>
        <v>1</v>
      </c>
    </row>
    <row r="94" spans="2:29" ht="38.25">
      <c r="B94" s="859"/>
      <c r="C94" s="28">
        <v>1.1</v>
      </c>
      <c r="D94" s="200">
        <v>75</v>
      </c>
      <c r="E94" s="856" t="s">
        <v>248</v>
      </c>
      <c r="F94" s="856"/>
      <c r="G94" s="856"/>
      <c r="H94" s="856"/>
      <c r="I94" s="578">
        <f>+D94+0.1</f>
        <v>75.1</v>
      </c>
      <c r="J94" s="579" t="s">
        <v>31</v>
      </c>
      <c r="K94" s="656"/>
      <c r="L94" s="582" t="s">
        <v>231</v>
      </c>
      <c r="M94" s="581">
        <f>+Q94+U94+Y94+AC94</f>
        <v>2</v>
      </c>
      <c r="N94" s="586"/>
      <c r="O94" s="586"/>
      <c r="P94" s="587"/>
      <c r="Q94" s="584">
        <f>SUM(N94:P94)</f>
        <v>0</v>
      </c>
      <c r="R94" s="586"/>
      <c r="S94" s="586"/>
      <c r="T94" s="586"/>
      <c r="U94" s="580">
        <f>SUM(R94:T94)</f>
        <v>0</v>
      </c>
      <c r="V94" s="586"/>
      <c r="W94" s="586"/>
      <c r="X94" s="586">
        <v>1</v>
      </c>
      <c r="Y94" s="580">
        <f>SUM(V94:X94)</f>
        <v>1</v>
      </c>
      <c r="Z94" s="586">
        <v>1</v>
      </c>
      <c r="AA94" s="586"/>
      <c r="AB94" s="586"/>
      <c r="AC94" s="580">
        <f>SUM(Z94:AB94)</f>
        <v>1</v>
      </c>
    </row>
    <row r="95" spans="2:29" ht="29.25" customHeight="1">
      <c r="B95" s="859"/>
      <c r="C95" s="28"/>
      <c r="D95" s="200">
        <v>76</v>
      </c>
      <c r="E95" s="856" t="s">
        <v>492</v>
      </c>
      <c r="F95" s="856"/>
      <c r="G95" s="856"/>
      <c r="H95" s="856"/>
      <c r="I95" s="578">
        <f t="shared" si="26"/>
        <v>76.1</v>
      </c>
      <c r="J95" s="579" t="s">
        <v>493</v>
      </c>
      <c r="K95" s="656"/>
      <c r="L95" s="582" t="s">
        <v>472</v>
      </c>
      <c r="M95" s="581">
        <f t="shared" si="20"/>
        <v>2</v>
      </c>
      <c r="N95" s="586"/>
      <c r="O95" s="586"/>
      <c r="P95" s="586"/>
      <c r="Q95" s="584">
        <f t="shared" si="23"/>
        <v>0</v>
      </c>
      <c r="R95" s="586"/>
      <c r="S95" s="586"/>
      <c r="T95" s="586">
        <v>1</v>
      </c>
      <c r="U95" s="580">
        <f t="shared" si="25"/>
        <v>1</v>
      </c>
      <c r="V95" s="586">
        <v>1</v>
      </c>
      <c r="W95" s="586"/>
      <c r="X95" s="586"/>
      <c r="Y95" s="580">
        <f t="shared" si="21"/>
        <v>1</v>
      </c>
      <c r="Z95" s="586"/>
      <c r="AA95" s="586"/>
      <c r="AB95" s="586"/>
      <c r="AC95" s="580">
        <f t="shared" si="22"/>
        <v>0</v>
      </c>
    </row>
    <row r="96" spans="2:29" ht="49.5" customHeight="1">
      <c r="B96" s="859"/>
      <c r="C96" s="28">
        <v>1.4</v>
      </c>
      <c r="D96" s="200">
        <v>77</v>
      </c>
      <c r="E96" s="856" t="s">
        <v>494</v>
      </c>
      <c r="F96" s="856"/>
      <c r="G96" s="856"/>
      <c r="H96" s="856"/>
      <c r="I96" s="578">
        <f t="shared" si="26"/>
        <v>77.1</v>
      </c>
      <c r="J96" s="579" t="s">
        <v>495</v>
      </c>
      <c r="K96" s="656"/>
      <c r="L96" s="582" t="s">
        <v>472</v>
      </c>
      <c r="M96" s="581">
        <f t="shared" si="20"/>
        <v>2</v>
      </c>
      <c r="N96" s="588"/>
      <c r="O96" s="588"/>
      <c r="P96" s="590"/>
      <c r="Q96" s="584">
        <f t="shared" si="23"/>
        <v>0</v>
      </c>
      <c r="R96" s="588"/>
      <c r="S96" s="588">
        <v>1</v>
      </c>
      <c r="T96" s="588"/>
      <c r="U96" s="580">
        <f t="shared" si="25"/>
        <v>1</v>
      </c>
      <c r="V96" s="588"/>
      <c r="W96" s="588"/>
      <c r="X96" s="588"/>
      <c r="Y96" s="580">
        <f t="shared" si="21"/>
        <v>0</v>
      </c>
      <c r="Z96" s="588">
        <v>1</v>
      </c>
      <c r="AA96" s="588"/>
      <c r="AB96" s="588"/>
      <c r="AC96" s="580">
        <f t="shared" si="22"/>
        <v>1</v>
      </c>
    </row>
    <row r="97" spans="2:29" ht="52.5" customHeight="1">
      <c r="B97" s="859"/>
      <c r="C97" s="28">
        <v>1.5</v>
      </c>
      <c r="D97" s="200">
        <v>78</v>
      </c>
      <c r="E97" s="860" t="s">
        <v>249</v>
      </c>
      <c r="F97" s="860"/>
      <c r="G97" s="860"/>
      <c r="H97" s="860"/>
      <c r="I97" s="578">
        <f t="shared" si="26"/>
        <v>78.1</v>
      </c>
      <c r="J97" s="579" t="s">
        <v>496</v>
      </c>
      <c r="K97" s="656"/>
      <c r="L97" s="582" t="s">
        <v>231</v>
      </c>
      <c r="M97" s="581">
        <f t="shared" si="20"/>
        <v>2</v>
      </c>
      <c r="N97" s="588"/>
      <c r="O97" s="588"/>
      <c r="P97" s="590">
        <v>1</v>
      </c>
      <c r="Q97" s="584">
        <f t="shared" si="23"/>
        <v>1</v>
      </c>
      <c r="R97" s="588"/>
      <c r="S97" s="588"/>
      <c r="T97" s="588"/>
      <c r="U97" s="580">
        <f t="shared" si="25"/>
        <v>0</v>
      </c>
      <c r="V97" s="588"/>
      <c r="W97" s="588"/>
      <c r="X97" s="588">
        <v>1</v>
      </c>
      <c r="Y97" s="580">
        <f t="shared" si="21"/>
        <v>1</v>
      </c>
      <c r="Z97" s="588"/>
      <c r="AA97" s="588"/>
      <c r="AB97" s="588"/>
      <c r="AC97" s="580">
        <f t="shared" si="22"/>
        <v>0</v>
      </c>
    </row>
    <row r="98" spans="2:29" ht="29.25" customHeight="1">
      <c r="B98" s="859"/>
      <c r="C98" s="28">
        <v>1.1</v>
      </c>
      <c r="D98" s="200">
        <v>79</v>
      </c>
      <c r="E98" s="856" t="s">
        <v>34</v>
      </c>
      <c r="F98" s="856"/>
      <c r="G98" s="856"/>
      <c r="H98" s="856"/>
      <c r="I98" s="578">
        <f t="shared" si="26"/>
        <v>79.1</v>
      </c>
      <c r="J98" s="579" t="s">
        <v>305</v>
      </c>
      <c r="K98" s="656"/>
      <c r="L98" s="582" t="s">
        <v>216</v>
      </c>
      <c r="M98" s="581">
        <f t="shared" si="20"/>
        <v>14</v>
      </c>
      <c r="N98" s="588">
        <v>1</v>
      </c>
      <c r="O98" s="588">
        <v>1</v>
      </c>
      <c r="P98" s="588">
        <v>1</v>
      </c>
      <c r="Q98" s="584">
        <f t="shared" si="23"/>
        <v>3</v>
      </c>
      <c r="R98" s="588">
        <v>2</v>
      </c>
      <c r="S98" s="588">
        <v>1</v>
      </c>
      <c r="T98" s="588">
        <v>1</v>
      </c>
      <c r="U98" s="580">
        <f t="shared" si="25"/>
        <v>4</v>
      </c>
      <c r="V98" s="588"/>
      <c r="W98" s="588">
        <v>2</v>
      </c>
      <c r="X98" s="588">
        <v>1</v>
      </c>
      <c r="Y98" s="580">
        <f t="shared" si="21"/>
        <v>3</v>
      </c>
      <c r="Z98" s="588">
        <v>2</v>
      </c>
      <c r="AA98" s="588">
        <v>1</v>
      </c>
      <c r="AB98" s="588">
        <v>1</v>
      </c>
      <c r="AC98" s="580">
        <f t="shared" si="22"/>
        <v>4</v>
      </c>
    </row>
    <row r="99" spans="2:29" ht="31.5" customHeight="1">
      <c r="B99" s="859"/>
      <c r="C99" s="28">
        <v>4.5</v>
      </c>
      <c r="D99" s="200">
        <v>80</v>
      </c>
      <c r="E99" s="856" t="s">
        <v>37</v>
      </c>
      <c r="F99" s="856"/>
      <c r="G99" s="856"/>
      <c r="H99" s="856"/>
      <c r="I99" s="578">
        <f t="shared" si="26"/>
        <v>80.1</v>
      </c>
      <c r="J99" s="579" t="s">
        <v>365</v>
      </c>
      <c r="K99" s="656"/>
      <c r="L99" s="582" t="s">
        <v>221</v>
      </c>
      <c r="M99" s="581">
        <f t="shared" si="20"/>
        <v>12</v>
      </c>
      <c r="N99" s="586"/>
      <c r="O99" s="586">
        <v>2</v>
      </c>
      <c r="P99" s="586">
        <v>2</v>
      </c>
      <c r="Q99" s="584">
        <f t="shared" si="23"/>
        <v>4</v>
      </c>
      <c r="R99" s="586">
        <v>2</v>
      </c>
      <c r="S99" s="586"/>
      <c r="T99" s="586"/>
      <c r="U99" s="580">
        <f t="shared" si="25"/>
        <v>2</v>
      </c>
      <c r="V99" s="586"/>
      <c r="W99" s="586"/>
      <c r="X99" s="586">
        <v>2</v>
      </c>
      <c r="Y99" s="580">
        <f t="shared" si="21"/>
        <v>2</v>
      </c>
      <c r="Z99" s="586">
        <v>2</v>
      </c>
      <c r="AA99" s="586">
        <v>2</v>
      </c>
      <c r="AB99" s="586"/>
      <c r="AC99" s="580">
        <f t="shared" si="22"/>
        <v>4</v>
      </c>
    </row>
    <row r="100" spans="2:29" ht="26.25" customHeight="1">
      <c r="B100" s="859"/>
      <c r="C100" s="28">
        <v>5.2</v>
      </c>
      <c r="D100" s="200">
        <v>81</v>
      </c>
      <c r="E100" s="856" t="s">
        <v>250</v>
      </c>
      <c r="F100" s="856"/>
      <c r="G100" s="856"/>
      <c r="H100" s="856"/>
      <c r="I100" s="578">
        <f t="shared" si="26"/>
        <v>81.1</v>
      </c>
      <c r="J100" s="579" t="s">
        <v>306</v>
      </c>
      <c r="K100" s="656"/>
      <c r="L100" s="582" t="s">
        <v>225</v>
      </c>
      <c r="M100" s="581">
        <f t="shared" si="20"/>
        <v>2</v>
      </c>
      <c r="N100" s="591"/>
      <c r="O100" s="591"/>
      <c r="P100" s="591"/>
      <c r="Q100" s="584">
        <f t="shared" si="23"/>
        <v>0</v>
      </c>
      <c r="R100" s="591"/>
      <c r="S100" s="591"/>
      <c r="T100" s="591">
        <v>1</v>
      </c>
      <c r="U100" s="580">
        <f t="shared" si="25"/>
        <v>1</v>
      </c>
      <c r="V100" s="588"/>
      <c r="W100" s="591"/>
      <c r="X100" s="591"/>
      <c r="Y100" s="580">
        <f t="shared" si="21"/>
        <v>0</v>
      </c>
      <c r="Z100" s="591"/>
      <c r="AA100" s="591"/>
      <c r="AB100" s="588">
        <v>1</v>
      </c>
      <c r="AC100" s="580">
        <f t="shared" si="22"/>
        <v>1</v>
      </c>
    </row>
    <row r="101" spans="2:29" ht="52.5" customHeight="1">
      <c r="B101" s="859"/>
      <c r="C101" s="28">
        <v>1.7</v>
      </c>
      <c r="D101" s="200">
        <v>82</v>
      </c>
      <c r="E101" s="856" t="s">
        <v>368</v>
      </c>
      <c r="F101" s="856"/>
      <c r="G101" s="856"/>
      <c r="H101" s="856"/>
      <c r="I101" s="578">
        <f t="shared" si="26"/>
        <v>82.1</v>
      </c>
      <c r="J101" s="579" t="s">
        <v>369</v>
      </c>
      <c r="K101" s="656"/>
      <c r="L101" s="582" t="s">
        <v>216</v>
      </c>
      <c r="M101" s="581">
        <f t="shared" si="20"/>
        <v>14</v>
      </c>
      <c r="N101" s="588">
        <v>2</v>
      </c>
      <c r="O101" s="588"/>
      <c r="P101" s="588"/>
      <c r="Q101" s="584">
        <f t="shared" si="23"/>
        <v>2</v>
      </c>
      <c r="R101" s="588">
        <v>2</v>
      </c>
      <c r="S101" s="588">
        <v>1</v>
      </c>
      <c r="T101" s="588">
        <v>2</v>
      </c>
      <c r="U101" s="580">
        <f t="shared" si="25"/>
        <v>5</v>
      </c>
      <c r="V101" s="588"/>
      <c r="W101" s="588">
        <v>2</v>
      </c>
      <c r="X101" s="588"/>
      <c r="Y101" s="580">
        <f t="shared" si="21"/>
        <v>2</v>
      </c>
      <c r="Z101" s="588">
        <v>2</v>
      </c>
      <c r="AA101" s="588"/>
      <c r="AB101" s="588">
        <v>3</v>
      </c>
      <c r="AC101" s="580">
        <f t="shared" si="22"/>
        <v>5</v>
      </c>
    </row>
    <row r="102" spans="2:29" ht="52.5" customHeight="1">
      <c r="B102" s="859"/>
      <c r="C102" s="28">
        <v>1.4</v>
      </c>
      <c r="D102" s="200">
        <v>83</v>
      </c>
      <c r="E102" s="856" t="s">
        <v>370</v>
      </c>
      <c r="F102" s="856"/>
      <c r="G102" s="856"/>
      <c r="H102" s="856"/>
      <c r="I102" s="578">
        <f t="shared" si="26"/>
        <v>83.1</v>
      </c>
      <c r="J102" s="579" t="s">
        <v>371</v>
      </c>
      <c r="K102" s="656"/>
      <c r="L102" s="582" t="s">
        <v>218</v>
      </c>
      <c r="M102" s="581">
        <f t="shared" si="20"/>
        <v>8</v>
      </c>
      <c r="N102" s="588">
        <v>1</v>
      </c>
      <c r="O102" s="588">
        <v>1</v>
      </c>
      <c r="P102" s="588">
        <v>1</v>
      </c>
      <c r="Q102" s="584">
        <f t="shared" si="23"/>
        <v>3</v>
      </c>
      <c r="R102" s="588"/>
      <c r="S102" s="588"/>
      <c r="T102" s="588">
        <v>1</v>
      </c>
      <c r="U102" s="580">
        <f t="shared" si="25"/>
        <v>1</v>
      </c>
      <c r="V102" s="588"/>
      <c r="W102" s="588"/>
      <c r="X102" s="588">
        <v>1</v>
      </c>
      <c r="Y102" s="580">
        <f t="shared" si="21"/>
        <v>1</v>
      </c>
      <c r="Z102" s="588">
        <v>1</v>
      </c>
      <c r="AA102" s="588"/>
      <c r="AB102" s="588">
        <v>2</v>
      </c>
      <c r="AC102" s="580">
        <f t="shared" si="22"/>
        <v>3</v>
      </c>
    </row>
    <row r="103" spans="2:29" ht="30" customHeight="1">
      <c r="B103" s="859"/>
      <c r="C103" s="28">
        <v>1.4</v>
      </c>
      <c r="D103" s="200">
        <v>84</v>
      </c>
      <c r="E103" s="856" t="s">
        <v>372</v>
      </c>
      <c r="F103" s="856"/>
      <c r="G103" s="856"/>
      <c r="H103" s="856"/>
      <c r="I103" s="578">
        <f t="shared" si="26"/>
        <v>84.1</v>
      </c>
      <c r="J103" s="579" t="s">
        <v>373</v>
      </c>
      <c r="K103" s="656"/>
      <c r="L103" s="582" t="s">
        <v>231</v>
      </c>
      <c r="M103" s="581">
        <f t="shared" si="20"/>
        <v>5</v>
      </c>
      <c r="N103" s="588"/>
      <c r="O103" s="588">
        <v>1</v>
      </c>
      <c r="P103" s="588"/>
      <c r="Q103" s="584">
        <f t="shared" si="23"/>
        <v>1</v>
      </c>
      <c r="R103" s="588">
        <v>1</v>
      </c>
      <c r="S103" s="588"/>
      <c r="T103" s="588">
        <v>1</v>
      </c>
      <c r="U103" s="580">
        <f t="shared" si="25"/>
        <v>2</v>
      </c>
      <c r="V103" s="588"/>
      <c r="W103" s="588">
        <v>1</v>
      </c>
      <c r="X103" s="588"/>
      <c r="Y103" s="580">
        <f t="shared" si="21"/>
        <v>1</v>
      </c>
      <c r="Z103" s="588">
        <v>1</v>
      </c>
      <c r="AA103" s="588"/>
      <c r="AB103" s="588"/>
      <c r="AC103" s="580">
        <f t="shared" si="22"/>
        <v>1</v>
      </c>
    </row>
    <row r="104" spans="2:29" ht="30" customHeight="1">
      <c r="B104" s="859"/>
      <c r="C104" s="28">
        <v>1.6</v>
      </c>
      <c r="D104" s="200">
        <v>85</v>
      </c>
      <c r="E104" s="856" t="s">
        <v>374</v>
      </c>
      <c r="F104" s="856"/>
      <c r="G104" s="856"/>
      <c r="H104" s="856"/>
      <c r="I104" s="578">
        <f t="shared" si="26"/>
        <v>85.1</v>
      </c>
      <c r="J104" s="579" t="s">
        <v>375</v>
      </c>
      <c r="K104" s="656"/>
      <c r="L104" s="582" t="s">
        <v>218</v>
      </c>
      <c r="M104" s="581">
        <f t="shared" si="20"/>
        <v>2</v>
      </c>
      <c r="N104" s="586"/>
      <c r="O104" s="586"/>
      <c r="P104" s="587"/>
      <c r="Q104" s="584">
        <f t="shared" si="23"/>
        <v>0</v>
      </c>
      <c r="R104" s="586"/>
      <c r="S104" s="586"/>
      <c r="T104" s="586">
        <v>1</v>
      </c>
      <c r="U104" s="580">
        <f t="shared" si="25"/>
        <v>1</v>
      </c>
      <c r="V104" s="586"/>
      <c r="W104" s="586"/>
      <c r="X104" s="586"/>
      <c r="Y104" s="580">
        <f t="shared" si="21"/>
        <v>0</v>
      </c>
      <c r="Z104" s="586"/>
      <c r="AA104" s="586">
        <v>1</v>
      </c>
      <c r="AB104" s="586"/>
      <c r="AC104" s="580">
        <f t="shared" si="22"/>
        <v>1</v>
      </c>
    </row>
    <row r="105" spans="2:29" ht="42" customHeight="1">
      <c r="B105" s="859"/>
      <c r="C105" s="28">
        <v>1.4</v>
      </c>
      <c r="D105" s="200">
        <v>86</v>
      </c>
      <c r="E105" s="856" t="s">
        <v>251</v>
      </c>
      <c r="F105" s="856"/>
      <c r="G105" s="856"/>
      <c r="H105" s="856"/>
      <c r="I105" s="578">
        <f t="shared" si="26"/>
        <v>86.1</v>
      </c>
      <c r="J105" s="579" t="s">
        <v>377</v>
      </c>
      <c r="K105" s="656"/>
      <c r="L105" s="582" t="s">
        <v>220</v>
      </c>
      <c r="M105" s="581">
        <f t="shared" si="20"/>
        <v>6</v>
      </c>
      <c r="N105" s="586"/>
      <c r="O105" s="586">
        <v>2</v>
      </c>
      <c r="P105" s="586"/>
      <c r="Q105" s="584">
        <f t="shared" si="23"/>
        <v>2</v>
      </c>
      <c r="R105" s="586">
        <v>1</v>
      </c>
      <c r="S105" s="586">
        <v>1</v>
      </c>
      <c r="T105" s="586">
        <v>1</v>
      </c>
      <c r="U105" s="580">
        <f t="shared" si="25"/>
        <v>3</v>
      </c>
      <c r="V105" s="586"/>
      <c r="W105" s="586"/>
      <c r="X105" s="586"/>
      <c r="Y105" s="580">
        <f t="shared" si="21"/>
        <v>0</v>
      </c>
      <c r="Z105" s="586"/>
      <c r="AA105" s="586">
        <v>1</v>
      </c>
      <c r="AB105" s="589"/>
      <c r="AC105" s="580">
        <f t="shared" si="22"/>
        <v>1</v>
      </c>
    </row>
    <row r="106" spans="2:29" ht="42" customHeight="1">
      <c r="B106" s="859"/>
      <c r="C106" s="28" t="s">
        <v>334</v>
      </c>
      <c r="D106" s="200">
        <v>87</v>
      </c>
      <c r="E106" s="860" t="s">
        <v>378</v>
      </c>
      <c r="F106" s="860"/>
      <c r="G106" s="860"/>
      <c r="H106" s="860"/>
      <c r="I106" s="578">
        <f t="shared" si="26"/>
        <v>87.1</v>
      </c>
      <c r="J106" s="579" t="s">
        <v>379</v>
      </c>
      <c r="K106" s="656"/>
      <c r="L106" s="582" t="s">
        <v>219</v>
      </c>
      <c r="M106" s="581">
        <f t="shared" si="20"/>
        <v>2</v>
      </c>
      <c r="N106" s="586">
        <v>1</v>
      </c>
      <c r="O106" s="586"/>
      <c r="P106" s="586"/>
      <c r="Q106" s="584">
        <f t="shared" si="23"/>
        <v>1</v>
      </c>
      <c r="R106" s="586"/>
      <c r="S106" s="586"/>
      <c r="T106" s="586"/>
      <c r="U106" s="580">
        <f t="shared" si="25"/>
        <v>0</v>
      </c>
      <c r="V106" s="586"/>
      <c r="W106" s="586">
        <v>1</v>
      </c>
      <c r="X106" s="586"/>
      <c r="Y106" s="580">
        <f t="shared" si="21"/>
        <v>1</v>
      </c>
      <c r="Z106" s="586"/>
      <c r="AA106" s="586"/>
      <c r="AB106" s="589"/>
      <c r="AC106" s="580">
        <f t="shared" si="22"/>
        <v>0</v>
      </c>
    </row>
    <row r="107" spans="2:29" ht="30" customHeight="1">
      <c r="B107" s="859"/>
      <c r="C107" s="28">
        <v>6.2</v>
      </c>
      <c r="D107" s="200">
        <v>88</v>
      </c>
      <c r="E107" s="856" t="s">
        <v>380</v>
      </c>
      <c r="F107" s="856"/>
      <c r="G107" s="856"/>
      <c r="H107" s="856"/>
      <c r="I107" s="578">
        <f t="shared" si="26"/>
        <v>88.1</v>
      </c>
      <c r="J107" s="579" t="s">
        <v>381</v>
      </c>
      <c r="K107" s="656"/>
      <c r="L107" s="582" t="s">
        <v>231</v>
      </c>
      <c r="M107" s="581">
        <f t="shared" si="20"/>
        <v>1</v>
      </c>
      <c r="N107" s="586"/>
      <c r="O107" s="586"/>
      <c r="P107" s="586"/>
      <c r="Q107" s="584">
        <f t="shared" si="23"/>
        <v>0</v>
      </c>
      <c r="R107" s="586"/>
      <c r="S107" s="586">
        <v>1</v>
      </c>
      <c r="T107" s="586"/>
      <c r="U107" s="580">
        <f t="shared" si="25"/>
        <v>1</v>
      </c>
      <c r="V107" s="586"/>
      <c r="W107" s="586"/>
      <c r="X107" s="586"/>
      <c r="Y107" s="580">
        <f t="shared" si="21"/>
        <v>0</v>
      </c>
      <c r="Z107" s="586"/>
      <c r="AA107" s="586"/>
      <c r="AB107" s="586"/>
      <c r="AC107" s="580">
        <f t="shared" si="22"/>
        <v>0</v>
      </c>
    </row>
    <row r="108" spans="1:30" s="388" customFormat="1" ht="30" customHeight="1">
      <c r="A108" s="708"/>
      <c r="B108" s="859"/>
      <c r="C108" s="28" t="s">
        <v>477</v>
      </c>
      <c r="D108" s="200">
        <v>89</v>
      </c>
      <c r="E108" s="856" t="s">
        <v>26</v>
      </c>
      <c r="F108" s="856"/>
      <c r="G108" s="856"/>
      <c r="H108" s="856"/>
      <c r="I108" s="578">
        <f>+D108+0.1</f>
        <v>89.1</v>
      </c>
      <c r="J108" s="579" t="s">
        <v>27</v>
      </c>
      <c r="K108" s="656"/>
      <c r="L108" s="582" t="s">
        <v>221</v>
      </c>
      <c r="M108" s="581">
        <f>+Q108+U108+Y108+AC108</f>
        <v>4</v>
      </c>
      <c r="N108" s="586">
        <v>1</v>
      </c>
      <c r="O108" s="586"/>
      <c r="P108" s="586"/>
      <c r="Q108" s="584">
        <f>SUM(N108:P108)</f>
        <v>1</v>
      </c>
      <c r="R108" s="586"/>
      <c r="S108" s="586">
        <v>1</v>
      </c>
      <c r="T108" s="586"/>
      <c r="U108" s="580">
        <f>SUM(R108:T108)</f>
        <v>1</v>
      </c>
      <c r="V108" s="586"/>
      <c r="W108" s="586">
        <v>1</v>
      </c>
      <c r="X108" s="586"/>
      <c r="Y108" s="580">
        <f>SUM(V108:X108)</f>
        <v>1</v>
      </c>
      <c r="Z108" s="586"/>
      <c r="AA108" s="586">
        <v>1</v>
      </c>
      <c r="AB108" s="586"/>
      <c r="AC108" s="580">
        <f>SUM(Z108:AB108)</f>
        <v>1</v>
      </c>
      <c r="AD108" s="1"/>
    </row>
    <row r="109" spans="2:29" ht="30" customHeight="1">
      <c r="B109" s="859"/>
      <c r="C109" s="28">
        <v>2.1</v>
      </c>
      <c r="D109" s="200">
        <v>90</v>
      </c>
      <c r="E109" s="856" t="s">
        <v>384</v>
      </c>
      <c r="F109" s="856"/>
      <c r="G109" s="856"/>
      <c r="H109" s="856"/>
      <c r="I109" s="578">
        <f t="shared" si="26"/>
        <v>90.1</v>
      </c>
      <c r="J109" s="579" t="s">
        <v>385</v>
      </c>
      <c r="K109" s="656"/>
      <c r="L109" s="582" t="s">
        <v>219</v>
      </c>
      <c r="M109" s="581">
        <f t="shared" si="20"/>
        <v>1</v>
      </c>
      <c r="N109" s="586"/>
      <c r="O109" s="586"/>
      <c r="P109" s="586"/>
      <c r="Q109" s="584">
        <f t="shared" si="23"/>
        <v>0</v>
      </c>
      <c r="R109" s="586"/>
      <c r="S109" s="586"/>
      <c r="T109" s="586"/>
      <c r="U109" s="580">
        <f t="shared" si="25"/>
        <v>0</v>
      </c>
      <c r="V109" s="586"/>
      <c r="W109" s="586"/>
      <c r="X109" s="586"/>
      <c r="Y109" s="580">
        <f t="shared" si="21"/>
        <v>0</v>
      </c>
      <c r="Z109" s="586"/>
      <c r="AA109" s="586"/>
      <c r="AB109" s="586">
        <v>1</v>
      </c>
      <c r="AC109" s="580">
        <f t="shared" si="22"/>
        <v>1</v>
      </c>
    </row>
    <row r="110" spans="2:29" ht="48" customHeight="1">
      <c r="B110" s="859"/>
      <c r="C110" s="28">
        <v>1.2</v>
      </c>
      <c r="D110" s="200">
        <v>91</v>
      </c>
      <c r="E110" s="856" t="s">
        <v>386</v>
      </c>
      <c r="F110" s="856"/>
      <c r="G110" s="856"/>
      <c r="H110" s="856"/>
      <c r="I110" s="578">
        <f t="shared" si="26"/>
        <v>91.1</v>
      </c>
      <c r="J110" s="579" t="s">
        <v>387</v>
      </c>
      <c r="K110" s="656"/>
      <c r="L110" s="582" t="s">
        <v>472</v>
      </c>
      <c r="M110" s="581">
        <f t="shared" si="20"/>
        <v>2</v>
      </c>
      <c r="N110" s="586"/>
      <c r="O110" s="586">
        <v>1</v>
      </c>
      <c r="P110" s="586"/>
      <c r="Q110" s="584">
        <f t="shared" si="23"/>
        <v>1</v>
      </c>
      <c r="R110" s="586"/>
      <c r="S110" s="586"/>
      <c r="T110" s="586"/>
      <c r="U110" s="580">
        <f t="shared" si="25"/>
        <v>0</v>
      </c>
      <c r="V110" s="586"/>
      <c r="W110" s="586">
        <v>1</v>
      </c>
      <c r="X110" s="586"/>
      <c r="Y110" s="580">
        <f t="shared" si="21"/>
        <v>1</v>
      </c>
      <c r="Z110" s="586"/>
      <c r="AA110" s="586"/>
      <c r="AB110" s="586"/>
      <c r="AC110" s="580">
        <f t="shared" si="22"/>
        <v>0</v>
      </c>
    </row>
    <row r="111" spans="2:29" ht="48" customHeight="1">
      <c r="B111" s="859"/>
      <c r="C111" s="28">
        <v>1.6</v>
      </c>
      <c r="D111" s="200">
        <v>92</v>
      </c>
      <c r="E111" s="856" t="s">
        <v>20</v>
      </c>
      <c r="F111" s="856"/>
      <c r="G111" s="856"/>
      <c r="H111" s="856"/>
      <c r="I111" s="578">
        <f>+D111+0.1</f>
        <v>92.1</v>
      </c>
      <c r="J111" s="579" t="s">
        <v>21</v>
      </c>
      <c r="K111" s="656"/>
      <c r="L111" s="582" t="s">
        <v>231</v>
      </c>
      <c r="M111" s="581">
        <f>+Q111+U111+Y111+AC111</f>
        <v>4</v>
      </c>
      <c r="N111" s="586"/>
      <c r="O111" s="586"/>
      <c r="P111" s="586">
        <v>1</v>
      </c>
      <c r="Q111" s="584">
        <f>SUM(N111:P111)</f>
        <v>1</v>
      </c>
      <c r="R111" s="586"/>
      <c r="S111" s="586"/>
      <c r="T111" s="586">
        <v>1</v>
      </c>
      <c r="U111" s="580">
        <f>SUM(R111:T111)</f>
        <v>1</v>
      </c>
      <c r="V111" s="586"/>
      <c r="W111" s="586"/>
      <c r="X111" s="586">
        <v>1</v>
      </c>
      <c r="Y111" s="580">
        <f>SUM(V111:X111)</f>
        <v>1</v>
      </c>
      <c r="Z111" s="586"/>
      <c r="AA111" s="586"/>
      <c r="AB111" s="586">
        <v>1</v>
      </c>
      <c r="AC111" s="580">
        <f>SUM(Z111:AB111)</f>
        <v>1</v>
      </c>
    </row>
    <row r="112" spans="2:29" ht="30" customHeight="1">
      <c r="B112" s="859"/>
      <c r="C112" s="28"/>
      <c r="D112" s="200">
        <v>93</v>
      </c>
      <c r="E112" s="860" t="s">
        <v>390</v>
      </c>
      <c r="F112" s="860"/>
      <c r="G112" s="860"/>
      <c r="H112" s="860"/>
      <c r="I112" s="578">
        <f t="shared" si="26"/>
        <v>93.1</v>
      </c>
      <c r="J112" s="579" t="s">
        <v>391</v>
      </c>
      <c r="K112" s="656"/>
      <c r="L112" s="582" t="s">
        <v>225</v>
      </c>
      <c r="M112" s="581">
        <f t="shared" si="20"/>
        <v>3</v>
      </c>
      <c r="N112" s="586"/>
      <c r="O112" s="586"/>
      <c r="P112" s="582">
        <v>1</v>
      </c>
      <c r="Q112" s="584">
        <f t="shared" si="23"/>
        <v>1</v>
      </c>
      <c r="R112" s="586">
        <v>1</v>
      </c>
      <c r="S112" s="586"/>
      <c r="T112" s="586"/>
      <c r="U112" s="580">
        <f t="shared" si="25"/>
        <v>1</v>
      </c>
      <c r="V112" s="586"/>
      <c r="W112" s="586"/>
      <c r="X112" s="586">
        <v>1</v>
      </c>
      <c r="Y112" s="580">
        <f t="shared" si="21"/>
        <v>1</v>
      </c>
      <c r="Z112" s="586"/>
      <c r="AA112" s="586"/>
      <c r="AB112" s="586"/>
      <c r="AC112" s="580">
        <f t="shared" si="22"/>
        <v>0</v>
      </c>
    </row>
    <row r="113" spans="2:29" ht="30" customHeight="1">
      <c r="B113" s="859"/>
      <c r="C113" s="28"/>
      <c r="D113" s="200">
        <v>94</v>
      </c>
      <c r="E113" s="856" t="s">
        <v>5</v>
      </c>
      <c r="F113" s="856"/>
      <c r="G113" s="856"/>
      <c r="H113" s="856"/>
      <c r="I113" s="578">
        <f t="shared" si="26"/>
        <v>94.1</v>
      </c>
      <c r="J113" s="579" t="s">
        <v>393</v>
      </c>
      <c r="K113" s="656"/>
      <c r="L113" s="582" t="s">
        <v>219</v>
      </c>
      <c r="M113" s="581">
        <f t="shared" si="20"/>
        <v>1</v>
      </c>
      <c r="N113" s="586"/>
      <c r="O113" s="586"/>
      <c r="P113" s="586"/>
      <c r="Q113" s="584">
        <f t="shared" si="23"/>
        <v>0</v>
      </c>
      <c r="R113" s="586"/>
      <c r="S113" s="586"/>
      <c r="T113" s="586"/>
      <c r="U113" s="580">
        <f t="shared" si="25"/>
        <v>0</v>
      </c>
      <c r="V113" s="586">
        <v>1</v>
      </c>
      <c r="W113" s="586"/>
      <c r="X113" s="586"/>
      <c r="Y113" s="580">
        <f t="shared" si="21"/>
        <v>1</v>
      </c>
      <c r="Z113" s="586"/>
      <c r="AA113" s="586"/>
      <c r="AB113" s="586"/>
      <c r="AC113" s="580">
        <f t="shared" si="22"/>
        <v>0</v>
      </c>
    </row>
    <row r="114" spans="2:29" ht="30" customHeight="1">
      <c r="B114" s="859"/>
      <c r="C114" s="28">
        <v>3.1</v>
      </c>
      <c r="D114" s="200">
        <v>95</v>
      </c>
      <c r="E114" s="860" t="s">
        <v>252</v>
      </c>
      <c r="F114" s="860"/>
      <c r="G114" s="860"/>
      <c r="H114" s="860"/>
      <c r="I114" s="578">
        <f t="shared" si="26"/>
        <v>95.1</v>
      </c>
      <c r="J114" s="579" t="s">
        <v>395</v>
      </c>
      <c r="K114" s="656"/>
      <c r="L114" s="582" t="s">
        <v>216</v>
      </c>
      <c r="M114" s="581">
        <f t="shared" si="20"/>
        <v>4</v>
      </c>
      <c r="N114" s="586"/>
      <c r="O114" s="586">
        <v>1</v>
      </c>
      <c r="P114" s="586">
        <v>1</v>
      </c>
      <c r="Q114" s="584">
        <f t="shared" si="23"/>
        <v>2</v>
      </c>
      <c r="R114" s="586"/>
      <c r="S114" s="586"/>
      <c r="T114" s="586"/>
      <c r="U114" s="580">
        <f t="shared" si="25"/>
        <v>0</v>
      </c>
      <c r="V114" s="586"/>
      <c r="W114" s="586">
        <v>1</v>
      </c>
      <c r="X114" s="586">
        <v>1</v>
      </c>
      <c r="Y114" s="580">
        <f t="shared" si="21"/>
        <v>2</v>
      </c>
      <c r="Z114" s="586"/>
      <c r="AA114" s="586"/>
      <c r="AB114" s="589"/>
      <c r="AC114" s="580">
        <f t="shared" si="22"/>
        <v>0</v>
      </c>
    </row>
    <row r="115" spans="2:29" ht="30" customHeight="1">
      <c r="B115" s="859"/>
      <c r="C115" s="28"/>
      <c r="D115" s="200">
        <v>96</v>
      </c>
      <c r="E115" s="860" t="s">
        <v>35</v>
      </c>
      <c r="F115" s="860"/>
      <c r="G115" s="860"/>
      <c r="H115" s="860"/>
      <c r="I115" s="578">
        <f t="shared" si="26"/>
        <v>96.1</v>
      </c>
      <c r="J115" s="579" t="s">
        <v>36</v>
      </c>
      <c r="K115" s="656"/>
      <c r="L115" s="582" t="s">
        <v>217</v>
      </c>
      <c r="M115" s="581">
        <f t="shared" si="20"/>
        <v>1</v>
      </c>
      <c r="N115" s="586"/>
      <c r="O115" s="586"/>
      <c r="P115" s="586"/>
      <c r="Q115" s="584">
        <f t="shared" si="23"/>
        <v>0</v>
      </c>
      <c r="R115" s="586"/>
      <c r="S115" s="586"/>
      <c r="T115" s="586"/>
      <c r="U115" s="580">
        <f t="shared" si="25"/>
        <v>0</v>
      </c>
      <c r="V115" s="586"/>
      <c r="W115" s="586"/>
      <c r="X115" s="586"/>
      <c r="Y115" s="580">
        <f t="shared" si="21"/>
        <v>0</v>
      </c>
      <c r="Z115" s="586"/>
      <c r="AA115" s="586"/>
      <c r="AB115" s="586">
        <v>1</v>
      </c>
      <c r="AC115" s="580">
        <f t="shared" si="22"/>
        <v>1</v>
      </c>
    </row>
    <row r="116" spans="1:30" s="346" customFormat="1" ht="30" customHeight="1">
      <c r="A116" s="709"/>
      <c r="B116" s="859"/>
      <c r="C116" s="28"/>
      <c r="D116" s="200"/>
      <c r="E116" s="855" t="s">
        <v>603</v>
      </c>
      <c r="F116" s="855"/>
      <c r="G116" s="855"/>
      <c r="H116" s="855"/>
      <c r="I116" s="855"/>
      <c r="J116" s="855"/>
      <c r="K116" s="655"/>
      <c r="L116" s="577"/>
      <c r="M116" s="577">
        <f t="shared" si="20"/>
        <v>4</v>
      </c>
      <c r="N116" s="577">
        <f>+N117</f>
        <v>0</v>
      </c>
      <c r="O116" s="577">
        <f>+O117</f>
        <v>0</v>
      </c>
      <c r="P116" s="577">
        <f>+P117</f>
        <v>1</v>
      </c>
      <c r="Q116" s="577">
        <f t="shared" si="23"/>
        <v>1</v>
      </c>
      <c r="R116" s="577">
        <f>+R117</f>
        <v>0</v>
      </c>
      <c r="S116" s="577">
        <f>+S117</f>
        <v>0</v>
      </c>
      <c r="T116" s="577">
        <f>+T117</f>
        <v>1</v>
      </c>
      <c r="U116" s="577">
        <f t="shared" si="25"/>
        <v>1</v>
      </c>
      <c r="V116" s="577">
        <f>+V117</f>
        <v>0</v>
      </c>
      <c r="W116" s="577">
        <f>+W117</f>
        <v>0</v>
      </c>
      <c r="X116" s="577">
        <f>+X117</f>
        <v>1</v>
      </c>
      <c r="Y116" s="577">
        <f t="shared" si="21"/>
        <v>1</v>
      </c>
      <c r="Z116" s="577">
        <f>+Z117</f>
        <v>0</v>
      </c>
      <c r="AA116" s="577">
        <f>+AA117</f>
        <v>0</v>
      </c>
      <c r="AB116" s="577">
        <f>+AB117</f>
        <v>1</v>
      </c>
      <c r="AC116" s="577">
        <f t="shared" si="22"/>
        <v>1</v>
      </c>
      <c r="AD116" s="334"/>
    </row>
    <row r="117" spans="2:29" ht="43.5" customHeight="1">
      <c r="B117" s="859"/>
      <c r="C117" s="28">
        <v>5.1</v>
      </c>
      <c r="D117" s="200">
        <v>97</v>
      </c>
      <c r="E117" s="856" t="s">
        <v>134</v>
      </c>
      <c r="F117" s="856"/>
      <c r="G117" s="856"/>
      <c r="H117" s="856"/>
      <c r="I117" s="578">
        <f t="shared" si="26"/>
        <v>97.1</v>
      </c>
      <c r="J117" s="579" t="s">
        <v>605</v>
      </c>
      <c r="K117" s="656"/>
      <c r="L117" s="582" t="s">
        <v>231</v>
      </c>
      <c r="M117" s="581">
        <f t="shared" si="20"/>
        <v>4</v>
      </c>
      <c r="N117" s="586"/>
      <c r="O117" s="586"/>
      <c r="P117" s="586">
        <v>1</v>
      </c>
      <c r="Q117" s="584">
        <f t="shared" si="23"/>
        <v>1</v>
      </c>
      <c r="R117" s="586"/>
      <c r="S117" s="586"/>
      <c r="T117" s="586">
        <v>1</v>
      </c>
      <c r="U117" s="580">
        <f t="shared" si="25"/>
        <v>1</v>
      </c>
      <c r="V117" s="586"/>
      <c r="W117" s="586"/>
      <c r="X117" s="586">
        <v>1</v>
      </c>
      <c r="Y117" s="580">
        <f t="shared" si="21"/>
        <v>1</v>
      </c>
      <c r="Z117" s="586"/>
      <c r="AA117" s="586"/>
      <c r="AB117" s="589">
        <v>1</v>
      </c>
      <c r="AC117" s="580">
        <f t="shared" si="22"/>
        <v>1</v>
      </c>
    </row>
    <row r="118" spans="1:30" s="353" customFormat="1" ht="19.5" customHeight="1">
      <c r="A118" s="709"/>
      <c r="B118" s="859"/>
      <c r="C118" s="356"/>
      <c r="D118" s="357"/>
      <c r="E118" s="855" t="s">
        <v>328</v>
      </c>
      <c r="F118" s="855"/>
      <c r="G118" s="855"/>
      <c r="H118" s="855"/>
      <c r="I118" s="593"/>
      <c r="J118" s="652"/>
      <c r="K118" s="659"/>
      <c r="L118" s="652"/>
      <c r="M118" s="577">
        <f>+Q118+U118+Y118+AC118</f>
        <v>657</v>
      </c>
      <c r="N118" s="577">
        <f>+N116+N83+N68+N51+N54+N46+N42+N29+N11+N8+N6</f>
        <v>40</v>
      </c>
      <c r="O118" s="577">
        <f aca="true" t="shared" si="27" ref="O118:AC118">+O116+O83+O68+O51+O54+O46+O42+O29+O11+O8+O6</f>
        <v>78</v>
      </c>
      <c r="P118" s="577">
        <f t="shared" si="27"/>
        <v>70</v>
      </c>
      <c r="Q118" s="577">
        <f t="shared" si="27"/>
        <v>188</v>
      </c>
      <c r="R118" s="577">
        <f t="shared" si="27"/>
        <v>71</v>
      </c>
      <c r="S118" s="577">
        <f t="shared" si="27"/>
        <v>56</v>
      </c>
      <c r="T118" s="577">
        <f t="shared" si="27"/>
        <v>60</v>
      </c>
      <c r="U118" s="577">
        <f t="shared" si="27"/>
        <v>187</v>
      </c>
      <c r="V118" s="577">
        <f t="shared" si="27"/>
        <v>20</v>
      </c>
      <c r="W118" s="577">
        <f t="shared" si="27"/>
        <v>47</v>
      </c>
      <c r="X118" s="577">
        <f t="shared" si="27"/>
        <v>65</v>
      </c>
      <c r="Y118" s="577">
        <f t="shared" si="27"/>
        <v>132</v>
      </c>
      <c r="Z118" s="577">
        <f t="shared" si="27"/>
        <v>54</v>
      </c>
      <c r="AA118" s="577">
        <f t="shared" si="27"/>
        <v>47</v>
      </c>
      <c r="AB118" s="577">
        <f t="shared" si="27"/>
        <v>49</v>
      </c>
      <c r="AC118" s="577">
        <f t="shared" si="27"/>
        <v>150</v>
      </c>
      <c r="AD118" s="334"/>
    </row>
    <row r="119" spans="1:17" s="1" customFormat="1" ht="12.75">
      <c r="A119" s="708"/>
      <c r="B119" s="13"/>
      <c r="D119" s="541"/>
      <c r="E119" s="607"/>
      <c r="F119" s="607"/>
      <c r="G119" s="607"/>
      <c r="H119" s="607"/>
      <c r="I119" s="607"/>
      <c r="J119" s="607"/>
      <c r="K119" s="653"/>
      <c r="Q119" s="661"/>
    </row>
    <row r="120" ht="34.5">
      <c r="E120" s="542"/>
    </row>
  </sheetData>
  <sheetProtection/>
  <mergeCells count="115">
    <mergeCell ref="E118:H118"/>
    <mergeCell ref="E107:H107"/>
    <mergeCell ref="E114:H114"/>
    <mergeCell ref="E115:H115"/>
    <mergeCell ref="E116:J116"/>
    <mergeCell ref="E110:H110"/>
    <mergeCell ref="E108:H108"/>
    <mergeCell ref="E111:H111"/>
    <mergeCell ref="E112:H112"/>
    <mergeCell ref="E113:H113"/>
    <mergeCell ref="E97:H97"/>
    <mergeCell ref="E98:H98"/>
    <mergeCell ref="E99:H99"/>
    <mergeCell ref="E109:H109"/>
    <mergeCell ref="E100:H100"/>
    <mergeCell ref="E101:H101"/>
    <mergeCell ref="E102:H102"/>
    <mergeCell ref="E103:H103"/>
    <mergeCell ref="E106:H106"/>
    <mergeCell ref="E104:H104"/>
    <mergeCell ref="E80:H80"/>
    <mergeCell ref="E81:H81"/>
    <mergeCell ref="E82:H82"/>
    <mergeCell ref="E83:J83"/>
    <mergeCell ref="E96:H96"/>
    <mergeCell ref="C87:C88"/>
    <mergeCell ref="E87:H88"/>
    <mergeCell ref="E94:H94"/>
    <mergeCell ref="E95:H95"/>
    <mergeCell ref="E86:H86"/>
    <mergeCell ref="E91:H91"/>
    <mergeCell ref="E92:H92"/>
    <mergeCell ref="E93:H93"/>
    <mergeCell ref="E89:H89"/>
    <mergeCell ref="E90:H90"/>
    <mergeCell ref="C70:C71"/>
    <mergeCell ref="E70:H71"/>
    <mergeCell ref="E84:H84"/>
    <mergeCell ref="E85:H85"/>
    <mergeCell ref="E73:H73"/>
    <mergeCell ref="E74:H74"/>
    <mergeCell ref="E75:H75"/>
    <mergeCell ref="E76:H76"/>
    <mergeCell ref="E78:H78"/>
    <mergeCell ref="E79:H79"/>
    <mergeCell ref="E44:H44"/>
    <mergeCell ref="E72:H72"/>
    <mergeCell ref="E63:H63"/>
    <mergeCell ref="E64:H64"/>
    <mergeCell ref="E65:H65"/>
    <mergeCell ref="E66:H66"/>
    <mergeCell ref="E67:H67"/>
    <mergeCell ref="E68:J68"/>
    <mergeCell ref="E69:H69"/>
    <mergeCell ref="E60:H61"/>
    <mergeCell ref="E62:H62"/>
    <mergeCell ref="E54:J54"/>
    <mergeCell ref="E55:H55"/>
    <mergeCell ref="E56:H56"/>
    <mergeCell ref="E57:H57"/>
    <mergeCell ref="E58:H58"/>
    <mergeCell ref="E59:H59"/>
    <mergeCell ref="E41:H41"/>
    <mergeCell ref="E42:J42"/>
    <mergeCell ref="E33:H33"/>
    <mergeCell ref="E34:H34"/>
    <mergeCell ref="E35:H35"/>
    <mergeCell ref="E36:H36"/>
    <mergeCell ref="E37:H37"/>
    <mergeCell ref="E38:H38"/>
    <mergeCell ref="E39:H39"/>
    <mergeCell ref="E40:H40"/>
    <mergeCell ref="E12:H12"/>
    <mergeCell ref="E13:H13"/>
    <mergeCell ref="E14:H14"/>
    <mergeCell ref="E15:H15"/>
    <mergeCell ref="E16:H16"/>
    <mergeCell ref="E17:H17"/>
    <mergeCell ref="B1:H2"/>
    <mergeCell ref="B3:H3"/>
    <mergeCell ref="B4:J4"/>
    <mergeCell ref="E8:J8"/>
    <mergeCell ref="E6:J6"/>
    <mergeCell ref="E7:H7"/>
    <mergeCell ref="B8:B118"/>
    <mergeCell ref="E77:H77"/>
    <mergeCell ref="E117:H117"/>
    <mergeCell ref="E105:H105"/>
    <mergeCell ref="E9:H9"/>
    <mergeCell ref="E10:H10"/>
    <mergeCell ref="E11:J11"/>
    <mergeCell ref="E43:H43"/>
    <mergeCell ref="E18:H18"/>
    <mergeCell ref="E19:H19"/>
    <mergeCell ref="E20:H20"/>
    <mergeCell ref="E21:H21"/>
    <mergeCell ref="E30:H31"/>
    <mergeCell ref="E32:H32"/>
    <mergeCell ref="E45:H45"/>
    <mergeCell ref="E46:J46"/>
    <mergeCell ref="E22:H22"/>
    <mergeCell ref="E23:H23"/>
    <mergeCell ref="E28:H28"/>
    <mergeCell ref="E24:H24"/>
    <mergeCell ref="E25:H25"/>
    <mergeCell ref="E26:H26"/>
    <mergeCell ref="E29:J29"/>
    <mergeCell ref="E27:H27"/>
    <mergeCell ref="E51:J51"/>
    <mergeCell ref="E52:H52"/>
    <mergeCell ref="E53:H53"/>
    <mergeCell ref="E47:H47"/>
    <mergeCell ref="E48:H48"/>
    <mergeCell ref="E49:H49"/>
    <mergeCell ref="E50:H50"/>
  </mergeCells>
  <printOptions/>
  <pageMargins left="0.65" right="0.15748031496062992" top="0.52" bottom="0.4724409448818898" header="0.25" footer="0"/>
  <pageSetup fitToHeight="6" fitToWidth="1" horizontalDpi="600" verticalDpi="600" orientation="landscape" scale="41" r:id="rId1"/>
</worksheet>
</file>

<file path=xl/worksheets/sheet5.xml><?xml version="1.0" encoding="utf-8"?>
<worksheet xmlns="http://schemas.openxmlformats.org/spreadsheetml/2006/main" xmlns:r="http://schemas.openxmlformats.org/officeDocument/2006/relationships">
  <dimension ref="A1:AP886"/>
  <sheetViews>
    <sheetView zoomScale="75" zoomScaleNormal="75" zoomScalePageLayoutView="0" workbookViewId="0" topLeftCell="B696">
      <selection activeCell="D882" sqref="D882"/>
    </sheetView>
  </sheetViews>
  <sheetFormatPr defaultColWidth="11.421875" defaultRowHeight="12.75"/>
  <cols>
    <col min="1" max="1" width="1.8515625" style="0" hidden="1" customWidth="1"/>
    <col min="2" max="2" width="7.00390625" style="574" customWidth="1"/>
    <col min="3" max="3" width="54.421875" style="40" customWidth="1"/>
    <col min="4" max="4" width="27.7109375" style="47" bestFit="1" customWidth="1"/>
    <col min="5" max="5" width="10.8515625" style="0" bestFit="1" customWidth="1"/>
    <col min="6" max="6" width="18.28125" style="691" customWidth="1"/>
    <col min="7" max="7" width="28.7109375" style="114" customWidth="1"/>
    <col min="8" max="8" width="3.57421875" style="25" customWidth="1"/>
    <col min="9" max="9" width="17.8515625" style="388" hidden="1" customWidth="1"/>
    <col min="10" max="10" width="14.421875" style="25" hidden="1" customWidth="1"/>
    <col min="11" max="11" width="18.140625" style="25" hidden="1" customWidth="1"/>
    <col min="12" max="13" width="14.421875" style="25" hidden="1" customWidth="1"/>
    <col min="14" max="14" width="13.8515625" style="25" hidden="1" customWidth="1"/>
    <col min="15" max="15" width="13.8515625" style="25" bestFit="1" customWidth="1"/>
    <col min="16" max="42" width="11.421875" style="25" customWidth="1"/>
  </cols>
  <sheetData>
    <row r="1" spans="2:9" ht="12.75">
      <c r="B1" s="568"/>
      <c r="C1" s="770" t="s">
        <v>166</v>
      </c>
      <c r="D1" s="770"/>
      <c r="E1" s="770"/>
      <c r="F1" s="770"/>
      <c r="G1" s="770"/>
      <c r="H1" s="5"/>
      <c r="I1" s="451"/>
    </row>
    <row r="2" spans="2:9" ht="12.75">
      <c r="B2" s="568"/>
      <c r="C2" s="770"/>
      <c r="D2" s="770"/>
      <c r="E2" s="770"/>
      <c r="F2" s="770"/>
      <c r="G2" s="770"/>
      <c r="H2" s="5"/>
      <c r="I2" s="451"/>
    </row>
    <row r="3" spans="2:9" ht="12.75">
      <c r="B3" s="568"/>
      <c r="C3" s="770" t="s">
        <v>627</v>
      </c>
      <c r="D3" s="770"/>
      <c r="E3" s="770"/>
      <c r="F3" s="770"/>
      <c r="G3" s="770"/>
      <c r="H3" s="5"/>
      <c r="I3" s="451"/>
    </row>
    <row r="4" spans="2:9" ht="24.75" customHeight="1">
      <c r="B4" s="569"/>
      <c r="C4" s="92"/>
      <c r="D4" s="93" t="s">
        <v>199</v>
      </c>
      <c r="E4" s="93"/>
      <c r="F4" s="665"/>
      <c r="G4" s="105"/>
      <c r="H4" s="83"/>
      <c r="I4" s="451"/>
    </row>
    <row r="5" spans="2:9" ht="43.5" customHeight="1">
      <c r="B5" s="570"/>
      <c r="C5" s="103" t="s">
        <v>200</v>
      </c>
      <c r="D5" s="104" t="s">
        <v>201</v>
      </c>
      <c r="E5" s="863" t="s">
        <v>153</v>
      </c>
      <c r="F5" s="864"/>
      <c r="G5" s="106" t="s">
        <v>202</v>
      </c>
      <c r="H5" s="96"/>
      <c r="I5" s="451"/>
    </row>
    <row r="6" spans="2:14" ht="12.75">
      <c r="B6" s="570"/>
      <c r="C6" s="220" t="s">
        <v>116</v>
      </c>
      <c r="D6" s="639">
        <f>SUM(D7:D94)</f>
        <v>70669476.92999999</v>
      </c>
      <c r="E6" s="222"/>
      <c r="F6" s="666">
        <f>SUM(F7:F94)/2</f>
        <v>70669476.93</v>
      </c>
      <c r="G6" s="699"/>
      <c r="H6" s="96"/>
      <c r="I6" s="456"/>
      <c r="J6" s="456" t="e">
        <f>+J7+J34+#REF!</f>
        <v>#REF!</v>
      </c>
      <c r="K6" s="456" t="e">
        <f>+K7+K34+#REF!</f>
        <v>#REF!</v>
      </c>
      <c r="L6" s="456" t="e">
        <f>+L7+L34+#REF!</f>
        <v>#REF!</v>
      </c>
      <c r="M6" s="456" t="e">
        <f>+M7+M34+#REF!</f>
        <v>#REF!</v>
      </c>
      <c r="N6" s="461" t="e">
        <f>+N7+N34+#REF!</f>
        <v>#REF!</v>
      </c>
    </row>
    <row r="7" spans="2:14" ht="25.5">
      <c r="B7" s="570">
        <v>1</v>
      </c>
      <c r="C7" s="224" t="s">
        <v>776</v>
      </c>
      <c r="D7" s="48">
        <f>+F7+F34+F84</f>
        <v>70669476.92999999</v>
      </c>
      <c r="E7" s="50">
        <v>2000</v>
      </c>
      <c r="F7" s="667">
        <f>SUM(F8:F33)</f>
        <v>16149468.099999998</v>
      </c>
      <c r="G7" s="448"/>
      <c r="H7" s="98"/>
      <c r="I7" s="459">
        <f aca="true" t="shared" si="0" ref="I7:N7">SUM(I8:I33)</f>
        <v>6183350</v>
      </c>
      <c r="J7" s="459">
        <f t="shared" si="0"/>
        <v>0</v>
      </c>
      <c r="K7" s="459">
        <f t="shared" si="0"/>
        <v>0</v>
      </c>
      <c r="L7" s="459">
        <f t="shared" si="0"/>
        <v>0</v>
      </c>
      <c r="M7" s="459">
        <f t="shared" si="0"/>
        <v>0</v>
      </c>
      <c r="N7" s="462">
        <f t="shared" si="0"/>
        <v>6183350</v>
      </c>
    </row>
    <row r="8" spans="2:14" ht="12.75">
      <c r="B8" s="570"/>
      <c r="C8" s="75"/>
      <c r="D8" s="49"/>
      <c r="E8" s="703">
        <v>2101</v>
      </c>
      <c r="F8" s="704">
        <v>1512425</v>
      </c>
      <c r="G8" s="448"/>
      <c r="H8" s="98"/>
      <c r="I8" s="458">
        <v>980000</v>
      </c>
      <c r="J8" s="457"/>
      <c r="K8" s="457"/>
      <c r="L8" s="457"/>
      <c r="M8" s="457"/>
      <c r="N8" s="463">
        <f>+L8+K8+J8+M8+I8</f>
        <v>980000</v>
      </c>
    </row>
    <row r="9" spans="2:14" ht="12.75">
      <c r="B9" s="570"/>
      <c r="C9" s="75"/>
      <c r="D9" s="49"/>
      <c r="E9" s="703">
        <v>2102</v>
      </c>
      <c r="F9" s="704">
        <v>390000</v>
      </c>
      <c r="G9" s="448"/>
      <c r="H9" s="98"/>
      <c r="I9" s="458">
        <v>390000</v>
      </c>
      <c r="J9" s="457"/>
      <c r="K9" s="457"/>
      <c r="L9" s="457"/>
      <c r="M9" s="457"/>
      <c r="N9" s="463">
        <f aca="true" t="shared" si="1" ref="N9:N83">+L9+K9+J9+M9+I9</f>
        <v>390000</v>
      </c>
    </row>
    <row r="10" spans="2:14" ht="12.75">
      <c r="B10" s="570"/>
      <c r="C10" s="75"/>
      <c r="D10" s="49"/>
      <c r="E10" s="703">
        <v>2103</v>
      </c>
      <c r="F10" s="704">
        <v>2577903.7</v>
      </c>
      <c r="G10" s="448"/>
      <c r="H10" s="98"/>
      <c r="I10" s="458">
        <v>600000</v>
      </c>
      <c r="J10" s="457"/>
      <c r="K10" s="457"/>
      <c r="L10" s="457"/>
      <c r="M10" s="457"/>
      <c r="N10" s="463">
        <f t="shared" si="1"/>
        <v>600000</v>
      </c>
    </row>
    <row r="11" spans="2:14" ht="12.75">
      <c r="B11" s="570"/>
      <c r="C11" s="75"/>
      <c r="D11" s="49"/>
      <c r="E11" s="703">
        <v>2104</v>
      </c>
      <c r="F11" s="704">
        <v>918785.8</v>
      </c>
      <c r="G11" s="448"/>
      <c r="H11" s="98"/>
      <c r="I11" s="458">
        <v>636000</v>
      </c>
      <c r="J11" s="457"/>
      <c r="K11" s="457"/>
      <c r="L11" s="457"/>
      <c r="M11" s="457"/>
      <c r="N11" s="463">
        <f t="shared" si="1"/>
        <v>636000</v>
      </c>
    </row>
    <row r="12" spans="2:14" ht="12.75">
      <c r="B12" s="570"/>
      <c r="C12" s="75"/>
      <c r="D12" s="49"/>
      <c r="E12" s="703">
        <v>2105</v>
      </c>
      <c r="F12" s="704">
        <v>941276.2</v>
      </c>
      <c r="G12" s="448"/>
      <c r="H12" s="98"/>
      <c r="I12" s="458">
        <v>960000</v>
      </c>
      <c r="J12" s="457"/>
      <c r="K12" s="457"/>
      <c r="L12" s="457"/>
      <c r="M12" s="457"/>
      <c r="N12" s="463">
        <f t="shared" si="1"/>
        <v>960000</v>
      </c>
    </row>
    <row r="13" spans="2:14" ht="12.75">
      <c r="B13" s="570"/>
      <c r="C13" s="75"/>
      <c r="D13" s="49"/>
      <c r="E13" s="703">
        <v>2106</v>
      </c>
      <c r="F13" s="704">
        <v>809065</v>
      </c>
      <c r="G13" s="448"/>
      <c r="H13" s="98"/>
      <c r="I13" s="458">
        <v>68850</v>
      </c>
      <c r="J13" s="457"/>
      <c r="K13" s="457"/>
      <c r="L13" s="457"/>
      <c r="M13" s="457"/>
      <c r="N13" s="463">
        <f t="shared" si="1"/>
        <v>68850</v>
      </c>
    </row>
    <row r="14" spans="2:14" ht="12.75">
      <c r="B14" s="570"/>
      <c r="C14" s="75"/>
      <c r="D14" s="49"/>
      <c r="E14" s="703">
        <v>2201</v>
      </c>
      <c r="F14" s="704">
        <v>892427.1</v>
      </c>
      <c r="G14" s="448"/>
      <c r="H14" s="98"/>
      <c r="I14" s="458">
        <v>420000</v>
      </c>
      <c r="J14" s="457"/>
      <c r="K14" s="457"/>
      <c r="L14" s="457"/>
      <c r="M14" s="457"/>
      <c r="N14" s="463">
        <f t="shared" si="1"/>
        <v>420000</v>
      </c>
    </row>
    <row r="15" spans="2:14" ht="12.75">
      <c r="B15" s="570"/>
      <c r="C15" s="75"/>
      <c r="D15" s="49"/>
      <c r="E15" s="703">
        <v>2204</v>
      </c>
      <c r="F15" s="704">
        <v>10780</v>
      </c>
      <c r="G15" s="448"/>
      <c r="H15" s="98"/>
      <c r="I15" s="458"/>
      <c r="J15" s="457"/>
      <c r="K15" s="457"/>
      <c r="L15" s="457"/>
      <c r="M15" s="457"/>
      <c r="N15" s="463"/>
    </row>
    <row r="16" spans="2:14" ht="12.75">
      <c r="B16" s="570"/>
      <c r="C16" s="75"/>
      <c r="D16" s="49"/>
      <c r="E16" s="703">
        <v>2205</v>
      </c>
      <c r="F16" s="704">
        <v>5000</v>
      </c>
      <c r="G16" s="448"/>
      <c r="H16" s="98"/>
      <c r="I16" s="458"/>
      <c r="J16" s="457"/>
      <c r="K16" s="457"/>
      <c r="L16" s="457"/>
      <c r="M16" s="457"/>
      <c r="N16" s="463"/>
    </row>
    <row r="17" spans="2:14" ht="12.75">
      <c r="B17" s="570"/>
      <c r="C17" s="75"/>
      <c r="D17" s="49"/>
      <c r="E17" s="703">
        <v>2206</v>
      </c>
      <c r="F17" s="704">
        <v>18918.9</v>
      </c>
      <c r="G17" s="448"/>
      <c r="H17" s="98"/>
      <c r="I17" s="458"/>
      <c r="J17" s="457"/>
      <c r="K17" s="457"/>
      <c r="L17" s="457"/>
      <c r="M17" s="457"/>
      <c r="N17" s="463"/>
    </row>
    <row r="18" spans="2:14" ht="12.75">
      <c r="B18" s="570"/>
      <c r="C18" s="75"/>
      <c r="D18" s="49"/>
      <c r="E18" s="703">
        <v>2207</v>
      </c>
      <c r="F18" s="704">
        <v>91754</v>
      </c>
      <c r="G18" s="448"/>
      <c r="H18" s="98"/>
      <c r="I18" s="458"/>
      <c r="J18" s="457"/>
      <c r="K18" s="457"/>
      <c r="L18" s="457"/>
      <c r="M18" s="457"/>
      <c r="N18" s="463"/>
    </row>
    <row r="19" spans="2:14" ht="12.75">
      <c r="B19" s="570"/>
      <c r="C19" s="75"/>
      <c r="D19" s="49"/>
      <c r="E19" s="703">
        <v>2302</v>
      </c>
      <c r="F19" s="704">
        <v>438002</v>
      </c>
      <c r="G19" s="448"/>
      <c r="H19" s="98"/>
      <c r="I19" s="458"/>
      <c r="J19" s="457"/>
      <c r="K19" s="457"/>
      <c r="L19" s="457"/>
      <c r="M19" s="457"/>
      <c r="N19" s="463"/>
    </row>
    <row r="20" spans="2:14" ht="12.75">
      <c r="B20" s="570"/>
      <c r="C20" s="75"/>
      <c r="D20" s="49"/>
      <c r="E20" s="703">
        <v>2304</v>
      </c>
      <c r="F20" s="704">
        <v>409002.2</v>
      </c>
      <c r="G20" s="448"/>
      <c r="H20" s="98"/>
      <c r="I20" s="458"/>
      <c r="J20" s="457"/>
      <c r="K20" s="457"/>
      <c r="L20" s="457"/>
      <c r="M20" s="457"/>
      <c r="N20" s="463"/>
    </row>
    <row r="21" spans="2:14" ht="12.75">
      <c r="B21" s="570"/>
      <c r="C21" s="75"/>
      <c r="D21" s="49"/>
      <c r="E21" s="703">
        <v>2401</v>
      </c>
      <c r="F21" s="704">
        <v>400000</v>
      </c>
      <c r="G21" s="448"/>
      <c r="H21" s="98"/>
      <c r="I21" s="458"/>
      <c r="J21" s="457"/>
      <c r="K21" s="457"/>
      <c r="L21" s="457"/>
      <c r="M21" s="457"/>
      <c r="N21" s="463"/>
    </row>
    <row r="22" spans="2:14" ht="12.75">
      <c r="B22" s="570"/>
      <c r="C22" s="75"/>
      <c r="D22" s="49"/>
      <c r="E22" s="703">
        <v>2402</v>
      </c>
      <c r="F22" s="704">
        <v>105000</v>
      </c>
      <c r="G22" s="448"/>
      <c r="H22" s="98"/>
      <c r="I22" s="458"/>
      <c r="J22" s="457"/>
      <c r="K22" s="457"/>
      <c r="L22" s="457"/>
      <c r="M22" s="457"/>
      <c r="N22" s="463"/>
    </row>
    <row r="23" spans="2:14" ht="12.75">
      <c r="B23" s="570"/>
      <c r="C23" s="75"/>
      <c r="D23" s="49"/>
      <c r="E23" s="703">
        <v>2403</v>
      </c>
      <c r="F23" s="704">
        <v>227135.2</v>
      </c>
      <c r="G23" s="448"/>
      <c r="H23" s="98"/>
      <c r="I23" s="458"/>
      <c r="J23" s="457"/>
      <c r="K23" s="457"/>
      <c r="L23" s="457"/>
      <c r="M23" s="457"/>
      <c r="N23" s="463"/>
    </row>
    <row r="24" spans="2:14" ht="12.75">
      <c r="B24" s="570"/>
      <c r="C24" s="75"/>
      <c r="D24" s="49"/>
      <c r="E24" s="703">
        <v>2404</v>
      </c>
      <c r="F24" s="704">
        <v>300000</v>
      </c>
      <c r="G24" s="448"/>
      <c r="H24" s="98"/>
      <c r="I24" s="458">
        <v>175000</v>
      </c>
      <c r="J24" s="457"/>
      <c r="K24" s="457"/>
      <c r="L24" s="457"/>
      <c r="M24" s="457"/>
      <c r="N24" s="463">
        <f t="shared" si="1"/>
        <v>175000</v>
      </c>
    </row>
    <row r="25" spans="2:14" ht="12.75">
      <c r="B25" s="570"/>
      <c r="C25" s="75"/>
      <c r="D25" s="49"/>
      <c r="E25" s="703">
        <v>2501</v>
      </c>
      <c r="F25" s="704">
        <v>765000</v>
      </c>
      <c r="G25" s="448"/>
      <c r="H25" s="98"/>
      <c r="I25" s="458">
        <v>200000</v>
      </c>
      <c r="J25" s="457"/>
      <c r="K25" s="457"/>
      <c r="L25" s="457"/>
      <c r="M25" s="457"/>
      <c r="N25" s="463">
        <f t="shared" si="1"/>
        <v>200000</v>
      </c>
    </row>
    <row r="26" spans="2:14" ht="12.75">
      <c r="B26" s="570"/>
      <c r="C26" s="75"/>
      <c r="D26" s="49"/>
      <c r="E26" s="703">
        <v>2502</v>
      </c>
      <c r="F26" s="704">
        <v>3500</v>
      </c>
      <c r="G26" s="448"/>
      <c r="H26" s="98"/>
      <c r="I26" s="458">
        <v>105000</v>
      </c>
      <c r="J26" s="457"/>
      <c r="K26" s="457"/>
      <c r="L26" s="457"/>
      <c r="M26" s="457"/>
      <c r="N26" s="463">
        <f t="shared" si="1"/>
        <v>105000</v>
      </c>
    </row>
    <row r="27" spans="2:14" ht="12.75">
      <c r="B27" s="570"/>
      <c r="C27" s="75"/>
      <c r="D27" s="49"/>
      <c r="E27" s="703">
        <v>2503</v>
      </c>
      <c r="F27" s="704">
        <v>145000</v>
      </c>
      <c r="G27" s="448"/>
      <c r="H27" s="98"/>
      <c r="I27" s="458">
        <v>365000</v>
      </c>
      <c r="J27" s="457"/>
      <c r="K27" s="457"/>
      <c r="L27" s="457"/>
      <c r="M27" s="457"/>
      <c r="N27" s="463">
        <f t="shared" si="1"/>
        <v>365000</v>
      </c>
    </row>
    <row r="28" spans="2:14" ht="12.75">
      <c r="B28" s="570"/>
      <c r="C28" s="75"/>
      <c r="D28" s="49"/>
      <c r="E28" s="703">
        <v>2505</v>
      </c>
      <c r="F28" s="704">
        <v>2655000</v>
      </c>
      <c r="G28" s="448"/>
      <c r="H28" s="98"/>
      <c r="I28" s="458">
        <v>200000</v>
      </c>
      <c r="J28" s="457"/>
      <c r="K28" s="457"/>
      <c r="L28" s="457"/>
      <c r="M28" s="457"/>
      <c r="N28" s="463">
        <f t="shared" si="1"/>
        <v>200000</v>
      </c>
    </row>
    <row r="29" spans="2:14" ht="12.75">
      <c r="B29" s="570"/>
      <c r="C29" s="75"/>
      <c r="D29" s="49"/>
      <c r="E29" s="703">
        <v>2601</v>
      </c>
      <c r="F29" s="704">
        <v>702638</v>
      </c>
      <c r="G29" s="448"/>
      <c r="H29" s="98"/>
      <c r="I29" s="458">
        <v>180000</v>
      </c>
      <c r="J29" s="457"/>
      <c r="K29" s="457"/>
      <c r="L29" s="457"/>
      <c r="M29" s="457"/>
      <c r="N29" s="463">
        <f t="shared" si="1"/>
        <v>180000</v>
      </c>
    </row>
    <row r="30" spans="2:14" ht="12.75">
      <c r="B30" s="570"/>
      <c r="C30" s="75"/>
      <c r="D30" s="49"/>
      <c r="E30" s="703">
        <v>2602</v>
      </c>
      <c r="F30" s="704">
        <v>228</v>
      </c>
      <c r="G30" s="448"/>
      <c r="H30" s="98"/>
      <c r="I30" s="458">
        <v>3500</v>
      </c>
      <c r="J30" s="457"/>
      <c r="K30" s="457"/>
      <c r="L30" s="457"/>
      <c r="M30" s="457"/>
      <c r="N30" s="463">
        <f t="shared" si="1"/>
        <v>3500</v>
      </c>
    </row>
    <row r="31" spans="2:14" ht="12.75">
      <c r="B31" s="570"/>
      <c r="C31" s="75"/>
      <c r="D31" s="49"/>
      <c r="E31" s="703">
        <v>2701</v>
      </c>
      <c r="F31" s="704">
        <v>845627</v>
      </c>
      <c r="G31" s="448"/>
      <c r="H31" s="98"/>
      <c r="I31" s="458">
        <v>135000</v>
      </c>
      <c r="J31" s="457"/>
      <c r="K31" s="457"/>
      <c r="L31" s="457"/>
      <c r="M31" s="457"/>
      <c r="N31" s="463">
        <f t="shared" si="1"/>
        <v>135000</v>
      </c>
    </row>
    <row r="32" spans="2:14" ht="12.75">
      <c r="B32" s="570"/>
      <c r="C32" s="75"/>
      <c r="D32" s="49"/>
      <c r="E32" s="703">
        <v>2702</v>
      </c>
      <c r="F32" s="704">
        <v>15000</v>
      </c>
      <c r="G32" s="448"/>
      <c r="H32" s="98"/>
      <c r="I32" s="458">
        <v>135000</v>
      </c>
      <c r="J32" s="457"/>
      <c r="K32" s="457"/>
      <c r="L32" s="457"/>
      <c r="M32" s="457"/>
      <c r="N32" s="463">
        <f t="shared" si="1"/>
        <v>135000</v>
      </c>
    </row>
    <row r="33" spans="2:14" ht="12.75">
      <c r="B33" s="570"/>
      <c r="C33" s="75"/>
      <c r="D33" s="49"/>
      <c r="E33" s="703">
        <v>2703</v>
      </c>
      <c r="F33" s="704">
        <v>970000</v>
      </c>
      <c r="G33" s="448"/>
      <c r="H33" s="98"/>
      <c r="I33" s="458">
        <v>630000</v>
      </c>
      <c r="J33" s="457"/>
      <c r="K33" s="457"/>
      <c r="L33" s="457"/>
      <c r="M33" s="457"/>
      <c r="N33" s="463">
        <f t="shared" si="1"/>
        <v>630000</v>
      </c>
    </row>
    <row r="34" spans="2:15" ht="12.75">
      <c r="B34" s="570"/>
      <c r="C34" s="75"/>
      <c r="D34" s="49"/>
      <c r="E34" s="50">
        <v>3000</v>
      </c>
      <c r="F34" s="611">
        <f>SUM(F35:F83)</f>
        <v>47434356.83</v>
      </c>
      <c r="G34" s="448"/>
      <c r="H34" s="98"/>
      <c r="I34" s="460">
        <f aca="true" t="shared" si="2" ref="I34:N34">SUM(I35:I83)</f>
        <v>11937134</v>
      </c>
      <c r="J34" s="460">
        <f t="shared" si="2"/>
        <v>1920000</v>
      </c>
      <c r="K34" s="460">
        <f t="shared" si="2"/>
        <v>4554026</v>
      </c>
      <c r="L34" s="460">
        <f t="shared" si="2"/>
        <v>2047684</v>
      </c>
      <c r="M34" s="460">
        <f t="shared" si="2"/>
        <v>0</v>
      </c>
      <c r="N34" s="462">
        <f t="shared" si="2"/>
        <v>20458844</v>
      </c>
      <c r="O34" s="340"/>
    </row>
    <row r="35" spans="2:14" ht="12.75">
      <c r="B35" s="570"/>
      <c r="C35" s="75"/>
      <c r="D35" s="49"/>
      <c r="E35" s="703">
        <v>3101</v>
      </c>
      <c r="F35" s="704">
        <v>0</v>
      </c>
      <c r="G35" s="448"/>
      <c r="H35" s="98"/>
      <c r="I35" s="458">
        <v>1385098</v>
      </c>
      <c r="J35" s="457"/>
      <c r="K35" s="457"/>
      <c r="L35" s="457"/>
      <c r="M35" s="457"/>
      <c r="N35" s="463">
        <f t="shared" si="1"/>
        <v>1385098</v>
      </c>
    </row>
    <row r="36" spans="2:14" ht="12.75">
      <c r="B36" s="570"/>
      <c r="C36" s="75"/>
      <c r="D36" s="49"/>
      <c r="E36" s="703">
        <v>3103</v>
      </c>
      <c r="F36" s="704">
        <v>1416888.23</v>
      </c>
      <c r="G36" s="448"/>
      <c r="H36" s="98"/>
      <c r="I36" s="458"/>
      <c r="J36" s="457"/>
      <c r="K36" s="457"/>
      <c r="L36" s="457"/>
      <c r="M36" s="457"/>
      <c r="N36" s="463"/>
    </row>
    <row r="37" spans="2:14" ht="12.75">
      <c r="B37" s="570"/>
      <c r="C37" s="75"/>
      <c r="D37" s="49"/>
      <c r="E37" s="703">
        <v>3104</v>
      </c>
      <c r="F37" s="704">
        <v>2040</v>
      </c>
      <c r="G37" s="448"/>
      <c r="H37" s="98"/>
      <c r="I37" s="458"/>
      <c r="J37" s="457"/>
      <c r="K37" s="457"/>
      <c r="L37" s="457"/>
      <c r="M37" s="457"/>
      <c r="N37" s="463"/>
    </row>
    <row r="38" spans="2:14" ht="12.75">
      <c r="B38" s="570"/>
      <c r="C38" s="75"/>
      <c r="D38" s="49"/>
      <c r="E38" s="703">
        <v>3106</v>
      </c>
      <c r="F38" s="704">
        <v>535150.01</v>
      </c>
      <c r="G38" s="448"/>
      <c r="H38" s="98"/>
      <c r="I38" s="458"/>
      <c r="J38" s="457"/>
      <c r="K38" s="457"/>
      <c r="L38" s="457"/>
      <c r="M38" s="457"/>
      <c r="N38" s="463"/>
    </row>
    <row r="39" spans="2:14" ht="12.75">
      <c r="B39" s="570"/>
      <c r="C39" s="75"/>
      <c r="D39" s="49"/>
      <c r="E39" s="703">
        <v>3107</v>
      </c>
      <c r="F39" s="704">
        <v>4310000</v>
      </c>
      <c r="G39" s="448"/>
      <c r="H39" s="98"/>
      <c r="I39" s="458"/>
      <c r="J39" s="457"/>
      <c r="K39" s="457"/>
      <c r="L39" s="457"/>
      <c r="M39" s="457"/>
      <c r="N39" s="463"/>
    </row>
    <row r="40" spans="2:14" ht="12.75">
      <c r="B40" s="570"/>
      <c r="C40" s="75"/>
      <c r="D40" s="49"/>
      <c r="E40" s="703">
        <v>3108</v>
      </c>
      <c r="F40" s="704">
        <v>641324.14</v>
      </c>
      <c r="G40" s="448"/>
      <c r="H40" s="98"/>
      <c r="I40" s="458"/>
      <c r="J40" s="457"/>
      <c r="K40" s="457"/>
      <c r="L40" s="457"/>
      <c r="M40" s="457"/>
      <c r="N40" s="463"/>
    </row>
    <row r="41" spans="2:14" ht="12.75">
      <c r="B41" s="570"/>
      <c r="C41" s="75"/>
      <c r="D41" s="49"/>
      <c r="E41" s="703">
        <v>3109</v>
      </c>
      <c r="F41" s="704">
        <v>900000</v>
      </c>
      <c r="G41" s="448"/>
      <c r="H41" s="98"/>
      <c r="I41" s="458"/>
      <c r="J41" s="457"/>
      <c r="K41" s="457"/>
      <c r="L41" s="457"/>
      <c r="M41" s="457"/>
      <c r="N41" s="463"/>
    </row>
    <row r="42" spans="2:14" ht="12.75">
      <c r="B42" s="570"/>
      <c r="C42" s="75"/>
      <c r="D42" s="49"/>
      <c r="E42" s="703">
        <v>3201</v>
      </c>
      <c r="F42" s="704">
        <v>1419250</v>
      </c>
      <c r="G42" s="448"/>
      <c r="H42" s="98"/>
      <c r="I42" s="458"/>
      <c r="J42" s="457"/>
      <c r="K42" s="457"/>
      <c r="L42" s="457"/>
      <c r="M42" s="457"/>
      <c r="N42" s="463"/>
    </row>
    <row r="43" spans="2:14" ht="12.75">
      <c r="B43" s="570"/>
      <c r="C43" s="75"/>
      <c r="D43" s="49"/>
      <c r="E43" s="703">
        <v>3202</v>
      </c>
      <c r="F43" s="704">
        <v>326000</v>
      </c>
      <c r="G43" s="448"/>
      <c r="H43" s="98"/>
      <c r="I43" s="458"/>
      <c r="J43" s="457"/>
      <c r="K43" s="457"/>
      <c r="L43" s="457"/>
      <c r="M43" s="457"/>
      <c r="N43" s="463"/>
    </row>
    <row r="44" spans="2:14" ht="12.75">
      <c r="B44" s="570"/>
      <c r="C44" s="75"/>
      <c r="D44" s="49"/>
      <c r="E44" s="703">
        <v>3203</v>
      </c>
      <c r="F44" s="704">
        <v>30000</v>
      </c>
      <c r="G44" s="448"/>
      <c r="H44" s="98"/>
      <c r="I44" s="458"/>
      <c r="J44" s="457"/>
      <c r="K44" s="457"/>
      <c r="L44" s="457"/>
      <c r="M44" s="457"/>
      <c r="N44" s="463"/>
    </row>
    <row r="45" spans="2:14" ht="12.75">
      <c r="B45" s="570"/>
      <c r="C45" s="75"/>
      <c r="D45" s="49"/>
      <c r="E45" s="703">
        <v>3204</v>
      </c>
      <c r="F45" s="704">
        <v>260600</v>
      </c>
      <c r="G45" s="448"/>
      <c r="H45" s="98"/>
      <c r="I45" s="458"/>
      <c r="J45" s="457"/>
      <c r="K45" s="457"/>
      <c r="L45" s="457"/>
      <c r="M45" s="457"/>
      <c r="N45" s="463"/>
    </row>
    <row r="46" spans="2:14" ht="12.75">
      <c r="B46" s="570"/>
      <c r="C46" s="75"/>
      <c r="D46" s="49"/>
      <c r="E46" s="703">
        <v>3205</v>
      </c>
      <c r="F46" s="704">
        <v>19494.1</v>
      </c>
      <c r="G46" s="448"/>
      <c r="H46" s="98"/>
      <c r="I46" s="458"/>
      <c r="J46" s="457"/>
      <c r="K46" s="457"/>
      <c r="L46" s="457"/>
      <c r="M46" s="457"/>
      <c r="N46" s="463"/>
    </row>
    <row r="47" spans="2:14" ht="12.75">
      <c r="B47" s="570"/>
      <c r="C47" s="75"/>
      <c r="D47" s="49"/>
      <c r="E47" s="703">
        <v>3301</v>
      </c>
      <c r="F47" s="704">
        <f>1907202.8+2000000</f>
        <v>3907202.8</v>
      </c>
      <c r="G47" s="448"/>
      <c r="H47" s="98"/>
      <c r="I47" s="458"/>
      <c r="J47" s="457"/>
      <c r="K47" s="457"/>
      <c r="L47" s="457"/>
      <c r="M47" s="457"/>
      <c r="N47" s="463"/>
    </row>
    <row r="48" spans="2:14" ht="12.75">
      <c r="B48" s="570"/>
      <c r="C48" s="75"/>
      <c r="D48" s="49"/>
      <c r="E48" s="703">
        <v>3303</v>
      </c>
      <c r="F48" s="704">
        <v>2233147</v>
      </c>
      <c r="G48" s="448"/>
      <c r="H48" s="98"/>
      <c r="I48" s="458"/>
      <c r="J48" s="457"/>
      <c r="K48" s="457"/>
      <c r="L48" s="457"/>
      <c r="M48" s="457"/>
      <c r="N48" s="463"/>
    </row>
    <row r="49" spans="2:14" ht="12.75">
      <c r="B49" s="570"/>
      <c r="C49" s="75"/>
      <c r="D49" s="49"/>
      <c r="E49" s="703">
        <v>3304</v>
      </c>
      <c r="F49" s="704">
        <v>2250</v>
      </c>
      <c r="G49" s="448"/>
      <c r="H49" s="98"/>
      <c r="I49" s="458"/>
      <c r="J49" s="457"/>
      <c r="K49" s="457"/>
      <c r="L49" s="457"/>
      <c r="M49" s="457"/>
      <c r="N49" s="463"/>
    </row>
    <row r="50" spans="2:14" ht="12.75">
      <c r="B50" s="570"/>
      <c r="C50" s="75"/>
      <c r="D50" s="49"/>
      <c r="E50" s="703">
        <v>3401</v>
      </c>
      <c r="F50" s="704">
        <v>324001.9</v>
      </c>
      <c r="G50" s="448"/>
      <c r="H50" s="98"/>
      <c r="I50" s="458"/>
      <c r="J50" s="457"/>
      <c r="K50" s="457"/>
      <c r="L50" s="457"/>
      <c r="M50" s="457"/>
      <c r="N50" s="463"/>
    </row>
    <row r="51" spans="2:14" ht="12.75">
      <c r="B51" s="570"/>
      <c r="C51" s="75"/>
      <c r="D51" s="49"/>
      <c r="E51" s="703">
        <v>3402</v>
      </c>
      <c r="F51" s="704">
        <v>2488</v>
      </c>
      <c r="G51" s="448"/>
      <c r="H51" s="98"/>
      <c r="I51" s="458"/>
      <c r="J51" s="457"/>
      <c r="K51" s="457"/>
      <c r="L51" s="457"/>
      <c r="M51" s="457"/>
      <c r="N51" s="463"/>
    </row>
    <row r="52" spans="2:14" ht="12.75">
      <c r="B52" s="570"/>
      <c r="C52" s="75"/>
      <c r="D52" s="49"/>
      <c r="E52" s="703">
        <v>3403</v>
      </c>
      <c r="F52" s="704">
        <v>2097277.75</v>
      </c>
      <c r="G52" s="448"/>
      <c r="H52" s="98"/>
      <c r="I52" s="458">
        <v>523750</v>
      </c>
      <c r="J52" s="457"/>
      <c r="K52" s="457"/>
      <c r="L52" s="457"/>
      <c r="M52" s="457"/>
      <c r="N52" s="463">
        <f t="shared" si="1"/>
        <v>523750</v>
      </c>
    </row>
    <row r="53" spans="2:14" ht="12.75">
      <c r="B53" s="570"/>
      <c r="C53" s="75"/>
      <c r="D53" s="49"/>
      <c r="E53" s="703">
        <v>3406</v>
      </c>
      <c r="F53" s="704">
        <v>123000</v>
      </c>
      <c r="G53" s="448"/>
      <c r="H53" s="98"/>
      <c r="I53" s="458">
        <v>4310000</v>
      </c>
      <c r="J53" s="457"/>
      <c r="K53" s="457"/>
      <c r="L53" s="457"/>
      <c r="M53" s="457"/>
      <c r="N53" s="463">
        <f t="shared" si="1"/>
        <v>4310000</v>
      </c>
    </row>
    <row r="54" spans="2:14" ht="12.75">
      <c r="B54" s="570"/>
      <c r="C54" s="75"/>
      <c r="D54" s="49"/>
      <c r="E54" s="703">
        <v>3407</v>
      </c>
      <c r="F54" s="704">
        <v>380362.5</v>
      </c>
      <c r="G54" s="448"/>
      <c r="H54" s="98"/>
      <c r="I54" s="458">
        <v>841324</v>
      </c>
      <c r="J54" s="457"/>
      <c r="K54" s="457"/>
      <c r="L54" s="457"/>
      <c r="M54" s="457"/>
      <c r="N54" s="463">
        <f t="shared" si="1"/>
        <v>841324</v>
      </c>
    </row>
    <row r="55" spans="2:14" ht="12.75">
      <c r="B55" s="570"/>
      <c r="C55" s="75"/>
      <c r="D55" s="49"/>
      <c r="E55" s="703">
        <v>3408</v>
      </c>
      <c r="F55" s="704">
        <v>274446</v>
      </c>
      <c r="G55" s="448"/>
      <c r="H55" s="98"/>
      <c r="I55" s="458">
        <v>1000000</v>
      </c>
      <c r="J55" s="457"/>
      <c r="K55" s="457"/>
      <c r="L55" s="457"/>
      <c r="M55" s="457"/>
      <c r="N55" s="463">
        <f t="shared" si="1"/>
        <v>1000000</v>
      </c>
    </row>
    <row r="56" spans="2:14" ht="12.75">
      <c r="B56" s="570"/>
      <c r="C56" s="75"/>
      <c r="D56" s="49"/>
      <c r="E56" s="703">
        <v>3501</v>
      </c>
      <c r="F56" s="704">
        <v>1671250</v>
      </c>
      <c r="G56" s="448"/>
      <c r="H56" s="98"/>
      <c r="I56" s="458">
        <v>520000</v>
      </c>
      <c r="J56" s="457"/>
      <c r="K56" s="457"/>
      <c r="L56" s="457"/>
      <c r="M56" s="457"/>
      <c r="N56" s="463">
        <f t="shared" si="1"/>
        <v>520000</v>
      </c>
    </row>
    <row r="57" spans="2:14" ht="12.75">
      <c r="B57" s="570"/>
      <c r="C57" s="75"/>
      <c r="D57" s="49"/>
      <c r="E57" s="703">
        <v>3502</v>
      </c>
      <c r="F57" s="704">
        <v>631540</v>
      </c>
      <c r="G57" s="448"/>
      <c r="H57" s="98"/>
      <c r="I57" s="458">
        <v>70000</v>
      </c>
      <c r="J57" s="457"/>
      <c r="K57" s="457"/>
      <c r="L57" s="457"/>
      <c r="M57" s="457"/>
      <c r="N57" s="463">
        <f t="shared" si="1"/>
        <v>70000</v>
      </c>
    </row>
    <row r="58" spans="2:14" ht="12.75">
      <c r="B58" s="570"/>
      <c r="C58" s="75"/>
      <c r="D58" s="49"/>
      <c r="E58" s="703">
        <v>3503</v>
      </c>
      <c r="F58" s="704">
        <v>3149025.5</v>
      </c>
      <c r="G58" s="448"/>
      <c r="H58" s="98"/>
      <c r="I58" s="458">
        <v>37000</v>
      </c>
      <c r="J58" s="457"/>
      <c r="K58" s="457"/>
      <c r="L58" s="457"/>
      <c r="M58" s="457"/>
      <c r="N58" s="463">
        <f t="shared" si="1"/>
        <v>37000</v>
      </c>
    </row>
    <row r="59" spans="2:14" ht="12.75">
      <c r="B59" s="570"/>
      <c r="C59" s="75"/>
      <c r="D59" s="49"/>
      <c r="E59" s="703">
        <v>3504</v>
      </c>
      <c r="F59" s="704">
        <v>457600</v>
      </c>
      <c r="G59" s="448"/>
      <c r="H59" s="98"/>
      <c r="I59" s="458">
        <v>0</v>
      </c>
      <c r="J59" s="457"/>
      <c r="K59" s="457"/>
      <c r="L59" s="457"/>
      <c r="M59" s="457"/>
      <c r="N59" s="463">
        <f t="shared" si="1"/>
        <v>0</v>
      </c>
    </row>
    <row r="60" spans="2:14" ht="12.75">
      <c r="B60" s="570"/>
      <c r="C60" s="75"/>
      <c r="D60" s="49"/>
      <c r="E60" s="703">
        <v>3505</v>
      </c>
      <c r="F60" s="704">
        <v>275540</v>
      </c>
      <c r="G60" s="448"/>
      <c r="H60" s="98"/>
      <c r="I60" s="458">
        <v>1391500</v>
      </c>
      <c r="J60" s="457"/>
      <c r="K60" s="457"/>
      <c r="L60" s="457"/>
      <c r="M60" s="457"/>
      <c r="N60" s="463">
        <f t="shared" si="1"/>
        <v>1391500</v>
      </c>
    </row>
    <row r="61" spans="2:14" ht="12.75">
      <c r="B61" s="570"/>
      <c r="C61" s="75"/>
      <c r="D61" s="49"/>
      <c r="E61" s="703">
        <v>3506</v>
      </c>
      <c r="F61" s="704">
        <v>27000</v>
      </c>
      <c r="G61" s="448"/>
      <c r="H61" s="98"/>
      <c r="I61" s="458">
        <v>394500</v>
      </c>
      <c r="J61" s="457"/>
      <c r="K61" s="457"/>
      <c r="L61" s="457"/>
      <c r="M61" s="457"/>
      <c r="N61" s="463">
        <f t="shared" si="1"/>
        <v>394500</v>
      </c>
    </row>
    <row r="62" spans="2:14" ht="12.75">
      <c r="B62" s="570"/>
      <c r="C62" s="75"/>
      <c r="D62" s="49"/>
      <c r="E62" s="703">
        <v>3507</v>
      </c>
      <c r="F62" s="704">
        <v>500000</v>
      </c>
      <c r="G62" s="448"/>
      <c r="H62" s="98"/>
      <c r="I62" s="458">
        <v>0</v>
      </c>
      <c r="J62" s="457"/>
      <c r="K62" s="457"/>
      <c r="L62" s="457">
        <f>1638147+409537</f>
        <v>2047684</v>
      </c>
      <c r="M62" s="457"/>
      <c r="N62" s="463">
        <f t="shared" si="1"/>
        <v>2047684</v>
      </c>
    </row>
    <row r="63" spans="2:14" ht="12.75">
      <c r="B63" s="570"/>
      <c r="C63" s="75"/>
      <c r="D63" s="49"/>
      <c r="E63" s="703">
        <v>3508</v>
      </c>
      <c r="F63" s="704">
        <v>20000</v>
      </c>
      <c r="G63" s="448"/>
      <c r="H63" s="98"/>
      <c r="I63" s="458">
        <v>0</v>
      </c>
      <c r="J63" s="457"/>
      <c r="K63" s="457">
        <v>75000</v>
      </c>
      <c r="L63" s="457"/>
      <c r="M63" s="457"/>
      <c r="N63" s="463">
        <f t="shared" si="1"/>
        <v>75000</v>
      </c>
    </row>
    <row r="64" spans="2:14" ht="12.75">
      <c r="B64" s="570"/>
      <c r="C64" s="75"/>
      <c r="D64" s="49"/>
      <c r="E64" s="703">
        <v>3509</v>
      </c>
      <c r="F64" s="704">
        <v>650000</v>
      </c>
      <c r="G64" s="448"/>
      <c r="H64" s="98"/>
      <c r="I64" s="458">
        <v>380362</v>
      </c>
      <c r="J64" s="457"/>
      <c r="K64" s="457"/>
      <c r="L64" s="457"/>
      <c r="M64" s="457"/>
      <c r="N64" s="463">
        <f t="shared" si="1"/>
        <v>380362</v>
      </c>
    </row>
    <row r="65" spans="2:14" ht="12.75">
      <c r="B65" s="570"/>
      <c r="C65" s="75"/>
      <c r="D65" s="49"/>
      <c r="E65" s="703">
        <v>3512</v>
      </c>
      <c r="F65" s="704">
        <v>200000</v>
      </c>
      <c r="G65" s="448"/>
      <c r="H65" s="98"/>
      <c r="I65" s="458">
        <v>0</v>
      </c>
      <c r="J65" s="457">
        <f>150000+75000</f>
        <v>225000</v>
      </c>
      <c r="K65" s="457"/>
      <c r="L65" s="457"/>
      <c r="M65" s="457"/>
      <c r="N65" s="463">
        <f t="shared" si="1"/>
        <v>225000</v>
      </c>
    </row>
    <row r="66" spans="2:14" ht="12.75">
      <c r="B66" s="570"/>
      <c r="C66" s="75"/>
      <c r="D66" s="49"/>
      <c r="E66" s="703">
        <v>3514</v>
      </c>
      <c r="F66" s="704">
        <v>354400</v>
      </c>
      <c r="G66" s="448"/>
      <c r="H66" s="98"/>
      <c r="I66" s="458">
        <v>0</v>
      </c>
      <c r="J66" s="457">
        <f>420000+210000</f>
        <v>630000</v>
      </c>
      <c r="K66" s="457"/>
      <c r="L66" s="457"/>
      <c r="M66" s="457"/>
      <c r="N66" s="463">
        <f t="shared" si="1"/>
        <v>630000</v>
      </c>
    </row>
    <row r="67" spans="2:14" ht="12.75">
      <c r="B67" s="570"/>
      <c r="C67" s="75"/>
      <c r="D67" s="49"/>
      <c r="E67" s="703">
        <v>3515</v>
      </c>
      <c r="F67" s="704">
        <v>308000</v>
      </c>
      <c r="G67" s="448"/>
      <c r="H67" s="98"/>
      <c r="I67" s="458">
        <v>420000</v>
      </c>
      <c r="J67" s="457"/>
      <c r="K67" s="457">
        <f>2943968+785058</f>
        <v>3729026</v>
      </c>
      <c r="L67" s="457"/>
      <c r="M67" s="457"/>
      <c r="N67" s="463">
        <f t="shared" si="1"/>
        <v>4149026</v>
      </c>
    </row>
    <row r="68" spans="2:14" ht="12.75">
      <c r="B68" s="570"/>
      <c r="C68" s="75"/>
      <c r="D68" s="49"/>
      <c r="E68" s="703">
        <v>3516</v>
      </c>
      <c r="F68" s="704">
        <v>118000</v>
      </c>
      <c r="G68" s="448"/>
      <c r="H68" s="98"/>
      <c r="I68" s="458"/>
      <c r="J68" s="457"/>
      <c r="K68" s="457"/>
      <c r="L68" s="457"/>
      <c r="M68" s="457"/>
      <c r="N68" s="463"/>
    </row>
    <row r="69" spans="2:14" ht="12.75">
      <c r="B69" s="570"/>
      <c r="C69" s="75"/>
      <c r="D69" s="49"/>
      <c r="E69" s="703">
        <v>3601</v>
      </c>
      <c r="F69" s="704">
        <v>132680</v>
      </c>
      <c r="G69" s="448"/>
      <c r="H69" s="98"/>
      <c r="I69" s="458"/>
      <c r="J69" s="457"/>
      <c r="K69" s="457"/>
      <c r="L69" s="457"/>
      <c r="M69" s="457"/>
      <c r="N69" s="463"/>
    </row>
    <row r="70" spans="2:14" ht="12.75">
      <c r="B70" s="570"/>
      <c r="C70" s="75"/>
      <c r="D70" s="49"/>
      <c r="E70" s="703">
        <v>3602</v>
      </c>
      <c r="F70" s="704">
        <v>349000</v>
      </c>
      <c r="G70" s="448"/>
      <c r="H70" s="98"/>
      <c r="I70" s="458"/>
      <c r="J70" s="457"/>
      <c r="K70" s="457"/>
      <c r="L70" s="457"/>
      <c r="M70" s="457"/>
      <c r="N70" s="463"/>
    </row>
    <row r="71" spans="2:14" ht="12.75">
      <c r="B71" s="570"/>
      <c r="C71" s="75"/>
      <c r="D71" s="49"/>
      <c r="E71" s="703">
        <v>3603</v>
      </c>
      <c r="F71" s="704">
        <v>3300</v>
      </c>
      <c r="G71" s="448"/>
      <c r="H71" s="98"/>
      <c r="I71" s="458"/>
      <c r="J71" s="457"/>
      <c r="K71" s="457"/>
      <c r="L71" s="457"/>
      <c r="M71" s="457"/>
      <c r="N71" s="463"/>
    </row>
    <row r="72" spans="2:14" ht="12.75">
      <c r="B72" s="570"/>
      <c r="C72" s="75"/>
      <c r="D72" s="49"/>
      <c r="E72" s="703">
        <v>3604</v>
      </c>
      <c r="F72" s="704">
        <v>959700</v>
      </c>
      <c r="G72" s="448"/>
      <c r="H72" s="98"/>
      <c r="I72" s="458"/>
      <c r="J72" s="457"/>
      <c r="K72" s="457"/>
      <c r="L72" s="457"/>
      <c r="M72" s="457"/>
      <c r="N72" s="463"/>
    </row>
    <row r="73" spans="2:14" ht="12.75">
      <c r="B73" s="570"/>
      <c r="C73" s="75"/>
      <c r="D73" s="49"/>
      <c r="E73" s="703">
        <v>3605</v>
      </c>
      <c r="F73" s="704">
        <v>500</v>
      </c>
      <c r="G73" s="448"/>
      <c r="H73" s="98"/>
      <c r="I73" s="458"/>
      <c r="J73" s="457"/>
      <c r="K73" s="457"/>
      <c r="L73" s="457"/>
      <c r="M73" s="457"/>
      <c r="N73" s="463"/>
    </row>
    <row r="74" spans="2:14" ht="12.75">
      <c r="B74" s="570"/>
      <c r="C74" s="75"/>
      <c r="D74" s="49"/>
      <c r="E74" s="703">
        <v>3606</v>
      </c>
      <c r="F74" s="704">
        <v>423000</v>
      </c>
      <c r="G74" s="448"/>
      <c r="H74" s="98"/>
      <c r="I74" s="458"/>
      <c r="J74" s="457"/>
      <c r="K74" s="457"/>
      <c r="L74" s="457"/>
      <c r="M74" s="457"/>
      <c r="N74" s="463"/>
    </row>
    <row r="75" spans="2:14" ht="12.75">
      <c r="B75" s="570"/>
      <c r="C75" s="75"/>
      <c r="D75" s="49"/>
      <c r="E75" s="703">
        <v>3701</v>
      </c>
      <c r="F75" s="704">
        <v>4066472</v>
      </c>
      <c r="G75" s="448"/>
      <c r="H75" s="98"/>
      <c r="I75" s="458">
        <v>457600</v>
      </c>
      <c r="J75" s="457"/>
      <c r="K75" s="457"/>
      <c r="L75" s="457"/>
      <c r="M75" s="457"/>
      <c r="N75" s="463">
        <f t="shared" si="1"/>
        <v>457600</v>
      </c>
    </row>
    <row r="76" spans="2:14" ht="12.75">
      <c r="B76" s="570"/>
      <c r="C76" s="75"/>
      <c r="D76" s="49"/>
      <c r="E76" s="703">
        <v>3702</v>
      </c>
      <c r="F76" s="704">
        <v>8148204.6</v>
      </c>
      <c r="G76" s="448"/>
      <c r="H76" s="98"/>
      <c r="I76" s="458">
        <v>0</v>
      </c>
      <c r="J76" s="457">
        <f>200000+50000</f>
        <v>250000</v>
      </c>
      <c r="K76" s="457"/>
      <c r="L76" s="457"/>
      <c r="M76" s="457"/>
      <c r="N76" s="463">
        <f t="shared" si="1"/>
        <v>250000</v>
      </c>
    </row>
    <row r="77" spans="2:14" ht="12.75">
      <c r="B77" s="570"/>
      <c r="C77" s="75"/>
      <c r="D77" s="49"/>
      <c r="E77" s="703">
        <v>3703</v>
      </c>
      <c r="F77" s="704">
        <v>1147686</v>
      </c>
      <c r="G77" s="448"/>
      <c r="H77" s="98"/>
      <c r="I77" s="458">
        <v>0</v>
      </c>
      <c r="J77" s="457">
        <f>18000+9000</f>
        <v>27000</v>
      </c>
      <c r="K77" s="457"/>
      <c r="L77" s="457"/>
      <c r="M77" s="457"/>
      <c r="N77" s="463">
        <f t="shared" si="1"/>
        <v>27000</v>
      </c>
    </row>
    <row r="78" spans="2:14" ht="12.75">
      <c r="B78" s="570"/>
      <c r="C78" s="75"/>
      <c r="D78" s="49"/>
      <c r="E78" s="703">
        <v>3801</v>
      </c>
      <c r="F78" s="704">
        <v>96320</v>
      </c>
      <c r="G78" s="448"/>
      <c r="H78" s="98"/>
      <c r="I78" s="458">
        <v>0</v>
      </c>
      <c r="J78" s="457">
        <f>375000+125000</f>
        <v>500000</v>
      </c>
      <c r="K78" s="457"/>
      <c r="L78" s="457"/>
      <c r="M78" s="457"/>
      <c r="N78" s="463">
        <f t="shared" si="1"/>
        <v>500000</v>
      </c>
    </row>
    <row r="79" spans="2:14" ht="12.75">
      <c r="B79" s="570"/>
      <c r="C79" s="75"/>
      <c r="D79" s="49"/>
      <c r="E79" s="703">
        <v>3802</v>
      </c>
      <c r="F79" s="704">
        <v>1963200</v>
      </c>
      <c r="G79" s="448"/>
      <c r="H79" s="98"/>
      <c r="I79" s="458">
        <v>0</v>
      </c>
      <c r="J79" s="457"/>
      <c r="K79" s="457">
        <f>562500+187500</f>
        <v>750000</v>
      </c>
      <c r="L79" s="457"/>
      <c r="M79" s="457"/>
      <c r="N79" s="463">
        <f t="shared" si="1"/>
        <v>750000</v>
      </c>
    </row>
    <row r="80" spans="2:14" ht="12.75">
      <c r="B80" s="570"/>
      <c r="C80" s="75"/>
      <c r="D80" s="49"/>
      <c r="E80" s="703">
        <v>3903</v>
      </c>
      <c r="F80" s="704">
        <v>1772356.3</v>
      </c>
      <c r="G80" s="448"/>
      <c r="H80" s="98"/>
      <c r="I80" s="458">
        <v>0</v>
      </c>
      <c r="J80" s="457">
        <f>180000+90000</f>
        <v>270000</v>
      </c>
      <c r="K80" s="457"/>
      <c r="L80" s="457"/>
      <c r="M80" s="457"/>
      <c r="N80" s="463">
        <f t="shared" si="1"/>
        <v>270000</v>
      </c>
    </row>
    <row r="81" spans="2:14" ht="12.75">
      <c r="B81" s="570"/>
      <c r="C81" s="75"/>
      <c r="D81" s="49"/>
      <c r="E81" s="703">
        <v>3904</v>
      </c>
      <c r="F81" s="704">
        <v>358440</v>
      </c>
      <c r="G81" s="448"/>
      <c r="H81" s="98"/>
      <c r="I81" s="458">
        <v>0</v>
      </c>
      <c r="J81" s="457">
        <f>12000+6000</f>
        <v>18000</v>
      </c>
      <c r="K81" s="457"/>
      <c r="L81" s="457"/>
      <c r="M81" s="457"/>
      <c r="N81" s="463">
        <f t="shared" si="1"/>
        <v>18000</v>
      </c>
    </row>
    <row r="82" spans="2:14" ht="12.75">
      <c r="B82" s="570"/>
      <c r="C82" s="75"/>
      <c r="D82" s="49"/>
      <c r="E82" s="703">
        <v>3906</v>
      </c>
      <c r="F82" s="704">
        <v>95000</v>
      </c>
      <c r="G82" s="448"/>
      <c r="H82" s="98"/>
      <c r="I82" s="458">
        <v>56000</v>
      </c>
      <c r="J82" s="457"/>
      <c r="K82" s="457"/>
      <c r="L82" s="457"/>
      <c r="M82" s="457"/>
      <c r="N82" s="463">
        <f t="shared" si="1"/>
        <v>56000</v>
      </c>
    </row>
    <row r="83" spans="2:14" ht="12.75">
      <c r="B83" s="570"/>
      <c r="C83" s="75"/>
      <c r="D83" s="49"/>
      <c r="E83" s="703">
        <v>3907</v>
      </c>
      <c r="F83" s="704">
        <v>351220</v>
      </c>
      <c r="G83" s="448"/>
      <c r="H83" s="98"/>
      <c r="I83" s="458">
        <v>150000</v>
      </c>
      <c r="J83" s="457"/>
      <c r="K83" s="457"/>
      <c r="L83" s="457"/>
      <c r="M83" s="457"/>
      <c r="N83" s="463">
        <f t="shared" si="1"/>
        <v>150000</v>
      </c>
    </row>
    <row r="84" spans="2:14" ht="12.75">
      <c r="B84" s="570"/>
      <c r="C84" s="75"/>
      <c r="D84" s="49"/>
      <c r="E84" s="559">
        <v>5000</v>
      </c>
      <c r="F84" s="705">
        <f>SUM(F85:F94)</f>
        <v>7085652</v>
      </c>
      <c r="G84" s="448"/>
      <c r="H84" s="98"/>
      <c r="I84" s="459"/>
      <c r="J84" s="459"/>
      <c r="K84" s="459"/>
      <c r="L84" s="459"/>
      <c r="M84" s="459"/>
      <c r="N84" s="462"/>
    </row>
    <row r="85" spans="2:14" ht="12.75">
      <c r="B85" s="570"/>
      <c r="C85" s="75"/>
      <c r="D85" s="49"/>
      <c r="E85" s="703">
        <v>5101</v>
      </c>
      <c r="F85" s="704">
        <v>1162312</v>
      </c>
      <c r="G85" s="448"/>
      <c r="H85" s="98"/>
      <c r="I85" s="459"/>
      <c r="J85" s="459"/>
      <c r="K85" s="459"/>
      <c r="L85" s="459"/>
      <c r="M85" s="459"/>
      <c r="N85" s="462"/>
    </row>
    <row r="86" spans="2:14" ht="12.75">
      <c r="B86" s="570"/>
      <c r="C86" s="75"/>
      <c r="D86" s="49"/>
      <c r="E86" s="703">
        <v>5102</v>
      </c>
      <c r="F86" s="704">
        <v>501140</v>
      </c>
      <c r="G86" s="448"/>
      <c r="H86" s="98"/>
      <c r="I86" s="459"/>
      <c r="J86" s="459"/>
      <c r="K86" s="459"/>
      <c r="L86" s="459"/>
      <c r="M86" s="459"/>
      <c r="N86" s="462"/>
    </row>
    <row r="87" spans="2:14" ht="12.75">
      <c r="B87" s="570"/>
      <c r="C87" s="75"/>
      <c r="D87" s="49"/>
      <c r="E87" s="703">
        <v>5103</v>
      </c>
      <c r="F87" s="704">
        <v>7000</v>
      </c>
      <c r="G87" s="448"/>
      <c r="H87" s="98"/>
      <c r="I87" s="459"/>
      <c r="J87" s="459"/>
      <c r="K87" s="459"/>
      <c r="L87" s="459"/>
      <c r="M87" s="459"/>
      <c r="N87" s="462"/>
    </row>
    <row r="88" spans="2:14" ht="12.75">
      <c r="B88" s="570"/>
      <c r="C88" s="75"/>
      <c r="D88" s="49"/>
      <c r="E88" s="703">
        <v>5104</v>
      </c>
      <c r="F88" s="704">
        <v>470000</v>
      </c>
      <c r="G88" s="448"/>
      <c r="H88" s="98"/>
      <c r="I88" s="459"/>
      <c r="J88" s="459"/>
      <c r="K88" s="459"/>
      <c r="L88" s="459"/>
      <c r="M88" s="459"/>
      <c r="N88" s="462"/>
    </row>
    <row r="89" spans="2:14" ht="12.75">
      <c r="B89" s="570"/>
      <c r="C89" s="75"/>
      <c r="D89" s="49"/>
      <c r="E89" s="703">
        <v>5105</v>
      </c>
      <c r="F89" s="704">
        <v>1200000</v>
      </c>
      <c r="G89" s="448"/>
      <c r="H89" s="98"/>
      <c r="I89" s="459"/>
      <c r="J89" s="459"/>
      <c r="K89" s="459"/>
      <c r="L89" s="459"/>
      <c r="M89" s="459"/>
      <c r="N89" s="462"/>
    </row>
    <row r="90" spans="2:14" ht="12.75">
      <c r="B90" s="570"/>
      <c r="C90" s="75"/>
      <c r="D90" s="49"/>
      <c r="E90" s="703">
        <v>5202</v>
      </c>
      <c r="F90" s="704">
        <v>200000</v>
      </c>
      <c r="G90" s="448"/>
      <c r="H90" s="98"/>
      <c r="I90" s="459"/>
      <c r="J90" s="459"/>
      <c r="K90" s="459"/>
      <c r="L90" s="459"/>
      <c r="M90" s="459"/>
      <c r="N90" s="462"/>
    </row>
    <row r="91" spans="2:14" ht="12.75">
      <c r="B91" s="570"/>
      <c r="C91" s="75"/>
      <c r="D91" s="49"/>
      <c r="E91" s="703">
        <v>5204</v>
      </c>
      <c r="F91" s="704">
        <v>140000</v>
      </c>
      <c r="G91" s="448"/>
      <c r="H91" s="98"/>
      <c r="I91" s="459"/>
      <c r="J91" s="459"/>
      <c r="K91" s="459"/>
      <c r="L91" s="459"/>
      <c r="M91" s="459"/>
      <c r="N91" s="462"/>
    </row>
    <row r="92" spans="2:14" ht="12.75">
      <c r="B92" s="570"/>
      <c r="C92" s="75"/>
      <c r="D92" s="49"/>
      <c r="E92" s="703">
        <v>5205</v>
      </c>
      <c r="F92" s="704">
        <v>600000</v>
      </c>
      <c r="G92" s="448"/>
      <c r="H92" s="98"/>
      <c r="I92" s="459"/>
      <c r="J92" s="459"/>
      <c r="K92" s="459"/>
      <c r="L92" s="459"/>
      <c r="M92" s="459"/>
      <c r="N92" s="462"/>
    </row>
    <row r="93" spans="2:14" ht="12.75">
      <c r="B93" s="570"/>
      <c r="C93" s="75"/>
      <c r="D93" s="49"/>
      <c r="E93" s="703">
        <v>5206</v>
      </c>
      <c r="F93" s="704">
        <v>2770200</v>
      </c>
      <c r="G93" s="448"/>
      <c r="H93" s="98"/>
      <c r="I93" s="459"/>
      <c r="J93" s="459"/>
      <c r="K93" s="459"/>
      <c r="L93" s="459"/>
      <c r="M93" s="459"/>
      <c r="N93" s="462"/>
    </row>
    <row r="94" spans="2:14" ht="12.75">
      <c r="B94" s="570"/>
      <c r="C94" s="75"/>
      <c r="D94" s="49"/>
      <c r="E94" s="703">
        <v>5501</v>
      </c>
      <c r="F94" s="704">
        <v>35000</v>
      </c>
      <c r="G94" s="448"/>
      <c r="H94" s="98"/>
      <c r="I94" s="459"/>
      <c r="J94" s="459"/>
      <c r="K94" s="459"/>
      <c r="L94" s="459"/>
      <c r="M94" s="459"/>
      <c r="N94" s="462"/>
    </row>
    <row r="95" spans="2:9" ht="17.25" customHeight="1">
      <c r="B95" s="570"/>
      <c r="C95" s="220" t="s">
        <v>629</v>
      </c>
      <c r="D95" s="698">
        <f>SUM(D96:D114)</f>
        <v>201450</v>
      </c>
      <c r="E95" s="706"/>
      <c r="F95" s="707">
        <f>SUM(F96:F114)/2</f>
        <v>201450</v>
      </c>
      <c r="G95" s="700"/>
      <c r="H95" s="96"/>
      <c r="I95" s="451"/>
    </row>
    <row r="96" spans="2:9" ht="25.5">
      <c r="B96" s="570">
        <v>2</v>
      </c>
      <c r="C96" s="75" t="s">
        <v>733</v>
      </c>
      <c r="D96" s="662">
        <f>+F96+F103+F108</f>
        <v>124900</v>
      </c>
      <c r="E96" s="52">
        <v>2000</v>
      </c>
      <c r="F96" s="669">
        <f>SUM(F97:F102)</f>
        <v>46800</v>
      </c>
      <c r="G96" s="107"/>
      <c r="H96" s="96"/>
      <c r="I96" s="451"/>
    </row>
    <row r="97" spans="2:9" ht="12.75">
      <c r="B97" s="570"/>
      <c r="C97" s="75"/>
      <c r="D97" s="50"/>
      <c r="E97" s="38">
        <v>2101</v>
      </c>
      <c r="F97" s="668">
        <v>22000</v>
      </c>
      <c r="G97" s="107"/>
      <c r="H97" s="96"/>
      <c r="I97" s="451"/>
    </row>
    <row r="98" spans="2:9" ht="12.75">
      <c r="B98" s="570"/>
      <c r="C98" s="75"/>
      <c r="D98" s="50"/>
      <c r="E98" s="38">
        <v>2103</v>
      </c>
      <c r="F98" s="668">
        <v>1100</v>
      </c>
      <c r="G98" s="107"/>
      <c r="H98" s="96"/>
      <c r="I98" s="451"/>
    </row>
    <row r="99" spans="2:9" ht="12.75">
      <c r="B99" s="570"/>
      <c r="C99" s="75"/>
      <c r="D99" s="50"/>
      <c r="E99" s="38">
        <v>2104</v>
      </c>
      <c r="F99" s="668">
        <v>5500</v>
      </c>
      <c r="G99" s="107"/>
      <c r="H99" s="96"/>
      <c r="I99" s="451"/>
    </row>
    <row r="100" spans="2:9" ht="12.75">
      <c r="B100" s="570"/>
      <c r="C100" s="75"/>
      <c r="D100" s="50"/>
      <c r="E100" s="38">
        <v>2201</v>
      </c>
      <c r="F100" s="668">
        <v>5500</v>
      </c>
      <c r="G100" s="107"/>
      <c r="H100" s="96"/>
      <c r="I100" s="451"/>
    </row>
    <row r="101" spans="2:9" ht="12.75">
      <c r="B101" s="570"/>
      <c r="C101" s="75"/>
      <c r="D101" s="50"/>
      <c r="E101" s="38">
        <v>2601</v>
      </c>
      <c r="F101" s="668">
        <v>11600</v>
      </c>
      <c r="G101" s="109" t="s">
        <v>154</v>
      </c>
      <c r="H101" s="96"/>
      <c r="I101" s="451"/>
    </row>
    <row r="102" spans="2:9" ht="12.75">
      <c r="B102" s="570"/>
      <c r="C102" s="75"/>
      <c r="D102" s="50"/>
      <c r="E102" s="38">
        <v>2602</v>
      </c>
      <c r="F102" s="668">
        <v>1100</v>
      </c>
      <c r="G102" s="107"/>
      <c r="H102" s="96"/>
      <c r="I102" s="451"/>
    </row>
    <row r="103" spans="2:9" ht="12.75">
      <c r="B103" s="570"/>
      <c r="C103" s="75"/>
      <c r="D103" s="50"/>
      <c r="E103" s="52">
        <v>3000</v>
      </c>
      <c r="F103" s="669">
        <f>SUM(F104:F107)</f>
        <v>53100</v>
      </c>
      <c r="G103" s="107"/>
      <c r="H103" s="96"/>
      <c r="I103" s="451"/>
    </row>
    <row r="104" spans="2:9" ht="12.75">
      <c r="B104" s="570"/>
      <c r="C104" s="75"/>
      <c r="D104" s="50"/>
      <c r="E104" s="38">
        <v>3301</v>
      </c>
      <c r="F104" s="668">
        <v>5500</v>
      </c>
      <c r="G104" s="107"/>
      <c r="H104" s="96"/>
      <c r="I104" s="451"/>
    </row>
    <row r="105" spans="2:9" ht="12.75">
      <c r="B105" s="570"/>
      <c r="C105" s="75"/>
      <c r="D105" s="50"/>
      <c r="E105" s="38">
        <v>3701</v>
      </c>
      <c r="F105" s="668">
        <v>8000</v>
      </c>
      <c r="G105" s="108" t="s">
        <v>232</v>
      </c>
      <c r="H105" s="96"/>
      <c r="I105" s="451"/>
    </row>
    <row r="106" spans="2:9" ht="12.75">
      <c r="B106" s="570"/>
      <c r="C106" s="75"/>
      <c r="D106" s="50"/>
      <c r="E106" s="38">
        <v>3702</v>
      </c>
      <c r="F106" s="668">
        <v>33000</v>
      </c>
      <c r="G106" s="108" t="s">
        <v>232</v>
      </c>
      <c r="H106" s="96"/>
      <c r="I106" s="451"/>
    </row>
    <row r="107" spans="2:9" ht="12.75">
      <c r="B107" s="570"/>
      <c r="C107" s="75"/>
      <c r="D107" s="50"/>
      <c r="E107" s="38">
        <v>3703</v>
      </c>
      <c r="F107" s="668">
        <v>6600</v>
      </c>
      <c r="G107" s="107"/>
      <c r="H107" s="96"/>
      <c r="I107" s="451"/>
    </row>
    <row r="108" spans="2:9" ht="12.75">
      <c r="B108" s="570"/>
      <c r="C108" s="75"/>
      <c r="D108" s="50"/>
      <c r="E108" s="52">
        <v>5000</v>
      </c>
      <c r="F108" s="669">
        <f>+F109</f>
        <v>25000</v>
      </c>
      <c r="G108" s="107"/>
      <c r="H108" s="96"/>
      <c r="I108" s="451"/>
    </row>
    <row r="109" spans="2:9" ht="12.75">
      <c r="B109" s="570"/>
      <c r="C109" s="76"/>
      <c r="D109" s="50"/>
      <c r="E109" s="38">
        <v>5206</v>
      </c>
      <c r="F109" s="670">
        <v>25000</v>
      </c>
      <c r="G109" s="108"/>
      <c r="H109" s="96"/>
      <c r="I109" s="451"/>
    </row>
    <row r="110" spans="2:9" ht="41.25" customHeight="1">
      <c r="B110" s="570">
        <v>3</v>
      </c>
      <c r="C110" s="75" t="s">
        <v>734</v>
      </c>
      <c r="D110" s="662">
        <f>+F110+F112</f>
        <v>76550</v>
      </c>
      <c r="E110" s="52">
        <v>2000</v>
      </c>
      <c r="F110" s="669">
        <f>SUM(F111)</f>
        <v>32000</v>
      </c>
      <c r="G110" s="107"/>
      <c r="H110" s="96"/>
      <c r="I110" s="451"/>
    </row>
    <row r="111" spans="2:9" ht="12.75">
      <c r="B111" s="570"/>
      <c r="C111" s="75"/>
      <c r="D111" s="50"/>
      <c r="E111" s="38">
        <v>2601</v>
      </c>
      <c r="F111" s="670">
        <v>32000</v>
      </c>
      <c r="G111" s="109" t="s">
        <v>154</v>
      </c>
      <c r="H111" s="96"/>
      <c r="I111" s="451"/>
    </row>
    <row r="112" spans="2:9" ht="12.75">
      <c r="B112" s="570"/>
      <c r="C112" s="75"/>
      <c r="D112" s="50"/>
      <c r="E112" s="52">
        <v>3000</v>
      </c>
      <c r="F112" s="669">
        <f>SUM(F113:F114)</f>
        <v>44550</v>
      </c>
      <c r="G112" s="107"/>
      <c r="H112" s="96"/>
      <c r="I112" s="451"/>
    </row>
    <row r="113" spans="2:9" ht="12.75">
      <c r="B113" s="570"/>
      <c r="C113" s="75"/>
      <c r="D113" s="50"/>
      <c r="E113" s="38">
        <v>3702</v>
      </c>
      <c r="F113" s="670">
        <v>35750</v>
      </c>
      <c r="G113" s="108" t="s">
        <v>232</v>
      </c>
      <c r="H113" s="96"/>
      <c r="I113" s="451"/>
    </row>
    <row r="114" spans="2:9" ht="12.75">
      <c r="B114" s="570"/>
      <c r="C114" s="75"/>
      <c r="D114" s="50"/>
      <c r="E114" s="692">
        <v>3703</v>
      </c>
      <c r="F114" s="693">
        <v>8800</v>
      </c>
      <c r="G114" s="107" t="s">
        <v>635</v>
      </c>
      <c r="H114" s="96"/>
      <c r="I114" s="451"/>
    </row>
    <row r="115" spans="2:9" ht="17.25" customHeight="1">
      <c r="B115" s="570"/>
      <c r="C115" s="694" t="s">
        <v>639</v>
      </c>
      <c r="D115" s="695">
        <f>SUM(D116:D234)</f>
        <v>708970</v>
      </c>
      <c r="E115" s="696"/>
      <c r="F115" s="697">
        <f>SUM(F116:F234)/2</f>
        <v>708970</v>
      </c>
      <c r="G115" s="700"/>
      <c r="H115" s="96"/>
      <c r="I115" s="451"/>
    </row>
    <row r="116" spans="2:9" ht="29.25" customHeight="1">
      <c r="B116" s="570">
        <v>4</v>
      </c>
      <c r="C116" s="553" t="s">
        <v>640</v>
      </c>
      <c r="D116" s="662">
        <f>+F116+F128+F138</f>
        <v>364420</v>
      </c>
      <c r="E116" s="52">
        <v>2000</v>
      </c>
      <c r="F116" s="669">
        <f>SUM(F117:F127)</f>
        <v>102600</v>
      </c>
      <c r="G116" s="107"/>
      <c r="H116" s="96"/>
      <c r="I116" s="451"/>
    </row>
    <row r="117" spans="2:9" ht="12.75">
      <c r="B117" s="570"/>
      <c r="C117" s="553"/>
      <c r="D117" s="557"/>
      <c r="E117" s="38">
        <v>2101</v>
      </c>
      <c r="F117" s="670">
        <v>4560</v>
      </c>
      <c r="G117" s="107"/>
      <c r="H117" s="96"/>
      <c r="I117" s="451"/>
    </row>
    <row r="118" spans="2:9" ht="12.75">
      <c r="B118" s="570"/>
      <c r="C118" s="553"/>
      <c r="D118" s="557"/>
      <c r="E118" s="38">
        <v>2104</v>
      </c>
      <c r="F118" s="670">
        <v>6080</v>
      </c>
      <c r="G118" s="107"/>
      <c r="H118" s="96"/>
      <c r="I118" s="451"/>
    </row>
    <row r="119" spans="2:9" ht="12.75">
      <c r="B119" s="570"/>
      <c r="C119" s="553"/>
      <c r="D119" s="557"/>
      <c r="E119" s="38">
        <v>2106</v>
      </c>
      <c r="F119" s="670">
        <v>3800</v>
      </c>
      <c r="G119" s="107"/>
      <c r="H119" s="96"/>
      <c r="I119" s="451"/>
    </row>
    <row r="120" spans="2:9" ht="12.75">
      <c r="B120" s="570"/>
      <c r="C120" s="553"/>
      <c r="D120" s="557"/>
      <c r="E120" s="38">
        <v>2201</v>
      </c>
      <c r="F120" s="670">
        <v>15200</v>
      </c>
      <c r="G120" s="107"/>
      <c r="H120" s="96"/>
      <c r="I120" s="451"/>
    </row>
    <row r="121" spans="2:9" ht="12.75">
      <c r="B121" s="570"/>
      <c r="C121" s="553"/>
      <c r="D121" s="557"/>
      <c r="E121" s="38">
        <v>2206</v>
      </c>
      <c r="F121" s="670">
        <v>2660</v>
      </c>
      <c r="G121" s="107"/>
      <c r="H121" s="96"/>
      <c r="I121" s="451"/>
    </row>
    <row r="122" spans="2:9" ht="12.75">
      <c r="B122" s="570"/>
      <c r="C122" s="553"/>
      <c r="D122" s="557"/>
      <c r="E122" s="38">
        <v>2207</v>
      </c>
      <c r="F122" s="670">
        <v>2280</v>
      </c>
      <c r="G122" s="107"/>
      <c r="H122" s="96"/>
      <c r="I122" s="451"/>
    </row>
    <row r="123" spans="2:9" ht="12.75">
      <c r="B123" s="570"/>
      <c r="C123" s="553"/>
      <c r="D123" s="557"/>
      <c r="E123" s="38">
        <v>2304</v>
      </c>
      <c r="F123" s="670">
        <v>15200</v>
      </c>
      <c r="G123" s="107"/>
      <c r="H123" s="96"/>
      <c r="I123" s="451"/>
    </row>
    <row r="124" spans="2:9" ht="12.75">
      <c r="B124" s="570"/>
      <c r="C124" s="553"/>
      <c r="D124" s="557"/>
      <c r="E124" s="38">
        <v>2601</v>
      </c>
      <c r="F124" s="670">
        <v>38000</v>
      </c>
      <c r="G124" s="109" t="s">
        <v>154</v>
      </c>
      <c r="H124" s="96"/>
      <c r="I124" s="451"/>
    </row>
    <row r="125" spans="2:9" ht="12.75">
      <c r="B125" s="570"/>
      <c r="C125" s="553"/>
      <c r="D125" s="557"/>
      <c r="E125" s="38">
        <v>2602</v>
      </c>
      <c r="F125" s="670">
        <v>2280</v>
      </c>
      <c r="G125" s="107"/>
      <c r="H125" s="96"/>
      <c r="I125" s="451"/>
    </row>
    <row r="126" spans="2:9" ht="12.75">
      <c r="B126" s="570"/>
      <c r="C126" s="553"/>
      <c r="D126" s="557"/>
      <c r="E126" s="38">
        <v>2701</v>
      </c>
      <c r="F126" s="670">
        <v>4560</v>
      </c>
      <c r="G126" s="107"/>
      <c r="H126" s="96"/>
      <c r="I126" s="451"/>
    </row>
    <row r="127" spans="2:9" ht="12.75">
      <c r="B127" s="570"/>
      <c r="C127" s="553"/>
      <c r="D127" s="557"/>
      <c r="E127" s="38">
        <v>2703</v>
      </c>
      <c r="F127" s="670">
        <v>7980</v>
      </c>
      <c r="G127" s="109"/>
      <c r="H127" s="96"/>
      <c r="I127" s="451"/>
    </row>
    <row r="128" spans="2:9" ht="12.75">
      <c r="B128" s="570"/>
      <c r="C128" s="553"/>
      <c r="D128" s="557"/>
      <c r="E128" s="52">
        <v>3000</v>
      </c>
      <c r="F128" s="669">
        <f>SUM(F129:F137)</f>
        <v>235220</v>
      </c>
      <c r="G128" s="107"/>
      <c r="H128" s="96"/>
      <c r="I128" s="451"/>
    </row>
    <row r="129" spans="2:9" ht="12.75">
      <c r="B129" s="570"/>
      <c r="C129" s="553"/>
      <c r="D129" s="557"/>
      <c r="E129" s="38">
        <v>3101</v>
      </c>
      <c r="F129" s="670">
        <v>1900</v>
      </c>
      <c r="G129" s="108"/>
      <c r="H129" s="96"/>
      <c r="I129" s="451"/>
    </row>
    <row r="130" spans="2:9" ht="12.75">
      <c r="B130" s="570"/>
      <c r="C130" s="553"/>
      <c r="D130" s="557"/>
      <c r="E130" s="38">
        <v>3604</v>
      </c>
      <c r="F130" s="670">
        <v>19000</v>
      </c>
      <c r="G130" s="108"/>
      <c r="H130" s="96"/>
      <c r="I130" s="451"/>
    </row>
    <row r="131" spans="2:9" ht="12.75">
      <c r="B131" s="570"/>
      <c r="C131" s="553"/>
      <c r="D131" s="557"/>
      <c r="E131" s="38">
        <v>3701</v>
      </c>
      <c r="F131" s="670">
        <v>94240</v>
      </c>
      <c r="G131" s="108"/>
      <c r="H131" s="96"/>
      <c r="I131" s="451"/>
    </row>
    <row r="132" spans="2:9" ht="12.75">
      <c r="B132" s="570"/>
      <c r="C132" s="553"/>
      <c r="D132" s="557"/>
      <c r="E132" s="38">
        <v>3702</v>
      </c>
      <c r="F132" s="670">
        <v>47880</v>
      </c>
      <c r="G132" s="108" t="s">
        <v>232</v>
      </c>
      <c r="H132" s="96"/>
      <c r="I132" s="451"/>
    </row>
    <row r="133" spans="2:9" ht="12.75">
      <c r="B133" s="570"/>
      <c r="C133" s="553"/>
      <c r="D133" s="557"/>
      <c r="E133" s="38">
        <v>3703</v>
      </c>
      <c r="F133" s="670">
        <v>30400</v>
      </c>
      <c r="G133" s="107" t="s">
        <v>635</v>
      </c>
      <c r="H133" s="96"/>
      <c r="I133" s="451"/>
    </row>
    <row r="134" spans="2:9" ht="12.75">
      <c r="B134" s="570"/>
      <c r="C134" s="553"/>
      <c r="D134" s="557"/>
      <c r="E134" s="38">
        <v>3801</v>
      </c>
      <c r="F134" s="670">
        <v>0</v>
      </c>
      <c r="G134" s="185"/>
      <c r="H134" s="96"/>
      <c r="I134" s="451"/>
    </row>
    <row r="135" spans="2:9" ht="12.75">
      <c r="B135" s="570"/>
      <c r="C135" s="553"/>
      <c r="D135" s="557"/>
      <c r="E135" s="38">
        <v>3802</v>
      </c>
      <c r="F135" s="670">
        <v>26600</v>
      </c>
      <c r="G135" s="185"/>
      <c r="H135" s="96"/>
      <c r="I135" s="451"/>
    </row>
    <row r="136" spans="2:9" ht="12.75">
      <c r="B136" s="570"/>
      <c r="C136" s="553"/>
      <c r="D136" s="557"/>
      <c r="E136" s="38">
        <v>3904</v>
      </c>
      <c r="F136" s="670">
        <v>7600</v>
      </c>
      <c r="G136" s="185"/>
      <c r="H136" s="96"/>
      <c r="I136" s="451"/>
    </row>
    <row r="137" spans="2:9" ht="12.75">
      <c r="B137" s="570"/>
      <c r="C137" s="553"/>
      <c r="D137" s="557"/>
      <c r="E137" s="38">
        <v>3907</v>
      </c>
      <c r="F137" s="670">
        <v>7600</v>
      </c>
      <c r="G137" s="185"/>
      <c r="H137" s="96"/>
      <c r="I137" s="451"/>
    </row>
    <row r="138" spans="2:9" ht="12.75">
      <c r="B138" s="570"/>
      <c r="C138" s="553"/>
      <c r="D138" s="557"/>
      <c r="E138" s="52">
        <v>5000</v>
      </c>
      <c r="F138" s="669">
        <f>SUM(F139)</f>
        <v>26600</v>
      </c>
      <c r="G138" s="185"/>
      <c r="H138" s="96"/>
      <c r="I138" s="451"/>
    </row>
    <row r="139" spans="2:9" ht="12.75">
      <c r="B139" s="570"/>
      <c r="C139" s="554"/>
      <c r="D139" s="557"/>
      <c r="E139" s="38">
        <v>5101</v>
      </c>
      <c r="F139" s="670">
        <v>26600</v>
      </c>
      <c r="G139" s="107"/>
      <c r="H139" s="96"/>
      <c r="I139" s="451"/>
    </row>
    <row r="140" spans="2:9" ht="33" customHeight="1">
      <c r="B140" s="570">
        <v>5</v>
      </c>
      <c r="C140" s="555" t="s">
        <v>238</v>
      </c>
      <c r="D140" s="662">
        <f>F140+F142</f>
        <v>50000</v>
      </c>
      <c r="E140" s="52">
        <v>2000</v>
      </c>
      <c r="F140" s="669">
        <f>SUM(F141)</f>
        <v>30000</v>
      </c>
      <c r="G140" s="107"/>
      <c r="H140" s="96"/>
      <c r="I140" s="451"/>
    </row>
    <row r="141" spans="2:9" ht="12.75">
      <c r="B141" s="570"/>
      <c r="C141" s="556"/>
      <c r="D141" s="558"/>
      <c r="E141" s="38">
        <v>2201</v>
      </c>
      <c r="F141" s="670">
        <v>30000</v>
      </c>
      <c r="G141" s="107"/>
      <c r="H141" s="96"/>
      <c r="I141" s="451"/>
    </row>
    <row r="142" spans="2:9" ht="12.75">
      <c r="B142" s="570"/>
      <c r="C142" s="553"/>
      <c r="D142" s="558"/>
      <c r="E142" s="52">
        <v>3000</v>
      </c>
      <c r="F142" s="669">
        <f>SUM(F143:F144)</f>
        <v>20000</v>
      </c>
      <c r="G142" s="107"/>
      <c r="H142" s="96"/>
      <c r="I142" s="451"/>
    </row>
    <row r="143" spans="2:9" ht="12.75">
      <c r="B143" s="570"/>
      <c r="C143" s="556"/>
      <c r="D143" s="558"/>
      <c r="E143" s="38">
        <v>3702</v>
      </c>
      <c r="F143" s="670">
        <v>20000</v>
      </c>
      <c r="G143" s="107"/>
      <c r="H143" s="96"/>
      <c r="I143" s="451"/>
    </row>
    <row r="144" spans="2:9" ht="12.75">
      <c r="B144" s="570"/>
      <c r="C144" s="556"/>
      <c r="D144" s="557"/>
      <c r="E144" s="38">
        <v>3802</v>
      </c>
      <c r="F144" s="670">
        <v>0</v>
      </c>
      <c r="G144" s="107"/>
      <c r="H144" s="96"/>
      <c r="I144" s="451"/>
    </row>
    <row r="145" spans="2:9" ht="25.5">
      <c r="B145" s="570">
        <v>6</v>
      </c>
      <c r="C145" s="555" t="s">
        <v>637</v>
      </c>
      <c r="D145" s="662">
        <f>+F145+F149</f>
        <v>39240</v>
      </c>
      <c r="E145" s="52">
        <v>2000</v>
      </c>
      <c r="F145" s="669">
        <f>SUM(F146:F148)</f>
        <v>22440</v>
      </c>
      <c r="G145" s="107"/>
      <c r="H145" s="96"/>
      <c r="I145" s="451"/>
    </row>
    <row r="146" spans="2:9" ht="12.75">
      <c r="B146" s="570"/>
      <c r="C146" s="553"/>
      <c r="D146" s="662"/>
      <c r="E146" s="38">
        <v>2101</v>
      </c>
      <c r="F146" s="670">
        <v>2000</v>
      </c>
      <c r="G146" s="107"/>
      <c r="H146" s="96"/>
      <c r="I146" s="451"/>
    </row>
    <row r="147" spans="2:9" ht="12.75">
      <c r="B147" s="570"/>
      <c r="C147" s="553"/>
      <c r="D147" s="662"/>
      <c r="E147" s="38">
        <v>2201</v>
      </c>
      <c r="F147" s="670">
        <v>14200</v>
      </c>
      <c r="G147" s="107"/>
      <c r="H147" s="96"/>
      <c r="I147" s="451"/>
    </row>
    <row r="148" spans="2:9" ht="12.75">
      <c r="B148" s="570"/>
      <c r="C148" s="553"/>
      <c r="D148" s="662"/>
      <c r="E148" s="38">
        <v>2601</v>
      </c>
      <c r="F148" s="670">
        <v>6240</v>
      </c>
      <c r="G148" s="109" t="s">
        <v>154</v>
      </c>
      <c r="H148" s="96"/>
      <c r="I148" s="451"/>
    </row>
    <row r="149" spans="2:9" ht="12.75">
      <c r="B149" s="570"/>
      <c r="C149" s="553"/>
      <c r="D149" s="662"/>
      <c r="E149" s="52">
        <v>3000</v>
      </c>
      <c r="F149" s="669">
        <f>SUM(F150:F151)</f>
        <v>16800</v>
      </c>
      <c r="G149" s="107"/>
      <c r="H149" s="96"/>
      <c r="I149" s="451"/>
    </row>
    <row r="150" spans="2:9" ht="12.75">
      <c r="B150" s="570"/>
      <c r="C150" s="553"/>
      <c r="D150" s="662"/>
      <c r="E150" s="38">
        <v>3702</v>
      </c>
      <c r="F150" s="670">
        <v>12000</v>
      </c>
      <c r="G150" s="108" t="s">
        <v>232</v>
      </c>
      <c r="H150" s="96"/>
      <c r="I150" s="451"/>
    </row>
    <row r="151" spans="2:9" ht="12.75">
      <c r="B151" s="570"/>
      <c r="C151" s="554"/>
      <c r="D151" s="662"/>
      <c r="E151" s="38">
        <v>3907</v>
      </c>
      <c r="F151" s="670">
        <v>4800</v>
      </c>
      <c r="G151" s="107"/>
      <c r="H151" s="96"/>
      <c r="I151" s="451"/>
    </row>
    <row r="152" spans="2:9" ht="30" customHeight="1">
      <c r="B152" s="570">
        <v>7</v>
      </c>
      <c r="C152" s="553" t="s">
        <v>313</v>
      </c>
      <c r="D152" s="662">
        <f>+F152+F157</f>
        <v>27450</v>
      </c>
      <c r="E152" s="52">
        <v>2000</v>
      </c>
      <c r="F152" s="669">
        <f>SUM(F153:F156)</f>
        <v>11050</v>
      </c>
      <c r="G152" s="107"/>
      <c r="H152" s="96"/>
      <c r="I152" s="451"/>
    </row>
    <row r="153" spans="2:9" ht="12.75">
      <c r="B153" s="570"/>
      <c r="C153" s="553"/>
      <c r="D153" s="662"/>
      <c r="E153" s="38">
        <v>2101</v>
      </c>
      <c r="F153" s="670">
        <v>1000</v>
      </c>
      <c r="G153" s="107"/>
      <c r="H153" s="96"/>
      <c r="I153" s="451"/>
    </row>
    <row r="154" spans="2:9" ht="12.75">
      <c r="B154" s="570"/>
      <c r="C154" s="553"/>
      <c r="D154" s="662"/>
      <c r="E154" s="38">
        <v>2104</v>
      </c>
      <c r="F154" s="670">
        <v>1500</v>
      </c>
      <c r="G154" s="107"/>
      <c r="H154" s="96"/>
      <c r="I154" s="451"/>
    </row>
    <row r="155" spans="2:9" ht="12.75">
      <c r="B155" s="570"/>
      <c r="C155" s="553"/>
      <c r="D155" s="662"/>
      <c r="E155" s="38">
        <v>2105</v>
      </c>
      <c r="F155" s="670">
        <v>550</v>
      </c>
      <c r="G155" s="107"/>
      <c r="H155" s="96"/>
      <c r="I155" s="451"/>
    </row>
    <row r="156" spans="2:9" ht="12.75">
      <c r="B156" s="570"/>
      <c r="C156" s="553"/>
      <c r="D156" s="662"/>
      <c r="E156" s="38">
        <v>2601</v>
      </c>
      <c r="F156" s="670">
        <v>8000</v>
      </c>
      <c r="G156" s="109" t="s">
        <v>154</v>
      </c>
      <c r="H156" s="96"/>
      <c r="I156" s="451"/>
    </row>
    <row r="157" spans="2:9" ht="12.75">
      <c r="B157" s="570"/>
      <c r="C157" s="553"/>
      <c r="D157" s="662"/>
      <c r="E157" s="52">
        <v>3000</v>
      </c>
      <c r="F157" s="669">
        <f>SUM(F158:F160)</f>
        <v>16400</v>
      </c>
      <c r="G157" s="107"/>
      <c r="H157" s="96"/>
      <c r="I157" s="451"/>
    </row>
    <row r="158" spans="2:9" ht="12.75">
      <c r="B158" s="570"/>
      <c r="C158" s="553"/>
      <c r="D158" s="662"/>
      <c r="E158" s="45">
        <v>3702</v>
      </c>
      <c r="F158" s="671">
        <v>4000</v>
      </c>
      <c r="G158" s="108" t="s">
        <v>232</v>
      </c>
      <c r="H158" s="96"/>
      <c r="I158" s="451"/>
    </row>
    <row r="159" spans="2:9" ht="12.75">
      <c r="B159" s="570"/>
      <c r="C159" s="553"/>
      <c r="D159" s="662"/>
      <c r="E159" s="45">
        <v>3703</v>
      </c>
      <c r="F159" s="671">
        <v>4000</v>
      </c>
      <c r="G159" s="108" t="s">
        <v>232</v>
      </c>
      <c r="H159" s="96"/>
      <c r="I159" s="451"/>
    </row>
    <row r="160" spans="2:9" ht="12.75">
      <c r="B160" s="570"/>
      <c r="C160" s="554"/>
      <c r="D160" s="662"/>
      <c r="E160" s="45">
        <v>3907</v>
      </c>
      <c r="F160" s="671">
        <v>8400</v>
      </c>
      <c r="G160" s="108"/>
      <c r="H160" s="96"/>
      <c r="I160" s="451"/>
    </row>
    <row r="161" spans="2:9" ht="31.5" customHeight="1">
      <c r="B161" s="570">
        <v>8</v>
      </c>
      <c r="C161" s="553" t="s">
        <v>649</v>
      </c>
      <c r="D161" s="662">
        <f>+F161+F164</f>
        <v>7500</v>
      </c>
      <c r="E161" s="50">
        <v>2000</v>
      </c>
      <c r="F161" s="673">
        <f>SUM(F162:F163)</f>
        <v>1500</v>
      </c>
      <c r="G161" s="110"/>
      <c r="H161" s="96"/>
      <c r="I161" s="451"/>
    </row>
    <row r="162" spans="2:9" ht="12.75">
      <c r="B162" s="570"/>
      <c r="C162" s="553"/>
      <c r="D162" s="662"/>
      <c r="E162" s="45">
        <v>2101</v>
      </c>
      <c r="F162" s="671">
        <v>500</v>
      </c>
      <c r="G162" s="110"/>
      <c r="H162" s="96"/>
      <c r="I162" s="451"/>
    </row>
    <row r="163" spans="2:9" ht="12.75">
      <c r="B163" s="570"/>
      <c r="C163" s="553"/>
      <c r="D163" s="662"/>
      <c r="E163" s="45">
        <v>2104</v>
      </c>
      <c r="F163" s="671">
        <v>1000</v>
      </c>
      <c r="G163" s="110"/>
      <c r="H163" s="96"/>
      <c r="I163" s="451"/>
    </row>
    <row r="164" spans="2:9" ht="12.75">
      <c r="B164" s="570"/>
      <c r="C164" s="553"/>
      <c r="D164" s="662"/>
      <c r="E164" s="50">
        <v>3000</v>
      </c>
      <c r="F164" s="673">
        <f>SUM(F165:F166)</f>
        <v>6000</v>
      </c>
      <c r="G164" s="110"/>
      <c r="H164" s="96"/>
      <c r="I164" s="451"/>
    </row>
    <row r="165" spans="2:9" ht="12.75">
      <c r="B165" s="570"/>
      <c r="C165" s="553"/>
      <c r="D165" s="662"/>
      <c r="E165" s="45">
        <v>3401</v>
      </c>
      <c r="F165" s="671">
        <v>2000</v>
      </c>
      <c r="G165" s="110"/>
      <c r="H165" s="96"/>
      <c r="I165" s="451"/>
    </row>
    <row r="166" spans="2:9" ht="12.75">
      <c r="B166" s="570"/>
      <c r="C166" s="554"/>
      <c r="D166" s="662"/>
      <c r="E166" s="539">
        <v>3907</v>
      </c>
      <c r="F166" s="672">
        <v>4000</v>
      </c>
      <c r="G166" s="110"/>
      <c r="H166" s="96"/>
      <c r="I166" s="451"/>
    </row>
    <row r="167" spans="2:9" ht="33.75" customHeight="1">
      <c r="B167" s="570">
        <v>9</v>
      </c>
      <c r="C167" s="553" t="s">
        <v>241</v>
      </c>
      <c r="D167" s="662">
        <f>+F167+F171</f>
        <v>2560</v>
      </c>
      <c r="E167" s="50">
        <v>2000</v>
      </c>
      <c r="F167" s="673">
        <f>SUM(F168:F170)</f>
        <v>1560</v>
      </c>
      <c r="G167" s="110"/>
      <c r="H167" s="96"/>
      <c r="I167" s="451"/>
    </row>
    <row r="168" spans="2:9" ht="12.75">
      <c r="B168" s="570"/>
      <c r="C168" s="553"/>
      <c r="D168" s="662"/>
      <c r="E168" s="45">
        <v>2101</v>
      </c>
      <c r="F168" s="671">
        <v>600</v>
      </c>
      <c r="G168" s="110"/>
      <c r="H168" s="96"/>
      <c r="I168" s="451"/>
    </row>
    <row r="169" spans="2:9" ht="12.75">
      <c r="B169" s="570"/>
      <c r="C169" s="553"/>
      <c r="D169" s="662"/>
      <c r="E169" s="45">
        <v>2105</v>
      </c>
      <c r="F169" s="671">
        <v>300</v>
      </c>
      <c r="G169" s="110"/>
      <c r="H169" s="96"/>
      <c r="I169" s="451"/>
    </row>
    <row r="170" spans="2:9" ht="12.75">
      <c r="B170" s="570"/>
      <c r="C170" s="553"/>
      <c r="D170" s="662"/>
      <c r="E170" s="45">
        <v>2601</v>
      </c>
      <c r="F170" s="671">
        <v>660</v>
      </c>
      <c r="G170" s="109" t="s">
        <v>154</v>
      </c>
      <c r="H170" s="96"/>
      <c r="I170" s="451"/>
    </row>
    <row r="171" spans="2:9" ht="12.75">
      <c r="B171" s="570"/>
      <c r="C171" s="553"/>
      <c r="D171" s="662"/>
      <c r="E171" s="50">
        <v>3000</v>
      </c>
      <c r="F171" s="673">
        <f>SUM(F172:F172)</f>
        <v>1000</v>
      </c>
      <c r="G171" s="110"/>
      <c r="H171" s="96"/>
      <c r="I171" s="451"/>
    </row>
    <row r="172" spans="2:9" ht="12.75">
      <c r="B172" s="570"/>
      <c r="C172" s="554"/>
      <c r="D172" s="662"/>
      <c r="E172" s="46">
        <v>3907</v>
      </c>
      <c r="F172" s="674">
        <v>1000</v>
      </c>
      <c r="G172" s="111"/>
      <c r="H172" s="96"/>
      <c r="I172" s="451"/>
    </row>
    <row r="173" spans="2:9" ht="25.5">
      <c r="B173" s="570">
        <v>10</v>
      </c>
      <c r="C173" s="553" t="s">
        <v>242</v>
      </c>
      <c r="D173" s="662">
        <f>+F173+F175</f>
        <v>8300</v>
      </c>
      <c r="E173" s="49">
        <v>2000</v>
      </c>
      <c r="F173" s="667">
        <f>SUM(F174:F174)</f>
        <v>300</v>
      </c>
      <c r="G173" s="109"/>
      <c r="H173" s="96"/>
      <c r="I173" s="451"/>
    </row>
    <row r="174" spans="2:9" ht="12.75">
      <c r="B174" s="570"/>
      <c r="C174" s="553"/>
      <c r="D174" s="662"/>
      <c r="E174" s="44">
        <v>2101</v>
      </c>
      <c r="F174" s="675">
        <v>300</v>
      </c>
      <c r="G174" s="109"/>
      <c r="H174" s="96"/>
      <c r="I174" s="451"/>
    </row>
    <row r="175" spans="2:9" ht="12.75">
      <c r="B175" s="570"/>
      <c r="C175" s="553"/>
      <c r="D175" s="662"/>
      <c r="E175" s="49">
        <v>3000</v>
      </c>
      <c r="F175" s="667">
        <f>SUM(F176:F178)</f>
        <v>8000</v>
      </c>
      <c r="G175" s="109"/>
      <c r="H175" s="96"/>
      <c r="I175" s="451"/>
    </row>
    <row r="176" spans="2:9" ht="12.75">
      <c r="B176" s="570"/>
      <c r="C176" s="553"/>
      <c r="D176" s="662"/>
      <c r="E176" s="44">
        <v>3501</v>
      </c>
      <c r="F176" s="675">
        <v>2000</v>
      </c>
      <c r="G176" s="109" t="s">
        <v>232</v>
      </c>
      <c r="H176" s="96"/>
      <c r="I176" s="451"/>
    </row>
    <row r="177" spans="2:9" ht="12.75">
      <c r="B177" s="570"/>
      <c r="C177" s="553"/>
      <c r="D177" s="662"/>
      <c r="E177" s="280">
        <v>3702</v>
      </c>
      <c r="F177" s="616">
        <v>5000</v>
      </c>
      <c r="G177" s="109" t="s">
        <v>232</v>
      </c>
      <c r="H177" s="96"/>
      <c r="I177" s="451"/>
    </row>
    <row r="178" spans="2:9" ht="12.75">
      <c r="B178" s="570"/>
      <c r="C178" s="554"/>
      <c r="D178" s="662"/>
      <c r="E178" s="44">
        <v>3907</v>
      </c>
      <c r="F178" s="675">
        <v>1000</v>
      </c>
      <c r="G178" s="109"/>
      <c r="H178" s="96"/>
      <c r="I178" s="451"/>
    </row>
    <row r="179" spans="2:9" ht="25.5">
      <c r="B179" s="570">
        <v>11</v>
      </c>
      <c r="C179" s="553" t="s">
        <v>65</v>
      </c>
      <c r="D179" s="662">
        <f>+F179+F181+F185</f>
        <v>20500</v>
      </c>
      <c r="E179" s="49">
        <v>2000</v>
      </c>
      <c r="F179" s="667">
        <f>SUM(F180:F180)</f>
        <v>500</v>
      </c>
      <c r="G179" s="109"/>
      <c r="H179" s="96"/>
      <c r="I179" s="451"/>
    </row>
    <row r="180" spans="2:9" ht="12.75">
      <c r="B180" s="570"/>
      <c r="C180" s="553"/>
      <c r="D180" s="662"/>
      <c r="E180" s="44">
        <v>2101</v>
      </c>
      <c r="F180" s="675">
        <v>500</v>
      </c>
      <c r="G180" s="109"/>
      <c r="H180" s="96"/>
      <c r="I180" s="451"/>
    </row>
    <row r="181" spans="2:9" ht="12.75">
      <c r="B181" s="570"/>
      <c r="C181" s="553"/>
      <c r="D181" s="662"/>
      <c r="E181" s="49">
        <v>3000</v>
      </c>
      <c r="F181" s="667">
        <f>SUM(F182:F184)</f>
        <v>20000</v>
      </c>
      <c r="G181" s="109"/>
      <c r="H181" s="96"/>
      <c r="I181" s="451"/>
    </row>
    <row r="182" spans="2:9" ht="12.75">
      <c r="B182" s="570"/>
      <c r="C182" s="553"/>
      <c r="D182" s="662"/>
      <c r="E182" s="280">
        <v>3701</v>
      </c>
      <c r="F182" s="616">
        <v>5000</v>
      </c>
      <c r="G182" s="109"/>
      <c r="H182" s="96"/>
      <c r="I182" s="451"/>
    </row>
    <row r="183" spans="2:9" ht="12.75">
      <c r="B183" s="570"/>
      <c r="C183" s="553"/>
      <c r="D183" s="662"/>
      <c r="E183" s="280">
        <v>3702</v>
      </c>
      <c r="F183" s="616">
        <v>5000</v>
      </c>
      <c r="G183" s="109" t="s">
        <v>232</v>
      </c>
      <c r="H183" s="96"/>
      <c r="I183" s="451"/>
    </row>
    <row r="184" spans="2:9" ht="12.75">
      <c r="B184" s="570"/>
      <c r="C184" s="553"/>
      <c r="D184" s="662"/>
      <c r="E184" s="44">
        <v>3904</v>
      </c>
      <c r="F184" s="675">
        <v>10000</v>
      </c>
      <c r="G184" s="109"/>
      <c r="H184" s="96"/>
      <c r="I184" s="451"/>
    </row>
    <row r="185" spans="2:9" ht="12.75">
      <c r="B185" s="570"/>
      <c r="C185" s="553"/>
      <c r="D185" s="662"/>
      <c r="E185" s="49">
        <v>5000</v>
      </c>
      <c r="F185" s="667">
        <f>SUM(F186)</f>
        <v>0</v>
      </c>
      <c r="G185" s="109"/>
      <c r="H185" s="96"/>
      <c r="I185" s="451"/>
    </row>
    <row r="186" spans="2:9" ht="12.75">
      <c r="B186" s="570"/>
      <c r="C186" s="554"/>
      <c r="D186" s="662"/>
      <c r="E186" s="44">
        <v>5104</v>
      </c>
      <c r="F186" s="675"/>
      <c r="G186" s="109"/>
      <c r="H186" s="96"/>
      <c r="I186" s="451"/>
    </row>
    <row r="187" spans="2:9" ht="25.5">
      <c r="B187" s="570">
        <v>12</v>
      </c>
      <c r="C187" s="553" t="s">
        <v>243</v>
      </c>
      <c r="D187" s="662">
        <f>+F187+F190</f>
        <v>2500</v>
      </c>
      <c r="E187" s="49">
        <v>2000</v>
      </c>
      <c r="F187" s="667">
        <f>SUM(F188:F189)</f>
        <v>2500</v>
      </c>
      <c r="G187" s="109"/>
      <c r="H187" s="96"/>
      <c r="I187" s="451"/>
    </row>
    <row r="188" spans="2:9" ht="12.75">
      <c r="B188" s="570"/>
      <c r="C188" s="553"/>
      <c r="D188" s="662"/>
      <c r="E188" s="44">
        <v>2101</v>
      </c>
      <c r="F188" s="675">
        <v>500</v>
      </c>
      <c r="G188" s="109"/>
      <c r="H188" s="96"/>
      <c r="I188" s="451"/>
    </row>
    <row r="189" spans="2:9" ht="12.75">
      <c r="B189" s="570"/>
      <c r="C189" s="553"/>
      <c r="D189" s="662"/>
      <c r="E189" s="280">
        <v>2304</v>
      </c>
      <c r="F189" s="616">
        <v>2000</v>
      </c>
      <c r="G189" s="109"/>
      <c r="H189" s="96"/>
      <c r="I189" s="451"/>
    </row>
    <row r="190" spans="2:9" ht="12.75">
      <c r="B190" s="570"/>
      <c r="C190" s="553"/>
      <c r="D190" s="662"/>
      <c r="E190" s="49">
        <v>3000</v>
      </c>
      <c r="F190" s="667">
        <f>SUM(F191:F191)</f>
        <v>0</v>
      </c>
      <c r="G190" s="109"/>
      <c r="H190" s="96"/>
      <c r="I190" s="451"/>
    </row>
    <row r="191" spans="2:9" ht="12.75">
      <c r="B191" s="570"/>
      <c r="C191" s="553"/>
      <c r="D191" s="662"/>
      <c r="E191" s="280">
        <v>3801</v>
      </c>
      <c r="F191" s="616">
        <v>0</v>
      </c>
      <c r="G191" s="109"/>
      <c r="H191" s="96"/>
      <c r="I191" s="451"/>
    </row>
    <row r="192" spans="2:9" ht="25.5">
      <c r="B192" s="570">
        <v>13</v>
      </c>
      <c r="C192" s="555" t="s">
        <v>657</v>
      </c>
      <c r="D192" s="662">
        <f>+F192+F194</f>
        <v>40000</v>
      </c>
      <c r="E192" s="49">
        <v>2000</v>
      </c>
      <c r="F192" s="667">
        <f>SUM(F193:F193)</f>
        <v>5000</v>
      </c>
      <c r="G192" s="109"/>
      <c r="H192" s="96"/>
      <c r="I192" s="451"/>
    </row>
    <row r="193" spans="2:9" ht="12.75">
      <c r="B193" s="570"/>
      <c r="C193" s="553"/>
      <c r="D193" s="662"/>
      <c r="E193" s="44">
        <v>2101</v>
      </c>
      <c r="F193" s="675">
        <v>5000</v>
      </c>
      <c r="G193" s="109"/>
      <c r="H193" s="96"/>
      <c r="I193" s="451"/>
    </row>
    <row r="194" spans="2:9" ht="12.75">
      <c r="B194" s="570"/>
      <c r="C194" s="553"/>
      <c r="D194" s="662"/>
      <c r="E194" s="49">
        <v>3000</v>
      </c>
      <c r="F194" s="667">
        <f>SUM(F195:F196)</f>
        <v>35000</v>
      </c>
      <c r="G194" s="109"/>
      <c r="H194" s="96"/>
      <c r="I194" s="451"/>
    </row>
    <row r="195" spans="2:9" ht="12.75">
      <c r="B195" s="570"/>
      <c r="C195" s="553"/>
      <c r="D195" s="662"/>
      <c r="E195" s="44">
        <v>3604</v>
      </c>
      <c r="F195" s="675">
        <v>5000</v>
      </c>
      <c r="G195" s="109"/>
      <c r="H195" s="96"/>
      <c r="I195" s="451"/>
    </row>
    <row r="196" spans="2:9" ht="12.75">
      <c r="B196" s="570"/>
      <c r="C196" s="553"/>
      <c r="D196" s="662"/>
      <c r="E196" s="44">
        <v>3702</v>
      </c>
      <c r="F196" s="675">
        <v>30000</v>
      </c>
      <c r="G196" s="109" t="s">
        <v>232</v>
      </c>
      <c r="H196" s="96"/>
      <c r="I196" s="451"/>
    </row>
    <row r="197" spans="2:9" ht="25.5">
      <c r="B197" s="570">
        <v>14</v>
      </c>
      <c r="C197" s="553" t="s">
        <v>244</v>
      </c>
      <c r="D197" s="662">
        <f>+F197+F199+F201</f>
        <v>26000</v>
      </c>
      <c r="E197" s="78">
        <v>2000</v>
      </c>
      <c r="F197" s="667">
        <f>SUM(F198:F198)</f>
        <v>1000</v>
      </c>
      <c r="G197" s="107"/>
      <c r="H197" s="96"/>
      <c r="I197" s="451"/>
    </row>
    <row r="198" spans="2:9" ht="12.75">
      <c r="B198" s="570"/>
      <c r="C198" s="553"/>
      <c r="D198" s="662"/>
      <c r="E198" s="44">
        <v>2101</v>
      </c>
      <c r="F198" s="675">
        <v>1000</v>
      </c>
      <c r="G198" s="107"/>
      <c r="H198" s="96"/>
      <c r="I198" s="451"/>
    </row>
    <row r="199" spans="2:9" ht="12.75">
      <c r="B199" s="570"/>
      <c r="C199" s="553"/>
      <c r="D199" s="662"/>
      <c r="E199" s="49">
        <v>3000</v>
      </c>
      <c r="F199" s="667">
        <f>SUM(F200:F200)</f>
        <v>10000</v>
      </c>
      <c r="G199" s="107"/>
      <c r="H199" s="96"/>
      <c r="I199" s="451"/>
    </row>
    <row r="200" spans="2:9" ht="12.75">
      <c r="B200" s="570"/>
      <c r="C200" s="553"/>
      <c r="D200" s="662"/>
      <c r="E200" s="280">
        <v>3702</v>
      </c>
      <c r="F200" s="616">
        <v>10000</v>
      </c>
      <c r="G200" s="107"/>
      <c r="H200" s="96"/>
      <c r="I200" s="451"/>
    </row>
    <row r="201" spans="2:9" ht="12.75">
      <c r="B201" s="570"/>
      <c r="C201" s="553"/>
      <c r="D201" s="662"/>
      <c r="E201" s="49">
        <v>5000</v>
      </c>
      <c r="F201" s="667">
        <f>SUM(F202)</f>
        <v>15000</v>
      </c>
      <c r="G201" s="107"/>
      <c r="H201" s="96"/>
      <c r="I201" s="451"/>
    </row>
    <row r="202" spans="2:9" ht="12.75">
      <c r="B202" s="570"/>
      <c r="C202" s="553"/>
      <c r="D202" s="662"/>
      <c r="E202" s="44">
        <v>5101</v>
      </c>
      <c r="F202" s="675">
        <v>15000</v>
      </c>
      <c r="G202" s="107"/>
      <c r="H202" s="96"/>
      <c r="I202" s="451"/>
    </row>
    <row r="203" spans="2:9" ht="38.25">
      <c r="B203" s="570">
        <v>15</v>
      </c>
      <c r="C203" s="555" t="s">
        <v>88</v>
      </c>
      <c r="D203" s="662">
        <f>+F203+F207</f>
        <v>26000</v>
      </c>
      <c r="E203" s="49">
        <v>2000</v>
      </c>
      <c r="F203" s="667">
        <f>SUM(F204:F206)</f>
        <v>16000</v>
      </c>
      <c r="G203" s="107"/>
      <c r="H203" s="96"/>
      <c r="I203" s="451"/>
    </row>
    <row r="204" spans="2:9" ht="12.75">
      <c r="B204" s="570"/>
      <c r="C204" s="553"/>
      <c r="D204" s="662"/>
      <c r="E204" s="280">
        <v>2101</v>
      </c>
      <c r="F204" s="616">
        <v>4000</v>
      </c>
      <c r="G204" s="107"/>
      <c r="H204" s="96"/>
      <c r="I204" s="451"/>
    </row>
    <row r="205" spans="2:9" ht="12.75">
      <c r="B205" s="570"/>
      <c r="C205" s="553"/>
      <c r="D205" s="662"/>
      <c r="E205" s="44">
        <v>2103</v>
      </c>
      <c r="F205" s="675">
        <v>2000</v>
      </c>
      <c r="G205" s="107"/>
      <c r="H205" s="96"/>
      <c r="I205" s="451"/>
    </row>
    <row r="206" spans="2:9" ht="12.75">
      <c r="B206" s="570"/>
      <c r="C206" s="553"/>
      <c r="D206" s="662"/>
      <c r="E206" s="44">
        <v>2304</v>
      </c>
      <c r="F206" s="675">
        <v>10000</v>
      </c>
      <c r="G206" s="107"/>
      <c r="H206" s="96"/>
      <c r="I206" s="451"/>
    </row>
    <row r="207" spans="2:9" ht="12.75">
      <c r="B207" s="570"/>
      <c r="C207" s="553"/>
      <c r="D207" s="662"/>
      <c r="E207" s="49">
        <v>3000</v>
      </c>
      <c r="F207" s="667">
        <f>SUM(F208:F208)</f>
        <v>10000</v>
      </c>
      <c r="G207" s="107"/>
      <c r="H207" s="96"/>
      <c r="I207" s="451"/>
    </row>
    <row r="208" spans="2:9" ht="12.75">
      <c r="B208" s="570"/>
      <c r="C208" s="553"/>
      <c r="D208" s="662"/>
      <c r="E208" s="280">
        <v>3702</v>
      </c>
      <c r="F208" s="616">
        <v>10000</v>
      </c>
      <c r="G208" s="109" t="s">
        <v>232</v>
      </c>
      <c r="H208" s="96"/>
      <c r="I208" s="451"/>
    </row>
    <row r="209" spans="2:9" ht="25.5">
      <c r="B209" s="570">
        <v>16</v>
      </c>
      <c r="C209" s="555" t="s">
        <v>6</v>
      </c>
      <c r="D209" s="662">
        <f>F209+F212+F214</f>
        <v>9500</v>
      </c>
      <c r="E209" s="49">
        <v>2000</v>
      </c>
      <c r="F209" s="667">
        <f>SUM(F210:F211)</f>
        <v>1500</v>
      </c>
      <c r="G209" s="107"/>
      <c r="H209" s="96"/>
      <c r="I209" s="451"/>
    </row>
    <row r="210" spans="2:9" ht="12.75">
      <c r="B210" s="570"/>
      <c r="C210" s="556"/>
      <c r="D210" s="662"/>
      <c r="E210" s="280">
        <v>2101</v>
      </c>
      <c r="F210" s="616">
        <v>500</v>
      </c>
      <c r="G210" s="107"/>
      <c r="H210" s="96"/>
      <c r="I210" s="451"/>
    </row>
    <row r="211" spans="2:9" ht="12.75">
      <c r="B211" s="570"/>
      <c r="C211" s="556"/>
      <c r="D211" s="662"/>
      <c r="E211" s="44">
        <v>2103</v>
      </c>
      <c r="F211" s="675">
        <v>1000</v>
      </c>
      <c r="G211" s="107"/>
      <c r="H211" s="96"/>
      <c r="I211" s="451"/>
    </row>
    <row r="212" spans="2:9" ht="12.75">
      <c r="B212" s="570"/>
      <c r="C212" s="553"/>
      <c r="D212" s="662"/>
      <c r="E212" s="49">
        <v>3000</v>
      </c>
      <c r="F212" s="667">
        <f>SUM(F213:F213)</f>
        <v>4000</v>
      </c>
      <c r="G212" s="107"/>
      <c r="H212" s="96"/>
      <c r="I212" s="451"/>
    </row>
    <row r="213" spans="2:9" ht="12.75">
      <c r="B213" s="570"/>
      <c r="C213" s="556"/>
      <c r="D213" s="662"/>
      <c r="E213" s="44">
        <v>3702</v>
      </c>
      <c r="F213" s="675">
        <v>4000</v>
      </c>
      <c r="G213" s="107"/>
      <c r="H213" s="96"/>
      <c r="I213" s="451"/>
    </row>
    <row r="214" spans="2:9" ht="12.75">
      <c r="B214" s="570"/>
      <c r="C214" s="553"/>
      <c r="D214" s="662"/>
      <c r="E214" s="49">
        <v>5000</v>
      </c>
      <c r="F214" s="667">
        <f>SUM(F215)</f>
        <v>4000</v>
      </c>
      <c r="G214" s="107"/>
      <c r="H214" s="96"/>
      <c r="I214" s="451"/>
    </row>
    <row r="215" spans="2:9" ht="12.75">
      <c r="B215" s="570"/>
      <c r="C215" s="556"/>
      <c r="D215" s="662"/>
      <c r="E215" s="44">
        <v>5102</v>
      </c>
      <c r="F215" s="675">
        <v>4000</v>
      </c>
      <c r="G215" s="107"/>
      <c r="H215" s="96"/>
      <c r="I215" s="451"/>
    </row>
    <row r="216" spans="2:9" ht="63.75">
      <c r="B216" s="570">
        <v>17</v>
      </c>
      <c r="C216" s="555" t="s">
        <v>239</v>
      </c>
      <c r="D216" s="662">
        <f>+F216+F221</f>
        <v>36500</v>
      </c>
      <c r="E216" s="49">
        <v>2000</v>
      </c>
      <c r="F216" s="667">
        <f>SUM(F217:F220)</f>
        <v>26500</v>
      </c>
      <c r="G216" s="107"/>
      <c r="H216" s="96"/>
      <c r="I216" s="451"/>
    </row>
    <row r="217" spans="2:9" ht="12.75">
      <c r="B217" s="570"/>
      <c r="C217" s="553"/>
      <c r="D217" s="662"/>
      <c r="E217" s="280">
        <v>2101</v>
      </c>
      <c r="F217" s="616">
        <v>5000</v>
      </c>
      <c r="G217" s="107"/>
      <c r="H217" s="96"/>
      <c r="I217" s="451"/>
    </row>
    <row r="218" spans="2:9" ht="12.75">
      <c r="B218" s="570"/>
      <c r="C218" s="553"/>
      <c r="D218" s="662"/>
      <c r="E218" s="44">
        <v>2105</v>
      </c>
      <c r="F218" s="675">
        <v>5000</v>
      </c>
      <c r="G218" s="107"/>
      <c r="H218" s="96"/>
      <c r="I218" s="451"/>
    </row>
    <row r="219" spans="2:9" ht="12.75">
      <c r="B219" s="570"/>
      <c r="C219" s="553"/>
      <c r="D219" s="662"/>
      <c r="E219" s="280">
        <v>2201</v>
      </c>
      <c r="F219" s="616">
        <v>15000</v>
      </c>
      <c r="G219" s="107"/>
      <c r="H219" s="96"/>
      <c r="I219" s="451"/>
    </row>
    <row r="220" spans="2:9" ht="12.75">
      <c r="B220" s="570"/>
      <c r="C220" s="553"/>
      <c r="D220" s="662"/>
      <c r="E220" s="44">
        <v>2601</v>
      </c>
      <c r="F220" s="675">
        <v>1500</v>
      </c>
      <c r="G220" s="109" t="s">
        <v>154</v>
      </c>
      <c r="H220" s="96"/>
      <c r="I220" s="451"/>
    </row>
    <row r="221" spans="2:9" ht="12.75">
      <c r="B221" s="570"/>
      <c r="C221" s="553"/>
      <c r="D221" s="662"/>
      <c r="E221" s="49">
        <v>3000</v>
      </c>
      <c r="F221" s="667">
        <f>SUM(F222:F222)</f>
        <v>10000</v>
      </c>
      <c r="G221" s="107"/>
      <c r="H221" s="96"/>
      <c r="I221" s="451"/>
    </row>
    <row r="222" spans="2:9" ht="12.75">
      <c r="B222" s="570"/>
      <c r="C222" s="553"/>
      <c r="D222" s="662"/>
      <c r="E222" s="44">
        <v>3702</v>
      </c>
      <c r="F222" s="675">
        <v>10000</v>
      </c>
      <c r="G222" s="109" t="s">
        <v>232</v>
      </c>
      <c r="H222" s="96"/>
      <c r="I222" s="451"/>
    </row>
    <row r="223" spans="2:9" ht="12.75">
      <c r="B223" s="570">
        <v>18</v>
      </c>
      <c r="C223" s="555" t="s">
        <v>240</v>
      </c>
      <c r="D223" s="662">
        <f>+F223</f>
        <v>42500</v>
      </c>
      <c r="E223" s="49">
        <v>2000</v>
      </c>
      <c r="F223" s="667">
        <f>SUM(F224:F226)</f>
        <v>42500</v>
      </c>
      <c r="G223" s="107"/>
      <c r="H223" s="96"/>
      <c r="I223" s="451"/>
    </row>
    <row r="224" spans="2:9" ht="12.75">
      <c r="B224" s="570"/>
      <c r="C224" s="553"/>
      <c r="D224" s="662"/>
      <c r="E224" s="280">
        <v>2101</v>
      </c>
      <c r="F224" s="616">
        <v>12500</v>
      </c>
      <c r="G224" s="107"/>
      <c r="H224" s="96"/>
      <c r="I224" s="451"/>
    </row>
    <row r="225" spans="2:9" ht="12.75">
      <c r="B225" s="570"/>
      <c r="C225" s="553"/>
      <c r="D225" s="662"/>
      <c r="E225" s="280">
        <v>2104</v>
      </c>
      <c r="F225" s="616">
        <v>0</v>
      </c>
      <c r="G225" s="107"/>
      <c r="H225" s="96"/>
      <c r="I225" s="451"/>
    </row>
    <row r="226" spans="2:9" ht="12.75">
      <c r="B226" s="570"/>
      <c r="C226" s="553"/>
      <c r="D226" s="662"/>
      <c r="E226" s="280">
        <v>2106</v>
      </c>
      <c r="F226" s="616">
        <v>30000</v>
      </c>
      <c r="G226" s="107"/>
      <c r="H226" s="96"/>
      <c r="I226" s="451"/>
    </row>
    <row r="227" spans="2:9" ht="25.5">
      <c r="B227" s="570">
        <v>19</v>
      </c>
      <c r="C227" s="555" t="s">
        <v>90</v>
      </c>
      <c r="D227" s="662">
        <f>+F227+F230</f>
        <v>5000</v>
      </c>
      <c r="E227" s="49">
        <v>2000</v>
      </c>
      <c r="F227" s="667">
        <f>SUM(F228:F229)</f>
        <v>5000</v>
      </c>
      <c r="G227" s="107"/>
      <c r="H227" s="96"/>
      <c r="I227" s="451"/>
    </row>
    <row r="228" spans="2:9" ht="12.75">
      <c r="B228" s="570"/>
      <c r="C228" s="553"/>
      <c r="D228" s="662"/>
      <c r="E228" s="280">
        <v>2101</v>
      </c>
      <c r="F228" s="616">
        <v>5000</v>
      </c>
      <c r="G228" s="107"/>
      <c r="H228" s="96"/>
      <c r="I228" s="451"/>
    </row>
    <row r="229" spans="2:9" ht="12.75">
      <c r="B229" s="570"/>
      <c r="C229" s="553"/>
      <c r="D229" s="662"/>
      <c r="E229" s="280">
        <v>2104</v>
      </c>
      <c r="F229" s="616">
        <v>0</v>
      </c>
      <c r="G229" s="107"/>
      <c r="H229" s="96"/>
      <c r="I229" s="451"/>
    </row>
    <row r="230" spans="2:9" ht="12.75">
      <c r="B230" s="570"/>
      <c r="C230" s="553"/>
      <c r="D230" s="662"/>
      <c r="E230" s="49">
        <v>3000</v>
      </c>
      <c r="F230" s="667">
        <f>SUM(F231:F232)</f>
        <v>0</v>
      </c>
      <c r="G230" s="107"/>
      <c r="H230" s="96"/>
      <c r="I230" s="451"/>
    </row>
    <row r="231" spans="2:9" ht="12.75">
      <c r="B231" s="570"/>
      <c r="C231" s="553"/>
      <c r="D231" s="662"/>
      <c r="E231" s="44">
        <v>3401</v>
      </c>
      <c r="F231" s="675">
        <v>0</v>
      </c>
      <c r="G231" s="107"/>
      <c r="H231" s="96"/>
      <c r="I231" s="451"/>
    </row>
    <row r="232" spans="2:9" ht="12.75">
      <c r="B232" s="570"/>
      <c r="C232" s="553"/>
      <c r="D232" s="662"/>
      <c r="E232" s="44">
        <v>3604</v>
      </c>
      <c r="F232" s="675">
        <v>0</v>
      </c>
      <c r="G232" s="107"/>
      <c r="H232" s="96"/>
      <c r="I232" s="451"/>
    </row>
    <row r="233" spans="2:9" ht="25.5">
      <c r="B233" s="570">
        <v>20</v>
      </c>
      <c r="C233" s="555" t="s">
        <v>81</v>
      </c>
      <c r="D233" s="662">
        <f>+F233</f>
        <v>1000</v>
      </c>
      <c r="E233" s="49">
        <v>3000</v>
      </c>
      <c r="F233" s="667">
        <f>+F234</f>
        <v>1000</v>
      </c>
      <c r="G233" s="107"/>
      <c r="H233" s="96"/>
      <c r="I233" s="451"/>
    </row>
    <row r="234" spans="2:9" ht="12.75">
      <c r="B234" s="570"/>
      <c r="C234" s="553"/>
      <c r="D234" s="662"/>
      <c r="E234" s="44">
        <v>3602</v>
      </c>
      <c r="F234" s="675">
        <v>1000</v>
      </c>
      <c r="G234" s="107"/>
      <c r="H234" s="96"/>
      <c r="I234" s="451"/>
    </row>
    <row r="235" spans="2:9" ht="12.75">
      <c r="B235" s="570"/>
      <c r="C235" s="220" t="s">
        <v>716</v>
      </c>
      <c r="D235" s="698">
        <f>SUM(D236:D288)</f>
        <v>9369408.5</v>
      </c>
      <c r="E235" s="222"/>
      <c r="F235" s="666">
        <f>SUM(F236:F288)/2</f>
        <v>9369408.5</v>
      </c>
      <c r="G235" s="701"/>
      <c r="H235" s="96"/>
      <c r="I235" s="451"/>
    </row>
    <row r="236" spans="2:9" ht="38.25">
      <c r="B236" s="570">
        <v>21</v>
      </c>
      <c r="C236" s="379" t="s">
        <v>756</v>
      </c>
      <c r="D236" s="662">
        <f>+F236+F244</f>
        <v>3463182</v>
      </c>
      <c r="E236" s="49">
        <v>2000</v>
      </c>
      <c r="F236" s="667">
        <f>SUM(F237:F243)</f>
        <v>456000</v>
      </c>
      <c r="G236" s="109"/>
      <c r="H236" s="96"/>
      <c r="I236" s="451"/>
    </row>
    <row r="237" spans="2:9" ht="12.75">
      <c r="B237" s="570"/>
      <c r="C237" s="221"/>
      <c r="D237" s="662"/>
      <c r="E237" s="44">
        <v>2101</v>
      </c>
      <c r="F237" s="616">
        <f>135000+10000+10000</f>
        <v>155000</v>
      </c>
      <c r="G237" s="109"/>
      <c r="H237" s="96"/>
      <c r="I237" s="451"/>
    </row>
    <row r="238" spans="2:9" ht="12.75">
      <c r="B238" s="570"/>
      <c r="C238" s="221"/>
      <c r="D238" s="662"/>
      <c r="E238" s="44">
        <v>2104</v>
      </c>
      <c r="F238" s="616">
        <v>15000</v>
      </c>
      <c r="G238" s="109"/>
      <c r="H238" s="96"/>
      <c r="I238" s="451"/>
    </row>
    <row r="239" spans="2:9" ht="12.75">
      <c r="B239" s="570"/>
      <c r="C239" s="221"/>
      <c r="D239" s="662"/>
      <c r="E239" s="44">
        <v>2105</v>
      </c>
      <c r="F239" s="616">
        <f>115000+10000</f>
        <v>125000</v>
      </c>
      <c r="G239" s="109"/>
      <c r="H239" s="96"/>
      <c r="I239" s="451"/>
    </row>
    <row r="240" spans="2:9" ht="12.75">
      <c r="B240" s="570"/>
      <c r="C240" s="75"/>
      <c r="D240" s="662"/>
      <c r="E240" s="44">
        <v>2201</v>
      </c>
      <c r="F240" s="616">
        <f>90000+30000</f>
        <v>120000</v>
      </c>
      <c r="G240" s="109"/>
      <c r="H240" s="96"/>
      <c r="I240" s="451"/>
    </row>
    <row r="241" spans="2:9" ht="12.75">
      <c r="B241" s="570"/>
      <c r="C241" s="75"/>
      <c r="D241" s="662"/>
      <c r="E241" s="44">
        <v>2207</v>
      </c>
      <c r="F241" s="616">
        <v>1000</v>
      </c>
      <c r="G241" s="109"/>
      <c r="H241" s="96"/>
      <c r="I241" s="451"/>
    </row>
    <row r="242" spans="2:9" ht="12.75">
      <c r="B242" s="570"/>
      <c r="C242" s="75"/>
      <c r="D242" s="662"/>
      <c r="E242" s="44">
        <v>2302</v>
      </c>
      <c r="F242" s="616">
        <v>10000</v>
      </c>
      <c r="G242" s="109"/>
      <c r="H242" s="96"/>
      <c r="I242" s="451"/>
    </row>
    <row r="243" spans="2:9" ht="12.75">
      <c r="B243" s="570"/>
      <c r="C243" s="75"/>
      <c r="D243" s="662"/>
      <c r="E243" s="44">
        <v>2601</v>
      </c>
      <c r="F243" s="616">
        <v>30000</v>
      </c>
      <c r="G243" s="109"/>
      <c r="H243" s="96"/>
      <c r="I243" s="451"/>
    </row>
    <row r="244" spans="2:9" ht="12.75">
      <c r="B244" s="570"/>
      <c r="C244" s="75"/>
      <c r="D244" s="662"/>
      <c r="E244" s="49">
        <v>3000</v>
      </c>
      <c r="F244" s="667">
        <f>SUM(F245:F253)</f>
        <v>3007182</v>
      </c>
      <c r="G244" s="109"/>
      <c r="H244" s="96"/>
      <c r="I244" s="451"/>
    </row>
    <row r="245" spans="2:9" ht="12.75">
      <c r="B245" s="570"/>
      <c r="C245" s="75"/>
      <c r="D245" s="662"/>
      <c r="E245" s="44">
        <v>3201</v>
      </c>
      <c r="F245" s="616">
        <v>15000</v>
      </c>
      <c r="G245" s="109"/>
      <c r="H245" s="96"/>
      <c r="I245" s="451"/>
    </row>
    <row r="246" spans="2:9" ht="12.75">
      <c r="B246" s="570"/>
      <c r="C246" s="75"/>
      <c r="D246" s="662"/>
      <c r="E246" s="44">
        <v>3301</v>
      </c>
      <c r="F246" s="616">
        <v>455248</v>
      </c>
      <c r="G246" s="109"/>
      <c r="H246" s="96"/>
      <c r="I246" s="451"/>
    </row>
    <row r="247" spans="2:9" ht="12.75">
      <c r="B247" s="570"/>
      <c r="C247" s="75"/>
      <c r="D247" s="662"/>
      <c r="E247" s="44">
        <v>3303</v>
      </c>
      <c r="F247" s="616">
        <v>50934</v>
      </c>
      <c r="G247" s="109"/>
      <c r="H247" s="96"/>
      <c r="I247" s="451"/>
    </row>
    <row r="248" spans="2:9" ht="12.75">
      <c r="B248" s="570"/>
      <c r="C248" s="75"/>
      <c r="D248" s="662"/>
      <c r="E248" s="44">
        <v>3402</v>
      </c>
      <c r="F248" s="616">
        <v>450000</v>
      </c>
      <c r="G248" s="109"/>
      <c r="H248" s="96"/>
      <c r="I248" s="451"/>
    </row>
    <row r="249" spans="2:9" ht="12.75">
      <c r="B249" s="570"/>
      <c r="C249" s="75"/>
      <c r="D249" s="662"/>
      <c r="E249" s="44">
        <v>3604</v>
      </c>
      <c r="F249" s="616">
        <v>50000</v>
      </c>
      <c r="G249" s="109"/>
      <c r="H249" s="96"/>
      <c r="I249" s="451"/>
    </row>
    <row r="250" spans="2:9" ht="12.75">
      <c r="B250" s="570"/>
      <c r="C250" s="75"/>
      <c r="D250" s="662"/>
      <c r="E250" s="44">
        <v>3701</v>
      </c>
      <c r="F250" s="616">
        <v>100000</v>
      </c>
      <c r="G250" s="109" t="s">
        <v>232</v>
      </c>
      <c r="H250" s="96"/>
      <c r="I250" s="451"/>
    </row>
    <row r="251" spans="2:9" ht="12.75">
      <c r="B251" s="570"/>
      <c r="C251" s="75"/>
      <c r="D251" s="662"/>
      <c r="E251" s="44">
        <v>3702</v>
      </c>
      <c r="F251" s="616">
        <v>74000</v>
      </c>
      <c r="G251" s="109" t="s">
        <v>232</v>
      </c>
      <c r="H251" s="96"/>
      <c r="I251" s="451"/>
    </row>
    <row r="252" spans="2:9" ht="12.75">
      <c r="B252" s="570"/>
      <c r="C252" s="75"/>
      <c r="D252" s="662"/>
      <c r="E252" s="44">
        <v>3703</v>
      </c>
      <c r="F252" s="616">
        <v>12000</v>
      </c>
      <c r="G252" s="109"/>
      <c r="H252" s="96"/>
      <c r="I252" s="451"/>
    </row>
    <row r="253" spans="2:9" ht="12.75">
      <c r="B253" s="570"/>
      <c r="C253" s="75"/>
      <c r="D253" s="662"/>
      <c r="E253" s="44">
        <v>3907</v>
      </c>
      <c r="F253" s="616">
        <v>1800000</v>
      </c>
      <c r="G253" s="109"/>
      <c r="H253" s="96"/>
      <c r="I253" s="451"/>
    </row>
    <row r="254" spans="2:9" ht="12.75">
      <c r="B254" s="570">
        <v>22</v>
      </c>
      <c r="C254" s="555" t="s">
        <v>781</v>
      </c>
      <c r="D254" s="662">
        <f>+F254</f>
        <v>5135313</v>
      </c>
      <c r="E254" s="49">
        <v>8000</v>
      </c>
      <c r="F254" s="667">
        <f>SUM(F255:F256)</f>
        <v>5135313</v>
      </c>
      <c r="G254" s="109"/>
      <c r="H254" s="96"/>
      <c r="I254" s="451"/>
    </row>
    <row r="255" spans="2:9" ht="12.75">
      <c r="B255" s="570"/>
      <c r="C255" s="221"/>
      <c r="D255" s="662"/>
      <c r="E255" s="44">
        <v>8102</v>
      </c>
      <c r="F255" s="675">
        <v>1099473</v>
      </c>
      <c r="G255" s="109"/>
      <c r="H255" s="96"/>
      <c r="I255" s="451"/>
    </row>
    <row r="256" spans="2:9" ht="12.75">
      <c r="B256" s="570"/>
      <c r="C256" s="76"/>
      <c r="D256" s="662"/>
      <c r="E256" s="44">
        <v>8105</v>
      </c>
      <c r="F256" s="675">
        <v>4035840</v>
      </c>
      <c r="G256" s="109"/>
      <c r="H256" s="96"/>
      <c r="I256" s="451"/>
    </row>
    <row r="257" spans="2:9" ht="76.5">
      <c r="B257" s="570">
        <v>23</v>
      </c>
      <c r="C257" s="379" t="s">
        <v>282</v>
      </c>
      <c r="D257" s="662">
        <f>+F257</f>
        <v>75000</v>
      </c>
      <c r="E257" s="49">
        <v>2000</v>
      </c>
      <c r="F257" s="667">
        <f>SUM(F258:F259)</f>
        <v>75000</v>
      </c>
      <c r="G257" s="109"/>
      <c r="H257" s="96"/>
      <c r="I257" s="451"/>
    </row>
    <row r="258" spans="2:9" ht="12.75">
      <c r="B258" s="570"/>
      <c r="C258" s="75"/>
      <c r="D258" s="662"/>
      <c r="E258" s="44">
        <v>2101</v>
      </c>
      <c r="F258" s="675">
        <f>6000+1000+1000+1000+2000</f>
        <v>11000</v>
      </c>
      <c r="G258" s="109"/>
      <c r="H258" s="96"/>
      <c r="I258" s="451"/>
    </row>
    <row r="259" spans="2:9" ht="12.75">
      <c r="B259" s="570"/>
      <c r="C259" s="75"/>
      <c r="D259" s="662"/>
      <c r="E259" s="44">
        <v>2105</v>
      </c>
      <c r="F259" s="675">
        <f>50000+3000+3000+4000+4000</f>
        <v>64000</v>
      </c>
      <c r="G259" s="109"/>
      <c r="H259" s="96"/>
      <c r="I259" s="451"/>
    </row>
    <row r="260" spans="2:9" ht="25.5">
      <c r="B260" s="570">
        <v>24</v>
      </c>
      <c r="C260" s="378" t="s">
        <v>308</v>
      </c>
      <c r="D260" s="662">
        <f>+F260+F265</f>
        <v>143040</v>
      </c>
      <c r="E260" s="49">
        <v>2000</v>
      </c>
      <c r="F260" s="667">
        <f>SUM(F261:F264)</f>
        <v>79000</v>
      </c>
      <c r="G260" s="109"/>
      <c r="H260" s="96"/>
      <c r="I260" s="451"/>
    </row>
    <row r="261" spans="2:9" ht="12.75">
      <c r="B261" s="570"/>
      <c r="C261" s="84"/>
      <c r="D261" s="662"/>
      <c r="E261" s="44">
        <v>2101</v>
      </c>
      <c r="F261" s="675">
        <v>3000</v>
      </c>
      <c r="G261" s="109"/>
      <c r="H261" s="96"/>
      <c r="I261" s="451"/>
    </row>
    <row r="262" spans="2:9" ht="12.75">
      <c r="B262" s="570"/>
      <c r="C262" s="75"/>
      <c r="D262" s="662"/>
      <c r="E262" s="44">
        <v>2104</v>
      </c>
      <c r="F262" s="675">
        <v>3000</v>
      </c>
      <c r="G262" s="109"/>
      <c r="H262" s="96"/>
      <c r="I262" s="451"/>
    </row>
    <row r="263" spans="2:9" ht="12.75">
      <c r="B263" s="570"/>
      <c r="C263" s="75"/>
      <c r="D263" s="662"/>
      <c r="E263" s="44">
        <v>2201</v>
      </c>
      <c r="F263" s="675">
        <v>10000</v>
      </c>
      <c r="G263" s="109"/>
      <c r="H263" s="96"/>
      <c r="I263" s="451"/>
    </row>
    <row r="264" spans="2:9" ht="12.75">
      <c r="B264" s="570"/>
      <c r="C264" s="75"/>
      <c r="D264" s="662"/>
      <c r="E264" s="44">
        <v>2601</v>
      </c>
      <c r="F264" s="675">
        <v>63000</v>
      </c>
      <c r="G264" s="109" t="s">
        <v>154</v>
      </c>
      <c r="H264" s="96"/>
      <c r="I264" s="451"/>
    </row>
    <row r="265" spans="2:9" ht="12.75">
      <c r="B265" s="570"/>
      <c r="C265" s="75"/>
      <c r="D265" s="662"/>
      <c r="E265" s="49">
        <v>3000</v>
      </c>
      <c r="F265" s="667">
        <f>SUM(F266:F268)</f>
        <v>64040</v>
      </c>
      <c r="G265" s="109"/>
      <c r="H265" s="96"/>
      <c r="I265" s="451"/>
    </row>
    <row r="266" spans="2:9" ht="12.75">
      <c r="B266" s="570"/>
      <c r="C266" s="75"/>
      <c r="D266" s="662"/>
      <c r="E266" s="44">
        <v>3702</v>
      </c>
      <c r="F266" s="616">
        <v>41000</v>
      </c>
      <c r="G266" s="109" t="s">
        <v>232</v>
      </c>
      <c r="H266" s="96"/>
      <c r="I266" s="451"/>
    </row>
    <row r="267" spans="2:9" ht="12.75">
      <c r="B267" s="570"/>
      <c r="C267" s="75"/>
      <c r="D267" s="662"/>
      <c r="E267" s="44">
        <v>3703</v>
      </c>
      <c r="F267" s="616">
        <v>18040</v>
      </c>
      <c r="G267" s="109"/>
      <c r="H267" s="96"/>
      <c r="I267" s="451"/>
    </row>
    <row r="268" spans="2:9" ht="12.75">
      <c r="B268" s="570"/>
      <c r="C268" s="75"/>
      <c r="D268" s="662"/>
      <c r="E268" s="44">
        <v>3903</v>
      </c>
      <c r="F268" s="616">
        <v>5000</v>
      </c>
      <c r="G268" s="109"/>
      <c r="H268" s="96"/>
      <c r="I268" s="451"/>
    </row>
    <row r="269" spans="2:9" ht="12.75">
      <c r="B269" s="570">
        <v>25</v>
      </c>
      <c r="C269" s="378" t="s">
        <v>676</v>
      </c>
      <c r="D269" s="662">
        <f>+F269</f>
        <v>1000</v>
      </c>
      <c r="E269" s="49">
        <v>2000</v>
      </c>
      <c r="F269" s="667">
        <f>SUM(F270:F270)</f>
        <v>1000</v>
      </c>
      <c r="G269" s="109"/>
      <c r="H269" s="96"/>
      <c r="I269" s="451"/>
    </row>
    <row r="270" spans="2:9" ht="12.75">
      <c r="B270" s="570"/>
      <c r="C270" s="84"/>
      <c r="D270" s="662"/>
      <c r="E270" s="44">
        <v>2101</v>
      </c>
      <c r="F270" s="675">
        <v>1000</v>
      </c>
      <c r="G270" s="109"/>
      <c r="H270" s="96"/>
      <c r="I270" s="451"/>
    </row>
    <row r="271" spans="2:9" ht="25.5">
      <c r="B271" s="570">
        <v>26</v>
      </c>
      <c r="C271" s="378" t="s">
        <v>309</v>
      </c>
      <c r="D271" s="662">
        <f>+F271</f>
        <v>50000</v>
      </c>
      <c r="E271" s="49">
        <v>3000</v>
      </c>
      <c r="F271" s="667">
        <f>SUM(F272)</f>
        <v>50000</v>
      </c>
      <c r="G271" s="109"/>
      <c r="H271" s="96"/>
      <c r="I271" s="451"/>
    </row>
    <row r="272" spans="2:9" ht="12.75">
      <c r="B272" s="570"/>
      <c r="C272" s="84"/>
      <c r="D272" s="662"/>
      <c r="E272" s="44">
        <v>3303</v>
      </c>
      <c r="F272" s="675">
        <v>50000</v>
      </c>
      <c r="G272" s="109"/>
      <c r="H272" s="96"/>
      <c r="I272" s="451"/>
    </row>
    <row r="273" spans="2:9" ht="12.75">
      <c r="B273" s="570">
        <v>27</v>
      </c>
      <c r="C273" s="378" t="s">
        <v>707</v>
      </c>
      <c r="D273" s="662">
        <f>+F273</f>
        <v>150000</v>
      </c>
      <c r="E273" s="49">
        <v>3000</v>
      </c>
      <c r="F273" s="667">
        <f>SUM(F274)</f>
        <v>150000</v>
      </c>
      <c r="G273" s="109"/>
      <c r="H273" s="96"/>
      <c r="I273" s="451"/>
    </row>
    <row r="274" spans="2:9" ht="12.75">
      <c r="B274" s="570"/>
      <c r="C274" s="84"/>
      <c r="D274" s="662"/>
      <c r="E274" s="44">
        <v>3303</v>
      </c>
      <c r="F274" s="616">
        <v>150000</v>
      </c>
      <c r="G274" s="109"/>
      <c r="H274" s="96"/>
      <c r="I274" s="451"/>
    </row>
    <row r="275" spans="2:9" ht="12.75">
      <c r="B275" s="570">
        <v>28</v>
      </c>
      <c r="C275" s="378" t="s">
        <v>709</v>
      </c>
      <c r="D275" s="662">
        <f>+F275+F277</f>
        <v>83000</v>
      </c>
      <c r="E275" s="49">
        <v>3000</v>
      </c>
      <c r="F275" s="611">
        <f>SUM(F276)</f>
        <v>80000</v>
      </c>
      <c r="G275" s="109"/>
      <c r="H275" s="96"/>
      <c r="I275" s="451"/>
    </row>
    <row r="276" spans="2:9" ht="12.75">
      <c r="B276" s="570"/>
      <c r="C276" s="84"/>
      <c r="D276" s="662"/>
      <c r="E276" s="44">
        <v>3303</v>
      </c>
      <c r="F276" s="616">
        <v>80000</v>
      </c>
      <c r="G276" s="109"/>
      <c r="H276" s="96"/>
      <c r="I276" s="451"/>
    </row>
    <row r="277" spans="2:9" ht="12.75">
      <c r="B277" s="570"/>
      <c r="C277" s="84"/>
      <c r="D277" s="662"/>
      <c r="E277" s="44">
        <v>5000</v>
      </c>
      <c r="F277" s="611">
        <f>SUM(F278)</f>
        <v>3000</v>
      </c>
      <c r="G277" s="109"/>
      <c r="H277" s="96"/>
      <c r="I277" s="451"/>
    </row>
    <row r="278" spans="2:9" ht="12.75">
      <c r="B278" s="570"/>
      <c r="C278" s="84"/>
      <c r="D278" s="662"/>
      <c r="E278" s="44">
        <v>5204</v>
      </c>
      <c r="F278" s="616">
        <v>3000</v>
      </c>
      <c r="G278" s="109"/>
      <c r="H278" s="96"/>
      <c r="I278" s="451"/>
    </row>
    <row r="279" spans="2:9" ht="12.75">
      <c r="B279" s="570">
        <v>29</v>
      </c>
      <c r="C279" s="378" t="s">
        <v>711</v>
      </c>
      <c r="D279" s="662">
        <f>+F279+F281</f>
        <v>113873.5</v>
      </c>
      <c r="E279" s="49">
        <v>2000</v>
      </c>
      <c r="F279" s="611">
        <f>+F280</f>
        <v>7500</v>
      </c>
      <c r="G279" s="109"/>
      <c r="H279" s="96"/>
      <c r="I279" s="451"/>
    </row>
    <row r="280" spans="2:9" ht="12.75">
      <c r="B280" s="570"/>
      <c r="C280" s="379"/>
      <c r="D280" s="662"/>
      <c r="E280" s="44">
        <v>2601</v>
      </c>
      <c r="F280" s="616">
        <v>7500</v>
      </c>
      <c r="G280" s="109"/>
      <c r="H280" s="96"/>
      <c r="I280" s="451"/>
    </row>
    <row r="281" spans="2:9" ht="12.75">
      <c r="B281" s="570"/>
      <c r="C281" s="379"/>
      <c r="D281" s="662"/>
      <c r="E281" s="49">
        <v>3000</v>
      </c>
      <c r="F281" s="611">
        <f>SUM(F282:F284)</f>
        <v>106373.5</v>
      </c>
      <c r="G281" s="109"/>
      <c r="H281" s="96"/>
      <c r="I281" s="451"/>
    </row>
    <row r="282" spans="2:9" ht="12.75">
      <c r="B282" s="570"/>
      <c r="C282" s="379"/>
      <c r="D282" s="662"/>
      <c r="E282" s="44">
        <v>3303</v>
      </c>
      <c r="F282" s="616">
        <v>95873.5</v>
      </c>
      <c r="G282" s="109"/>
      <c r="H282" s="96"/>
      <c r="I282" s="451"/>
    </row>
    <row r="283" spans="2:9" ht="12.75">
      <c r="B283" s="570"/>
      <c r="C283" s="379"/>
      <c r="D283" s="662"/>
      <c r="E283" s="44">
        <v>3702</v>
      </c>
      <c r="F283" s="616">
        <v>7500</v>
      </c>
      <c r="G283" s="109"/>
      <c r="H283" s="96"/>
      <c r="I283" s="451"/>
    </row>
    <row r="284" spans="2:9" ht="12.75">
      <c r="B284" s="570"/>
      <c r="C284" s="84"/>
      <c r="D284" s="662"/>
      <c r="E284" s="44">
        <v>3703</v>
      </c>
      <c r="F284" s="616">
        <v>3000</v>
      </c>
      <c r="G284" s="109"/>
      <c r="H284" s="96"/>
      <c r="I284" s="451"/>
    </row>
    <row r="285" spans="2:9" ht="12.75">
      <c r="B285" s="570">
        <v>30</v>
      </c>
      <c r="C285" s="378" t="s">
        <v>713</v>
      </c>
      <c r="D285" s="662">
        <f>+F285</f>
        <v>5000</v>
      </c>
      <c r="E285" s="49">
        <v>3000</v>
      </c>
      <c r="F285" s="611">
        <f>SUM(F286)</f>
        <v>5000</v>
      </c>
      <c r="G285" s="109"/>
      <c r="H285" s="96"/>
      <c r="I285" s="451"/>
    </row>
    <row r="286" spans="2:9" ht="12.75">
      <c r="B286" s="570"/>
      <c r="C286" s="84"/>
      <c r="D286" s="662"/>
      <c r="E286" s="44">
        <v>3303</v>
      </c>
      <c r="F286" s="616">
        <v>5000</v>
      </c>
      <c r="G286" s="109"/>
      <c r="H286" s="96"/>
      <c r="I286" s="451"/>
    </row>
    <row r="287" spans="2:9" ht="25.5">
      <c r="B287" s="570">
        <v>31</v>
      </c>
      <c r="C287" s="378" t="s">
        <v>679</v>
      </c>
      <c r="D287" s="662">
        <f>+F287</f>
        <v>150000</v>
      </c>
      <c r="E287" s="49">
        <v>3000</v>
      </c>
      <c r="F287" s="667">
        <f>SUM(F288)</f>
        <v>150000</v>
      </c>
      <c r="G287" s="109"/>
      <c r="H287" s="96"/>
      <c r="I287" s="451"/>
    </row>
    <row r="288" spans="2:9" ht="12.75">
      <c r="B288" s="571"/>
      <c r="C288" s="380"/>
      <c r="D288" s="662"/>
      <c r="E288" s="44">
        <v>3303</v>
      </c>
      <c r="F288" s="616">
        <v>150000</v>
      </c>
      <c r="G288" s="109"/>
      <c r="H288" s="96"/>
      <c r="I288" s="451"/>
    </row>
    <row r="289" spans="2:9" ht="12.75">
      <c r="B289" s="570"/>
      <c r="C289" s="594" t="s">
        <v>110</v>
      </c>
      <c r="D289" s="698">
        <f>SUM(D290:D332)</f>
        <v>1380244</v>
      </c>
      <c r="E289" s="222"/>
      <c r="F289" s="666">
        <f>SUM(F290:F332)/2</f>
        <v>1380244</v>
      </c>
      <c r="G289" s="702"/>
      <c r="H289" s="96"/>
      <c r="I289" s="451"/>
    </row>
    <row r="290" spans="2:42" ht="25.5">
      <c r="B290" s="570">
        <v>32</v>
      </c>
      <c r="C290" s="224" t="s">
        <v>682</v>
      </c>
      <c r="D290" s="662">
        <f>+F290+F300</f>
        <v>515294</v>
      </c>
      <c r="E290" s="559">
        <v>2000</v>
      </c>
      <c r="F290" s="676">
        <f>SUM(F291:F299)</f>
        <v>224687</v>
      </c>
      <c r="G290" s="560"/>
      <c r="H290" s="96"/>
      <c r="I290" s="25"/>
      <c r="J290" s="388"/>
      <c r="K290" s="388"/>
      <c r="L290" s="388"/>
      <c r="M290" s="388"/>
      <c r="N290" s="388"/>
      <c r="AC290"/>
      <c r="AD290"/>
      <c r="AE290"/>
      <c r="AF290"/>
      <c r="AG290"/>
      <c r="AH290"/>
      <c r="AI290"/>
      <c r="AJ290"/>
      <c r="AK290"/>
      <c r="AL290"/>
      <c r="AM290"/>
      <c r="AN290"/>
      <c r="AO290"/>
      <c r="AP290"/>
    </row>
    <row r="291" spans="2:42" ht="12.75">
      <c r="B291" s="570"/>
      <c r="C291" s="75"/>
      <c r="D291" s="662"/>
      <c r="E291" s="280">
        <v>2101</v>
      </c>
      <c r="F291" s="677">
        <v>73531</v>
      </c>
      <c r="G291" s="560"/>
      <c r="H291" s="96"/>
      <c r="I291" s="25"/>
      <c r="J291" s="388"/>
      <c r="K291" s="388"/>
      <c r="L291" s="388"/>
      <c r="M291" s="388"/>
      <c r="N291" s="388"/>
      <c r="AC291"/>
      <c r="AD291"/>
      <c r="AE291"/>
      <c r="AF291"/>
      <c r="AG291"/>
      <c r="AH291"/>
      <c r="AI291"/>
      <c r="AJ291"/>
      <c r="AK291"/>
      <c r="AL291"/>
      <c r="AM291"/>
      <c r="AN291"/>
      <c r="AO291"/>
      <c r="AP291"/>
    </row>
    <row r="292" spans="2:42" ht="12.75">
      <c r="B292" s="570"/>
      <c r="C292" s="75"/>
      <c r="D292" s="662"/>
      <c r="E292" s="280">
        <v>2104</v>
      </c>
      <c r="F292" s="677">
        <v>16855</v>
      </c>
      <c r="G292" s="560"/>
      <c r="H292" s="96"/>
      <c r="I292" s="25"/>
      <c r="J292" s="388"/>
      <c r="K292" s="388"/>
      <c r="L292" s="388"/>
      <c r="M292" s="388"/>
      <c r="N292" s="388"/>
      <c r="AC292"/>
      <c r="AD292"/>
      <c r="AE292"/>
      <c r="AF292"/>
      <c r="AG292"/>
      <c r="AH292"/>
      <c r="AI292"/>
      <c r="AJ292"/>
      <c r="AK292"/>
      <c r="AL292"/>
      <c r="AM292"/>
      <c r="AN292"/>
      <c r="AO292"/>
      <c r="AP292"/>
    </row>
    <row r="293" spans="2:42" ht="12.75">
      <c r="B293" s="570"/>
      <c r="C293" s="75"/>
      <c r="D293" s="662"/>
      <c r="E293" s="280">
        <v>2105</v>
      </c>
      <c r="F293" s="677">
        <v>17620</v>
      </c>
      <c r="G293" s="560"/>
      <c r="H293" s="96"/>
      <c r="I293" s="25"/>
      <c r="J293" s="388"/>
      <c r="K293" s="388"/>
      <c r="L293" s="388"/>
      <c r="M293" s="388"/>
      <c r="N293" s="388"/>
      <c r="AC293"/>
      <c r="AD293"/>
      <c r="AE293"/>
      <c r="AF293"/>
      <c r="AG293"/>
      <c r="AH293"/>
      <c r="AI293"/>
      <c r="AJ293"/>
      <c r="AK293"/>
      <c r="AL293"/>
      <c r="AM293"/>
      <c r="AN293"/>
      <c r="AO293"/>
      <c r="AP293"/>
    </row>
    <row r="294" spans="2:42" ht="12.75">
      <c r="B294" s="570"/>
      <c r="C294" s="75"/>
      <c r="D294" s="662"/>
      <c r="E294" s="280">
        <v>2106</v>
      </c>
      <c r="F294" s="677">
        <v>13542</v>
      </c>
      <c r="G294" s="560"/>
      <c r="H294" s="96"/>
      <c r="I294" s="25"/>
      <c r="J294" s="388"/>
      <c r="K294" s="388"/>
      <c r="L294" s="388"/>
      <c r="M294" s="388"/>
      <c r="N294" s="388"/>
      <c r="AC294"/>
      <c r="AD294"/>
      <c r="AE294"/>
      <c r="AF294"/>
      <c r="AG294"/>
      <c r="AH294"/>
      <c r="AI294"/>
      <c r="AJ294"/>
      <c r="AK294"/>
      <c r="AL294"/>
      <c r="AM294"/>
      <c r="AN294"/>
      <c r="AO294"/>
      <c r="AP294"/>
    </row>
    <row r="295" spans="2:42" ht="12.75">
      <c r="B295" s="570"/>
      <c r="C295" s="75"/>
      <c r="D295" s="662"/>
      <c r="E295" s="280">
        <v>2201</v>
      </c>
      <c r="F295" s="677">
        <v>55211</v>
      </c>
      <c r="G295" s="560"/>
      <c r="H295" s="96"/>
      <c r="I295" s="25"/>
      <c r="J295" s="388"/>
      <c r="K295" s="388"/>
      <c r="L295" s="388"/>
      <c r="M295" s="388"/>
      <c r="N295" s="388"/>
      <c r="AC295"/>
      <c r="AD295"/>
      <c r="AE295"/>
      <c r="AF295"/>
      <c r="AG295"/>
      <c r="AH295"/>
      <c r="AI295"/>
      <c r="AJ295"/>
      <c r="AK295"/>
      <c r="AL295"/>
      <c r="AM295"/>
      <c r="AN295"/>
      <c r="AO295"/>
      <c r="AP295"/>
    </row>
    <row r="296" spans="2:42" ht="12.75">
      <c r="B296" s="570"/>
      <c r="C296" s="75"/>
      <c r="D296" s="662"/>
      <c r="E296" s="280">
        <v>2206</v>
      </c>
      <c r="F296" s="677">
        <v>344</v>
      </c>
      <c r="G296" s="560"/>
      <c r="H296" s="96"/>
      <c r="I296" s="25"/>
      <c r="J296" s="388"/>
      <c r="K296" s="388"/>
      <c r="L296" s="388"/>
      <c r="M296" s="388"/>
      <c r="N296" s="388"/>
      <c r="AC296"/>
      <c r="AD296"/>
      <c r="AE296"/>
      <c r="AF296"/>
      <c r="AG296"/>
      <c r="AH296"/>
      <c r="AI296"/>
      <c r="AJ296"/>
      <c r="AK296"/>
      <c r="AL296"/>
      <c r="AM296"/>
      <c r="AN296"/>
      <c r="AO296"/>
      <c r="AP296"/>
    </row>
    <row r="297" spans="2:42" ht="12.75">
      <c r="B297" s="570"/>
      <c r="C297" s="75"/>
      <c r="D297" s="662"/>
      <c r="E297" s="280">
        <v>2304</v>
      </c>
      <c r="F297" s="677">
        <v>955</v>
      </c>
      <c r="G297" s="560"/>
      <c r="H297" s="96"/>
      <c r="I297" s="25"/>
      <c r="J297" s="388"/>
      <c r="K297" s="388"/>
      <c r="L297" s="388"/>
      <c r="M297" s="388"/>
      <c r="N297" s="388"/>
      <c r="AC297"/>
      <c r="AD297"/>
      <c r="AE297"/>
      <c r="AF297"/>
      <c r="AG297"/>
      <c r="AH297"/>
      <c r="AI297"/>
      <c r="AJ297"/>
      <c r="AK297"/>
      <c r="AL297"/>
      <c r="AM297"/>
      <c r="AN297"/>
      <c r="AO297"/>
      <c r="AP297"/>
    </row>
    <row r="298" spans="2:42" ht="12.75">
      <c r="B298" s="570"/>
      <c r="C298" s="75"/>
      <c r="D298" s="662"/>
      <c r="E298" s="280">
        <v>2403</v>
      </c>
      <c r="F298" s="677">
        <v>9845</v>
      </c>
      <c r="G298" s="560"/>
      <c r="H298" s="96"/>
      <c r="I298" s="25"/>
      <c r="J298" s="388"/>
      <c r="K298" s="388"/>
      <c r="L298" s="388"/>
      <c r="M298" s="388"/>
      <c r="N298" s="388"/>
      <c r="AC298"/>
      <c r="AD298"/>
      <c r="AE298"/>
      <c r="AF298"/>
      <c r="AG298"/>
      <c r="AH298"/>
      <c r="AI298"/>
      <c r="AJ298"/>
      <c r="AK298"/>
      <c r="AL298"/>
      <c r="AM298"/>
      <c r="AN298"/>
      <c r="AO298"/>
      <c r="AP298"/>
    </row>
    <row r="299" spans="2:42" ht="12.75">
      <c r="B299" s="570"/>
      <c r="C299" s="75"/>
      <c r="D299" s="662"/>
      <c r="E299" s="280">
        <v>2601</v>
      </c>
      <c r="F299" s="677">
        <v>36784</v>
      </c>
      <c r="G299" s="560" t="s">
        <v>154</v>
      </c>
      <c r="H299" s="96"/>
      <c r="I299" s="25"/>
      <c r="J299" s="388"/>
      <c r="K299" s="388"/>
      <c r="L299" s="388"/>
      <c r="M299" s="388"/>
      <c r="N299" s="388"/>
      <c r="AC299"/>
      <c r="AD299"/>
      <c r="AE299"/>
      <c r="AF299"/>
      <c r="AG299"/>
      <c r="AH299"/>
      <c r="AI299"/>
      <c r="AJ299"/>
      <c r="AK299"/>
      <c r="AL299"/>
      <c r="AM299"/>
      <c r="AN299"/>
      <c r="AO299"/>
      <c r="AP299"/>
    </row>
    <row r="300" spans="2:42" ht="12.75">
      <c r="B300" s="570"/>
      <c r="C300" s="75"/>
      <c r="D300" s="662"/>
      <c r="E300" s="540">
        <v>3000</v>
      </c>
      <c r="F300" s="678">
        <f>SUM(F301:F307)</f>
        <v>290607</v>
      </c>
      <c r="G300" s="560"/>
      <c r="H300" s="96"/>
      <c r="I300" s="25"/>
      <c r="J300" s="388"/>
      <c r="K300" s="388"/>
      <c r="L300" s="388"/>
      <c r="M300" s="388"/>
      <c r="N300" s="388"/>
      <c r="AC300"/>
      <c r="AD300"/>
      <c r="AE300"/>
      <c r="AF300"/>
      <c r="AG300"/>
      <c r="AH300"/>
      <c r="AI300"/>
      <c r="AJ300"/>
      <c r="AK300"/>
      <c r="AL300"/>
      <c r="AM300"/>
      <c r="AN300"/>
      <c r="AO300"/>
      <c r="AP300"/>
    </row>
    <row r="301" spans="2:42" ht="12.75">
      <c r="B301" s="570"/>
      <c r="C301" s="75"/>
      <c r="D301" s="662"/>
      <c r="E301" s="280">
        <v>3103</v>
      </c>
      <c r="F301" s="677">
        <v>3800</v>
      </c>
      <c r="G301" s="560"/>
      <c r="H301" s="96"/>
      <c r="I301" s="25"/>
      <c r="J301" s="388"/>
      <c r="K301" s="388"/>
      <c r="L301" s="388"/>
      <c r="M301" s="388"/>
      <c r="N301" s="388"/>
      <c r="AC301"/>
      <c r="AD301"/>
      <c r="AE301"/>
      <c r="AF301"/>
      <c r="AG301"/>
      <c r="AH301"/>
      <c r="AI301"/>
      <c r="AJ301"/>
      <c r="AK301"/>
      <c r="AL301"/>
      <c r="AM301"/>
      <c r="AN301"/>
      <c r="AO301"/>
      <c r="AP301"/>
    </row>
    <row r="302" spans="2:42" ht="12.75">
      <c r="B302" s="570"/>
      <c r="C302" s="75"/>
      <c r="D302" s="662"/>
      <c r="E302" s="280">
        <v>3205</v>
      </c>
      <c r="F302" s="677">
        <v>12766</v>
      </c>
      <c r="G302" s="560"/>
      <c r="H302" s="96"/>
      <c r="I302" s="25"/>
      <c r="J302" s="388"/>
      <c r="K302" s="388"/>
      <c r="L302" s="388"/>
      <c r="M302" s="388"/>
      <c r="N302" s="388"/>
      <c r="AC302"/>
      <c r="AD302"/>
      <c r="AE302"/>
      <c r="AF302"/>
      <c r="AG302"/>
      <c r="AH302"/>
      <c r="AI302"/>
      <c r="AJ302"/>
      <c r="AK302"/>
      <c r="AL302"/>
      <c r="AM302"/>
      <c r="AN302"/>
      <c r="AO302"/>
      <c r="AP302"/>
    </row>
    <row r="303" spans="2:42" ht="12.75">
      <c r="B303" s="570"/>
      <c r="C303" s="75"/>
      <c r="D303" s="662"/>
      <c r="E303" s="280">
        <v>3401</v>
      </c>
      <c r="F303" s="677">
        <v>1624</v>
      </c>
      <c r="G303" s="560"/>
      <c r="H303" s="96"/>
      <c r="I303" s="25"/>
      <c r="J303" s="388"/>
      <c r="K303" s="388"/>
      <c r="L303" s="388"/>
      <c r="M303" s="388"/>
      <c r="N303" s="388"/>
      <c r="AC303"/>
      <c r="AD303"/>
      <c r="AE303"/>
      <c r="AF303"/>
      <c r="AG303"/>
      <c r="AH303"/>
      <c r="AI303"/>
      <c r="AJ303"/>
      <c r="AK303"/>
      <c r="AL303"/>
      <c r="AM303"/>
      <c r="AN303"/>
      <c r="AO303"/>
      <c r="AP303"/>
    </row>
    <row r="304" spans="2:42" ht="12.75">
      <c r="B304" s="570"/>
      <c r="C304" s="75"/>
      <c r="D304" s="662"/>
      <c r="E304" s="280">
        <v>3701</v>
      </c>
      <c r="F304" s="677">
        <v>102600</v>
      </c>
      <c r="G304" s="560" t="s">
        <v>232</v>
      </c>
      <c r="H304" s="96"/>
      <c r="I304" s="25"/>
      <c r="J304" s="388"/>
      <c r="K304" s="388"/>
      <c r="L304" s="388"/>
      <c r="M304" s="388"/>
      <c r="N304" s="388"/>
      <c r="AC304"/>
      <c r="AD304"/>
      <c r="AE304"/>
      <c r="AF304"/>
      <c r="AG304"/>
      <c r="AH304"/>
      <c r="AI304"/>
      <c r="AJ304"/>
      <c r="AK304"/>
      <c r="AL304"/>
      <c r="AM304"/>
      <c r="AN304"/>
      <c r="AO304"/>
      <c r="AP304"/>
    </row>
    <row r="305" spans="2:42" ht="12.75">
      <c r="B305" s="570"/>
      <c r="C305" s="75"/>
      <c r="D305" s="662"/>
      <c r="E305" s="280">
        <v>3702</v>
      </c>
      <c r="F305" s="677">
        <v>45600</v>
      </c>
      <c r="G305" s="560" t="s">
        <v>232</v>
      </c>
      <c r="H305" s="96"/>
      <c r="I305" s="25"/>
      <c r="J305" s="388"/>
      <c r="K305" s="388"/>
      <c r="L305" s="388"/>
      <c r="M305" s="388"/>
      <c r="N305" s="388"/>
      <c r="AC305"/>
      <c r="AD305"/>
      <c r="AE305"/>
      <c r="AF305"/>
      <c r="AG305"/>
      <c r="AH305"/>
      <c r="AI305"/>
      <c r="AJ305"/>
      <c r="AK305"/>
      <c r="AL305"/>
      <c r="AM305"/>
      <c r="AN305"/>
      <c r="AO305"/>
      <c r="AP305"/>
    </row>
    <row r="306" spans="2:42" ht="12.75">
      <c r="B306" s="570"/>
      <c r="C306" s="75"/>
      <c r="D306" s="662"/>
      <c r="E306" s="280">
        <v>3801</v>
      </c>
      <c r="F306" s="677">
        <v>122547</v>
      </c>
      <c r="G306" s="560"/>
      <c r="H306" s="96"/>
      <c r="I306" s="25"/>
      <c r="J306" s="388"/>
      <c r="K306" s="388"/>
      <c r="L306" s="388"/>
      <c r="M306" s="388"/>
      <c r="N306" s="388"/>
      <c r="AC306"/>
      <c r="AD306"/>
      <c r="AE306"/>
      <c r="AF306"/>
      <c r="AG306"/>
      <c r="AH306"/>
      <c r="AI306"/>
      <c r="AJ306"/>
      <c r="AK306"/>
      <c r="AL306"/>
      <c r="AM306"/>
      <c r="AN306"/>
      <c r="AO306"/>
      <c r="AP306"/>
    </row>
    <row r="307" spans="2:42" ht="12.75">
      <c r="B307" s="570"/>
      <c r="C307" s="75"/>
      <c r="D307" s="662"/>
      <c r="E307" s="280">
        <v>3903</v>
      </c>
      <c r="F307" s="677">
        <v>1670</v>
      </c>
      <c r="G307" s="560"/>
      <c r="H307" s="96"/>
      <c r="I307" s="25"/>
      <c r="J307" s="388"/>
      <c r="K307" s="388"/>
      <c r="L307" s="388"/>
      <c r="M307" s="388"/>
      <c r="N307" s="388"/>
      <c r="AC307"/>
      <c r="AD307"/>
      <c r="AE307"/>
      <c r="AF307"/>
      <c r="AG307"/>
      <c r="AH307"/>
      <c r="AI307"/>
      <c r="AJ307"/>
      <c r="AK307"/>
      <c r="AL307"/>
      <c r="AM307"/>
      <c r="AN307"/>
      <c r="AO307"/>
      <c r="AP307"/>
    </row>
    <row r="308" spans="2:42" ht="25.5">
      <c r="B308" s="570">
        <v>33</v>
      </c>
      <c r="C308" s="394" t="s">
        <v>692</v>
      </c>
      <c r="D308" s="662">
        <f>+F308+F318</f>
        <v>2244</v>
      </c>
      <c r="E308" s="559">
        <v>2000</v>
      </c>
      <c r="F308" s="676">
        <f>SUM(F309:F317)</f>
        <v>2244</v>
      </c>
      <c r="G308" s="560"/>
      <c r="H308" s="96"/>
      <c r="I308" s="25"/>
      <c r="J308" s="388"/>
      <c r="K308" s="388"/>
      <c r="L308" s="388"/>
      <c r="M308" s="388"/>
      <c r="N308" s="388"/>
      <c r="AC308"/>
      <c r="AD308"/>
      <c r="AE308"/>
      <c r="AF308"/>
      <c r="AG308"/>
      <c r="AH308"/>
      <c r="AI308"/>
      <c r="AJ308"/>
      <c r="AK308"/>
      <c r="AL308"/>
      <c r="AM308"/>
      <c r="AN308"/>
      <c r="AO308"/>
      <c r="AP308"/>
    </row>
    <row r="309" spans="2:42" ht="12.75">
      <c r="B309" s="570"/>
      <c r="C309" s="84"/>
      <c r="D309" s="662"/>
      <c r="E309" s="280">
        <v>2101</v>
      </c>
      <c r="F309" s="679">
        <v>245</v>
      </c>
      <c r="G309" s="560"/>
      <c r="H309" s="96"/>
      <c r="I309" s="25"/>
      <c r="J309" s="388"/>
      <c r="K309" s="388"/>
      <c r="L309" s="388"/>
      <c r="M309" s="388"/>
      <c r="N309" s="388"/>
      <c r="AC309"/>
      <c r="AD309"/>
      <c r="AE309"/>
      <c r="AF309"/>
      <c r="AG309"/>
      <c r="AH309"/>
      <c r="AI309"/>
      <c r="AJ309"/>
      <c r="AK309"/>
      <c r="AL309"/>
      <c r="AM309"/>
      <c r="AN309"/>
      <c r="AO309"/>
      <c r="AP309"/>
    </row>
    <row r="310" spans="2:42" ht="12.75">
      <c r="B310" s="570"/>
      <c r="C310" s="84"/>
      <c r="D310" s="662"/>
      <c r="E310" s="280">
        <v>2104</v>
      </c>
      <c r="F310" s="679">
        <v>56</v>
      </c>
      <c r="G310" s="560"/>
      <c r="H310" s="96"/>
      <c r="I310" s="25"/>
      <c r="J310" s="388"/>
      <c r="K310" s="388"/>
      <c r="L310" s="388"/>
      <c r="M310" s="388"/>
      <c r="N310" s="388"/>
      <c r="AC310"/>
      <c r="AD310"/>
      <c r="AE310"/>
      <c r="AF310"/>
      <c r="AG310"/>
      <c r="AH310"/>
      <c r="AI310"/>
      <c r="AJ310"/>
      <c r="AK310"/>
      <c r="AL310"/>
      <c r="AM310"/>
      <c r="AN310"/>
      <c r="AO310"/>
      <c r="AP310"/>
    </row>
    <row r="311" spans="2:42" ht="12.75">
      <c r="B311" s="570"/>
      <c r="C311" s="84"/>
      <c r="D311" s="662"/>
      <c r="E311" s="280">
        <v>2105</v>
      </c>
      <c r="F311" s="679">
        <v>59</v>
      </c>
      <c r="G311" s="560"/>
      <c r="H311" s="96"/>
      <c r="I311" s="25"/>
      <c r="J311" s="388"/>
      <c r="K311" s="388"/>
      <c r="L311" s="388"/>
      <c r="M311" s="388"/>
      <c r="N311" s="388"/>
      <c r="AC311"/>
      <c r="AD311"/>
      <c r="AE311"/>
      <c r="AF311"/>
      <c r="AG311"/>
      <c r="AH311"/>
      <c r="AI311"/>
      <c r="AJ311"/>
      <c r="AK311"/>
      <c r="AL311"/>
      <c r="AM311"/>
      <c r="AN311"/>
      <c r="AO311"/>
      <c r="AP311"/>
    </row>
    <row r="312" spans="2:42" ht="12.75">
      <c r="B312" s="570"/>
      <c r="C312" s="84"/>
      <c r="D312" s="662"/>
      <c r="E312" s="280">
        <v>2106</v>
      </c>
      <c r="F312" s="679">
        <v>45</v>
      </c>
      <c r="G312" s="560"/>
      <c r="H312" s="96"/>
      <c r="I312" s="25"/>
      <c r="J312" s="388"/>
      <c r="K312" s="388"/>
      <c r="L312" s="388"/>
      <c r="M312" s="388"/>
      <c r="N312" s="388"/>
      <c r="AC312"/>
      <c r="AD312"/>
      <c r="AE312"/>
      <c r="AF312"/>
      <c r="AG312"/>
      <c r="AH312"/>
      <c r="AI312"/>
      <c r="AJ312"/>
      <c r="AK312"/>
      <c r="AL312"/>
      <c r="AM312"/>
      <c r="AN312"/>
      <c r="AO312"/>
      <c r="AP312"/>
    </row>
    <row r="313" spans="2:42" ht="12.75">
      <c r="B313" s="570"/>
      <c r="C313" s="84"/>
      <c r="D313" s="662"/>
      <c r="E313" s="280">
        <v>2201</v>
      </c>
      <c r="F313" s="679">
        <v>184</v>
      </c>
      <c r="G313" s="560"/>
      <c r="H313" s="96"/>
      <c r="I313" s="25"/>
      <c r="J313" s="388"/>
      <c r="K313" s="388"/>
      <c r="L313" s="388"/>
      <c r="M313" s="388"/>
      <c r="N313" s="388"/>
      <c r="AC313"/>
      <c r="AD313"/>
      <c r="AE313"/>
      <c r="AF313"/>
      <c r="AG313"/>
      <c r="AH313"/>
      <c r="AI313"/>
      <c r="AJ313"/>
      <c r="AK313"/>
      <c r="AL313"/>
      <c r="AM313"/>
      <c r="AN313"/>
      <c r="AO313"/>
      <c r="AP313"/>
    </row>
    <row r="314" spans="2:42" ht="12.75">
      <c r="B314" s="570"/>
      <c r="C314" s="84"/>
      <c r="D314" s="662"/>
      <c r="E314" s="280">
        <v>2206</v>
      </c>
      <c r="F314" s="679">
        <v>16</v>
      </c>
      <c r="G314" s="560"/>
      <c r="H314" s="96"/>
      <c r="I314" s="25"/>
      <c r="J314" s="388"/>
      <c r="K314" s="388"/>
      <c r="L314" s="388"/>
      <c r="M314" s="388"/>
      <c r="N314" s="388"/>
      <c r="AC314"/>
      <c r="AD314"/>
      <c r="AE314"/>
      <c r="AF314"/>
      <c r="AG314"/>
      <c r="AH314"/>
      <c r="AI314"/>
      <c r="AJ314"/>
      <c r="AK314"/>
      <c r="AL314"/>
      <c r="AM314"/>
      <c r="AN314"/>
      <c r="AO314"/>
      <c r="AP314"/>
    </row>
    <row r="315" spans="2:42" ht="12.75">
      <c r="B315" s="570"/>
      <c r="C315" s="84"/>
      <c r="D315" s="662"/>
      <c r="E315" s="280">
        <v>2304</v>
      </c>
      <c r="F315" s="679">
        <v>18</v>
      </c>
      <c r="G315" s="560"/>
      <c r="H315" s="96"/>
      <c r="I315" s="25"/>
      <c r="J315" s="388"/>
      <c r="K315" s="388"/>
      <c r="L315" s="388"/>
      <c r="M315" s="388"/>
      <c r="N315" s="388"/>
      <c r="AC315"/>
      <c r="AD315"/>
      <c r="AE315"/>
      <c r="AF315"/>
      <c r="AG315"/>
      <c r="AH315"/>
      <c r="AI315"/>
      <c r="AJ315"/>
      <c r="AK315"/>
      <c r="AL315"/>
      <c r="AM315"/>
      <c r="AN315"/>
      <c r="AO315"/>
      <c r="AP315"/>
    </row>
    <row r="316" spans="2:42" ht="12.75">
      <c r="B316" s="570"/>
      <c r="C316" s="84"/>
      <c r="D316" s="662"/>
      <c r="E316" s="280">
        <v>2403</v>
      </c>
      <c r="F316" s="679">
        <v>33</v>
      </c>
      <c r="G316" s="560"/>
      <c r="H316" s="96"/>
      <c r="I316" s="25"/>
      <c r="J316" s="388"/>
      <c r="K316" s="388"/>
      <c r="L316" s="388"/>
      <c r="M316" s="388"/>
      <c r="N316" s="388"/>
      <c r="AC316"/>
      <c r="AD316"/>
      <c r="AE316"/>
      <c r="AF316"/>
      <c r="AG316"/>
      <c r="AH316"/>
      <c r="AI316"/>
      <c r="AJ316"/>
      <c r="AK316"/>
      <c r="AL316"/>
      <c r="AM316"/>
      <c r="AN316"/>
      <c r="AO316"/>
      <c r="AP316"/>
    </row>
    <row r="317" spans="2:42" ht="12.75">
      <c r="B317" s="570"/>
      <c r="C317" s="84"/>
      <c r="D317" s="662"/>
      <c r="E317" s="280">
        <v>2601</v>
      </c>
      <c r="F317" s="679">
        <v>1588</v>
      </c>
      <c r="G317" s="560" t="s">
        <v>154</v>
      </c>
      <c r="H317" s="96"/>
      <c r="I317" s="25"/>
      <c r="J317" s="388"/>
      <c r="K317" s="388"/>
      <c r="L317" s="388"/>
      <c r="M317" s="388"/>
      <c r="N317" s="388"/>
      <c r="AC317"/>
      <c r="AD317"/>
      <c r="AE317"/>
      <c r="AF317"/>
      <c r="AG317"/>
      <c r="AH317"/>
      <c r="AI317"/>
      <c r="AJ317"/>
      <c r="AK317"/>
      <c r="AL317"/>
      <c r="AM317"/>
      <c r="AN317"/>
      <c r="AO317"/>
      <c r="AP317"/>
    </row>
    <row r="318" spans="2:42" ht="12.75">
      <c r="B318" s="570"/>
      <c r="C318" s="84"/>
      <c r="D318" s="662"/>
      <c r="E318" s="559">
        <v>3000</v>
      </c>
      <c r="F318" s="676">
        <f>SUM(F319:F319)</f>
        <v>0</v>
      </c>
      <c r="G318" s="560"/>
      <c r="H318" s="96"/>
      <c r="I318" s="25"/>
      <c r="J318" s="388"/>
      <c r="K318" s="388"/>
      <c r="L318" s="388"/>
      <c r="M318" s="388"/>
      <c r="N318" s="388"/>
      <c r="AC318"/>
      <c r="AD318"/>
      <c r="AE318"/>
      <c r="AF318"/>
      <c r="AG318"/>
      <c r="AH318"/>
      <c r="AI318"/>
      <c r="AJ318"/>
      <c r="AK318"/>
      <c r="AL318"/>
      <c r="AM318"/>
      <c r="AN318"/>
      <c r="AO318"/>
      <c r="AP318"/>
    </row>
    <row r="319" spans="2:42" ht="12.75">
      <c r="B319" s="570"/>
      <c r="C319" s="76"/>
      <c r="D319" s="662"/>
      <c r="E319" s="280">
        <v>3903</v>
      </c>
      <c r="F319" s="679">
        <v>0</v>
      </c>
      <c r="G319" s="560"/>
      <c r="H319" s="96"/>
      <c r="I319" s="25"/>
      <c r="J319" s="388"/>
      <c r="K319" s="388"/>
      <c r="L319" s="388"/>
      <c r="M319" s="388"/>
      <c r="N319" s="388"/>
      <c r="AC319"/>
      <c r="AD319"/>
      <c r="AE319"/>
      <c r="AF319"/>
      <c r="AG319"/>
      <c r="AH319"/>
      <c r="AI319"/>
      <c r="AJ319"/>
      <c r="AK319"/>
      <c r="AL319"/>
      <c r="AM319"/>
      <c r="AN319"/>
      <c r="AO319"/>
      <c r="AP319"/>
    </row>
    <row r="320" spans="2:42" ht="12.75">
      <c r="B320" s="570">
        <v>34</v>
      </c>
      <c r="C320" s="224" t="s">
        <v>607</v>
      </c>
      <c r="D320" s="662">
        <f>+F320+F323</f>
        <v>862706</v>
      </c>
      <c r="E320" s="559">
        <v>2000</v>
      </c>
      <c r="F320" s="676">
        <f>SUM(F321:F322)</f>
        <v>96520</v>
      </c>
      <c r="G320" s="560"/>
      <c r="H320" s="96"/>
      <c r="I320" s="25"/>
      <c r="J320" s="388"/>
      <c r="K320" s="388"/>
      <c r="L320" s="388"/>
      <c r="M320" s="388"/>
      <c r="N320" s="388"/>
      <c r="AC320"/>
      <c r="AD320"/>
      <c r="AE320"/>
      <c r="AF320"/>
      <c r="AG320"/>
      <c r="AH320"/>
      <c r="AI320"/>
      <c r="AJ320"/>
      <c r="AK320"/>
      <c r="AL320"/>
      <c r="AM320"/>
      <c r="AN320"/>
      <c r="AO320"/>
      <c r="AP320"/>
    </row>
    <row r="321" spans="2:42" ht="12.75">
      <c r="B321" s="570"/>
      <c r="C321" s="84"/>
      <c r="D321" s="662"/>
      <c r="E321" s="280">
        <v>2201</v>
      </c>
      <c r="F321" s="677">
        <v>91200</v>
      </c>
      <c r="G321" s="560"/>
      <c r="H321" s="96"/>
      <c r="I321" s="25"/>
      <c r="J321" s="388"/>
      <c r="K321" s="388"/>
      <c r="L321" s="388"/>
      <c r="M321" s="388"/>
      <c r="N321" s="388"/>
      <c r="AC321"/>
      <c r="AD321"/>
      <c r="AE321"/>
      <c r="AF321"/>
      <c r="AG321"/>
      <c r="AH321"/>
      <c r="AI321"/>
      <c r="AJ321"/>
      <c r="AK321"/>
      <c r="AL321"/>
      <c r="AM321"/>
      <c r="AN321"/>
      <c r="AO321"/>
      <c r="AP321"/>
    </row>
    <row r="322" spans="2:42" ht="12.75">
      <c r="B322" s="570"/>
      <c r="C322" s="84"/>
      <c r="D322" s="662"/>
      <c r="E322" s="280">
        <v>2601</v>
      </c>
      <c r="F322" s="677">
        <v>5320</v>
      </c>
      <c r="G322" s="560" t="s">
        <v>154</v>
      </c>
      <c r="H322" s="96"/>
      <c r="I322" s="25"/>
      <c r="J322" s="388"/>
      <c r="K322" s="388"/>
      <c r="L322" s="388"/>
      <c r="M322" s="388"/>
      <c r="N322" s="388"/>
      <c r="AC322"/>
      <c r="AD322"/>
      <c r="AE322"/>
      <c r="AF322"/>
      <c r="AG322"/>
      <c r="AH322"/>
      <c r="AI322"/>
      <c r="AJ322"/>
      <c r="AK322"/>
      <c r="AL322"/>
      <c r="AM322"/>
      <c r="AN322"/>
      <c r="AO322"/>
      <c r="AP322"/>
    </row>
    <row r="323" spans="2:42" ht="12.75">
      <c r="B323" s="570"/>
      <c r="C323" s="75"/>
      <c r="D323" s="662"/>
      <c r="E323" s="559">
        <v>3000</v>
      </c>
      <c r="F323" s="676">
        <f>SUM(F324:F332)</f>
        <v>766186</v>
      </c>
      <c r="G323" s="560"/>
      <c r="H323" s="96"/>
      <c r="I323" s="25"/>
      <c r="J323" s="388"/>
      <c r="K323" s="388"/>
      <c r="L323" s="388"/>
      <c r="M323" s="388"/>
      <c r="N323" s="388"/>
      <c r="AC323"/>
      <c r="AD323"/>
      <c r="AE323"/>
      <c r="AF323"/>
      <c r="AG323"/>
      <c r="AH323"/>
      <c r="AI323"/>
      <c r="AJ323"/>
      <c r="AK323"/>
      <c r="AL323"/>
      <c r="AM323"/>
      <c r="AN323"/>
      <c r="AO323"/>
      <c r="AP323"/>
    </row>
    <row r="324" spans="2:42" ht="12.75">
      <c r="B324" s="570"/>
      <c r="C324" s="75"/>
      <c r="D324" s="662"/>
      <c r="E324" s="280">
        <v>3301</v>
      </c>
      <c r="F324" s="679">
        <v>169206</v>
      </c>
      <c r="G324" s="560"/>
      <c r="H324" s="96"/>
      <c r="I324" s="25"/>
      <c r="J324" s="388"/>
      <c r="K324" s="388"/>
      <c r="L324" s="388"/>
      <c r="M324" s="388"/>
      <c r="N324" s="388"/>
      <c r="AC324"/>
      <c r="AD324"/>
      <c r="AE324"/>
      <c r="AF324"/>
      <c r="AG324"/>
      <c r="AH324"/>
      <c r="AI324"/>
      <c r="AJ324"/>
      <c r="AK324"/>
      <c r="AL324"/>
      <c r="AM324"/>
      <c r="AN324"/>
      <c r="AO324"/>
      <c r="AP324"/>
    </row>
    <row r="325" spans="2:42" ht="12.75">
      <c r="B325" s="570"/>
      <c r="C325" s="75"/>
      <c r="D325" s="662"/>
      <c r="E325" s="280">
        <v>3304</v>
      </c>
      <c r="F325" s="679">
        <v>1140</v>
      </c>
      <c r="G325" s="560"/>
      <c r="H325" s="96"/>
      <c r="I325" s="25"/>
      <c r="J325" s="388"/>
      <c r="K325" s="388"/>
      <c r="L325" s="388"/>
      <c r="M325" s="388"/>
      <c r="N325" s="388"/>
      <c r="AC325"/>
      <c r="AD325"/>
      <c r="AE325"/>
      <c r="AF325"/>
      <c r="AG325"/>
      <c r="AH325"/>
      <c r="AI325"/>
      <c r="AJ325"/>
      <c r="AK325"/>
      <c r="AL325"/>
      <c r="AM325"/>
      <c r="AN325"/>
      <c r="AO325"/>
      <c r="AP325"/>
    </row>
    <row r="326" spans="2:42" ht="12.75">
      <c r="B326" s="570"/>
      <c r="C326" s="75"/>
      <c r="D326" s="662"/>
      <c r="E326" s="280">
        <v>3401</v>
      </c>
      <c r="F326" s="679">
        <v>9880</v>
      </c>
      <c r="G326" s="560"/>
      <c r="H326" s="96"/>
      <c r="I326" s="25"/>
      <c r="J326" s="388"/>
      <c r="K326" s="388"/>
      <c r="L326" s="388"/>
      <c r="M326" s="388"/>
      <c r="N326" s="388"/>
      <c r="AC326"/>
      <c r="AD326"/>
      <c r="AE326"/>
      <c r="AF326"/>
      <c r="AG326"/>
      <c r="AH326"/>
      <c r="AI326"/>
      <c r="AJ326"/>
      <c r="AK326"/>
      <c r="AL326"/>
      <c r="AM326"/>
      <c r="AN326"/>
      <c r="AO326"/>
      <c r="AP326"/>
    </row>
    <row r="327" spans="2:42" ht="12.75">
      <c r="B327" s="570"/>
      <c r="C327" s="75"/>
      <c r="D327" s="662"/>
      <c r="E327" s="280">
        <v>3604</v>
      </c>
      <c r="F327" s="679">
        <v>760</v>
      </c>
      <c r="G327" s="560"/>
      <c r="H327" s="96"/>
      <c r="I327" s="25"/>
      <c r="J327" s="388"/>
      <c r="K327" s="388"/>
      <c r="L327" s="388"/>
      <c r="M327" s="388"/>
      <c r="N327" s="388"/>
      <c r="AC327"/>
      <c r="AD327"/>
      <c r="AE327"/>
      <c r="AF327"/>
      <c r="AG327"/>
      <c r="AH327"/>
      <c r="AI327"/>
      <c r="AJ327"/>
      <c r="AK327"/>
      <c r="AL327"/>
      <c r="AM327"/>
      <c r="AN327"/>
      <c r="AO327"/>
      <c r="AP327"/>
    </row>
    <row r="328" spans="2:42" ht="12.75">
      <c r="B328" s="570"/>
      <c r="C328" s="75"/>
      <c r="D328" s="662"/>
      <c r="E328" s="280">
        <v>3701</v>
      </c>
      <c r="F328" s="679">
        <v>246240</v>
      </c>
      <c r="G328" s="560" t="s">
        <v>232</v>
      </c>
      <c r="H328" s="96"/>
      <c r="I328" s="25"/>
      <c r="J328" s="388"/>
      <c r="K328" s="388"/>
      <c r="L328" s="388"/>
      <c r="M328" s="388"/>
      <c r="N328" s="388"/>
      <c r="AC328"/>
      <c r="AD328"/>
      <c r="AE328"/>
      <c r="AF328"/>
      <c r="AG328"/>
      <c r="AH328"/>
      <c r="AI328"/>
      <c r="AJ328"/>
      <c r="AK328"/>
      <c r="AL328"/>
      <c r="AM328"/>
      <c r="AN328"/>
      <c r="AO328"/>
      <c r="AP328"/>
    </row>
    <row r="329" spans="2:42" ht="12.75">
      <c r="B329" s="570"/>
      <c r="C329" s="75"/>
      <c r="D329" s="662"/>
      <c r="E329" s="280">
        <v>3702</v>
      </c>
      <c r="F329" s="679">
        <v>218880</v>
      </c>
      <c r="G329" s="560" t="s">
        <v>232</v>
      </c>
      <c r="H329" s="96"/>
      <c r="I329" s="25"/>
      <c r="J329" s="388"/>
      <c r="K329" s="388"/>
      <c r="L329" s="388"/>
      <c r="M329" s="388"/>
      <c r="N329" s="388"/>
      <c r="AC329"/>
      <c r="AD329"/>
      <c r="AE329"/>
      <c r="AF329"/>
      <c r="AG329"/>
      <c r="AH329"/>
      <c r="AI329"/>
      <c r="AJ329"/>
      <c r="AK329"/>
      <c r="AL329"/>
      <c r="AM329"/>
      <c r="AN329"/>
      <c r="AO329"/>
      <c r="AP329"/>
    </row>
    <row r="330" spans="2:42" ht="12.75">
      <c r="B330" s="570"/>
      <c r="C330" s="75"/>
      <c r="D330" s="662"/>
      <c r="E330" s="280">
        <v>3703</v>
      </c>
      <c r="F330" s="679">
        <v>27360</v>
      </c>
      <c r="G330" s="560"/>
      <c r="H330" s="96"/>
      <c r="I330" s="25"/>
      <c r="J330" s="388"/>
      <c r="K330" s="388"/>
      <c r="L330" s="388"/>
      <c r="M330" s="388"/>
      <c r="N330" s="388"/>
      <c r="AC330"/>
      <c r="AD330"/>
      <c r="AE330"/>
      <c r="AF330"/>
      <c r="AG330"/>
      <c r="AH330"/>
      <c r="AI330"/>
      <c r="AJ330"/>
      <c r="AK330"/>
      <c r="AL330"/>
      <c r="AM330"/>
      <c r="AN330"/>
      <c r="AO330"/>
      <c r="AP330"/>
    </row>
    <row r="331" spans="2:42" ht="12.75">
      <c r="B331" s="570"/>
      <c r="C331" s="75"/>
      <c r="D331" s="662"/>
      <c r="E331" s="280">
        <v>3801</v>
      </c>
      <c r="F331" s="679">
        <v>91200</v>
      </c>
      <c r="G331" s="560"/>
      <c r="H331" s="96"/>
      <c r="I331" s="25"/>
      <c r="J331" s="388"/>
      <c r="K331" s="388"/>
      <c r="L331" s="388"/>
      <c r="M331" s="388"/>
      <c r="N331" s="388"/>
      <c r="AC331"/>
      <c r="AD331"/>
      <c r="AE331"/>
      <c r="AF331"/>
      <c r="AG331"/>
      <c r="AH331"/>
      <c r="AI331"/>
      <c r="AJ331"/>
      <c r="AK331"/>
      <c r="AL331"/>
      <c r="AM331"/>
      <c r="AN331"/>
      <c r="AO331"/>
      <c r="AP331"/>
    </row>
    <row r="332" spans="2:42" ht="12.75">
      <c r="B332" s="570"/>
      <c r="C332" s="75"/>
      <c r="D332" s="662"/>
      <c r="E332" s="280">
        <v>3903</v>
      </c>
      <c r="F332" s="679">
        <v>1520</v>
      </c>
      <c r="G332" s="560"/>
      <c r="H332" s="96"/>
      <c r="I332" s="25"/>
      <c r="J332" s="388"/>
      <c r="K332" s="388"/>
      <c r="L332" s="388"/>
      <c r="M332" s="388"/>
      <c r="N332" s="388"/>
      <c r="AC332"/>
      <c r="AD332"/>
      <c r="AE332"/>
      <c r="AF332"/>
      <c r="AG332"/>
      <c r="AH332"/>
      <c r="AI332"/>
      <c r="AJ332"/>
      <c r="AK332"/>
      <c r="AL332"/>
      <c r="AM332"/>
      <c r="AN332"/>
      <c r="AO332"/>
      <c r="AP332"/>
    </row>
    <row r="333" spans="2:42" ht="12.75">
      <c r="B333" s="572"/>
      <c r="C333" s="220" t="s">
        <v>80</v>
      </c>
      <c r="D333" s="698">
        <f>SUM(D334:D370)</f>
        <v>219979</v>
      </c>
      <c r="E333" s="222"/>
      <c r="F333" s="680">
        <f>SUM(F334:F370)/2</f>
        <v>219979</v>
      </c>
      <c r="G333" s="702"/>
      <c r="H333" s="96"/>
      <c r="I333" s="25"/>
      <c r="J333" s="388"/>
      <c r="K333" s="388"/>
      <c r="L333" s="388"/>
      <c r="M333" s="388"/>
      <c r="N333" s="388"/>
      <c r="AC333"/>
      <c r="AD333"/>
      <c r="AE333"/>
      <c r="AF333"/>
      <c r="AG333"/>
      <c r="AH333"/>
      <c r="AI333"/>
      <c r="AJ333"/>
      <c r="AK333"/>
      <c r="AL333"/>
      <c r="AM333"/>
      <c r="AN333"/>
      <c r="AO333"/>
      <c r="AP333"/>
    </row>
    <row r="334" spans="2:14" s="389" customFormat="1" ht="13.5" customHeight="1">
      <c r="B334" s="570">
        <v>35</v>
      </c>
      <c r="C334" s="865" t="s">
        <v>77</v>
      </c>
      <c r="D334" s="662">
        <f>F348+F346+F334</f>
        <v>12752</v>
      </c>
      <c r="E334" s="559">
        <v>2000</v>
      </c>
      <c r="F334" s="676">
        <f>SUM(F335:F345)</f>
        <v>12752</v>
      </c>
      <c r="G334" s="561"/>
      <c r="H334" s="96"/>
      <c r="I334" s="388"/>
      <c r="J334" s="388"/>
      <c r="K334" s="388"/>
      <c r="L334" s="388"/>
      <c r="M334" s="388"/>
      <c r="N334" s="388"/>
    </row>
    <row r="335" spans="2:14" s="389" customFormat="1" ht="13.5" customHeight="1">
      <c r="B335" s="570"/>
      <c r="C335" s="866"/>
      <c r="D335" s="662"/>
      <c r="E335" s="280">
        <v>2101</v>
      </c>
      <c r="F335" s="681">
        <v>418</v>
      </c>
      <c r="G335" s="560"/>
      <c r="H335" s="96"/>
      <c r="I335" s="388"/>
      <c r="J335" s="388"/>
      <c r="K335" s="388"/>
      <c r="L335" s="388"/>
      <c r="M335" s="388"/>
      <c r="N335" s="388"/>
    </row>
    <row r="336" spans="2:14" s="389" customFormat="1" ht="13.5" customHeight="1">
      <c r="B336" s="570"/>
      <c r="C336" s="866"/>
      <c r="D336" s="662"/>
      <c r="E336" s="280">
        <v>2103</v>
      </c>
      <c r="F336" s="681">
        <v>7</v>
      </c>
      <c r="G336" s="561"/>
      <c r="H336" s="96"/>
      <c r="I336" s="388"/>
      <c r="J336" s="388"/>
      <c r="K336" s="388"/>
      <c r="L336" s="388"/>
      <c r="M336" s="388"/>
      <c r="N336" s="388"/>
    </row>
    <row r="337" spans="2:14" s="389" customFormat="1" ht="13.5" customHeight="1">
      <c r="B337" s="570"/>
      <c r="C337" s="866"/>
      <c r="D337" s="662"/>
      <c r="E337" s="280">
        <v>2105</v>
      </c>
      <c r="F337" s="681">
        <v>442</v>
      </c>
      <c r="G337" s="561"/>
      <c r="H337" s="96"/>
      <c r="I337" s="388"/>
      <c r="J337" s="388"/>
      <c r="K337" s="388"/>
      <c r="L337" s="388"/>
      <c r="M337" s="388"/>
      <c r="N337" s="388"/>
    </row>
    <row r="338" spans="2:14" s="389" customFormat="1" ht="12.75">
      <c r="B338" s="570"/>
      <c r="C338" s="84"/>
      <c r="D338" s="662"/>
      <c r="E338" s="280">
        <v>2106</v>
      </c>
      <c r="F338" s="681">
        <v>160</v>
      </c>
      <c r="G338" s="560"/>
      <c r="H338" s="96"/>
      <c r="I338" s="388"/>
      <c r="J338" s="388"/>
      <c r="K338" s="388"/>
      <c r="L338" s="388"/>
      <c r="M338" s="388"/>
      <c r="N338" s="388"/>
    </row>
    <row r="339" spans="2:14" s="389" customFormat="1" ht="12.75">
      <c r="B339" s="570"/>
      <c r="C339" s="84"/>
      <c r="D339" s="662"/>
      <c r="E339" s="280">
        <v>2201</v>
      </c>
      <c r="F339" s="681">
        <v>395</v>
      </c>
      <c r="G339" s="562"/>
      <c r="H339" s="96"/>
      <c r="I339" s="388"/>
      <c r="J339" s="388"/>
      <c r="K339" s="388"/>
      <c r="L339" s="388"/>
      <c r="M339" s="388"/>
      <c r="N339" s="388"/>
    </row>
    <row r="340" spans="2:14" s="389" customFormat="1" ht="12.75">
      <c r="B340" s="570"/>
      <c r="C340" s="84"/>
      <c r="D340" s="662"/>
      <c r="E340" s="280">
        <v>2204</v>
      </c>
      <c r="F340" s="681">
        <v>109</v>
      </c>
      <c r="G340" s="561"/>
      <c r="H340" s="96"/>
      <c r="I340" s="388"/>
      <c r="J340" s="388"/>
      <c r="K340" s="388"/>
      <c r="L340" s="388"/>
      <c r="M340" s="388"/>
      <c r="N340" s="388"/>
    </row>
    <row r="341" spans="2:14" s="389" customFormat="1" ht="12.75">
      <c r="B341" s="570"/>
      <c r="C341" s="84"/>
      <c r="D341" s="662"/>
      <c r="E341" s="280">
        <v>2206</v>
      </c>
      <c r="F341" s="681">
        <v>25</v>
      </c>
      <c r="G341" s="563"/>
      <c r="H341" s="96"/>
      <c r="I341" s="388"/>
      <c r="J341" s="388"/>
      <c r="K341" s="388"/>
      <c r="L341" s="388"/>
      <c r="M341" s="388"/>
      <c r="N341" s="388"/>
    </row>
    <row r="342" spans="2:14" s="389" customFormat="1" ht="12.75">
      <c r="B342" s="570"/>
      <c r="C342" s="75"/>
      <c r="D342" s="662"/>
      <c r="E342" s="280">
        <v>2207</v>
      </c>
      <c r="F342" s="681">
        <v>12</v>
      </c>
      <c r="G342" s="560"/>
      <c r="H342" s="96"/>
      <c r="I342" s="388"/>
      <c r="J342" s="388"/>
      <c r="K342" s="388"/>
      <c r="L342" s="388"/>
      <c r="M342" s="388"/>
      <c r="N342" s="388"/>
    </row>
    <row r="343" spans="2:14" s="389" customFormat="1" ht="12.75">
      <c r="B343" s="570"/>
      <c r="C343" s="75"/>
      <c r="D343" s="662"/>
      <c r="E343" s="280">
        <v>2302</v>
      </c>
      <c r="F343" s="681">
        <v>37</v>
      </c>
      <c r="G343" s="563"/>
      <c r="H343" s="96"/>
      <c r="I343" s="388"/>
      <c r="J343" s="388"/>
      <c r="K343" s="388"/>
      <c r="L343" s="388"/>
      <c r="M343" s="388"/>
      <c r="N343" s="388"/>
    </row>
    <row r="344" spans="2:14" s="389" customFormat="1" ht="12.75">
      <c r="B344" s="570"/>
      <c r="C344" s="75"/>
      <c r="D344" s="662"/>
      <c r="E344" s="280">
        <v>2304</v>
      </c>
      <c r="F344" s="681">
        <v>10904</v>
      </c>
      <c r="G344" s="560"/>
      <c r="H344" s="96"/>
      <c r="I344" s="388"/>
      <c r="J344" s="388"/>
      <c r="K344" s="388"/>
      <c r="L344" s="388"/>
      <c r="M344" s="388"/>
      <c r="N344" s="388"/>
    </row>
    <row r="345" spans="2:14" s="389" customFormat="1" ht="12.75">
      <c r="B345" s="570"/>
      <c r="C345" s="75"/>
      <c r="D345" s="662"/>
      <c r="E345" s="280">
        <v>2701</v>
      </c>
      <c r="F345" s="681">
        <v>243</v>
      </c>
      <c r="G345" s="560"/>
      <c r="H345" s="96"/>
      <c r="I345" s="388"/>
      <c r="J345" s="388"/>
      <c r="K345" s="388"/>
      <c r="L345" s="388"/>
      <c r="M345" s="388"/>
      <c r="N345" s="388"/>
    </row>
    <row r="346" spans="2:14" s="389" customFormat="1" ht="12.75">
      <c r="B346" s="570"/>
      <c r="C346" s="75"/>
      <c r="D346" s="662"/>
      <c r="E346" s="559">
        <v>3000</v>
      </c>
      <c r="F346" s="676">
        <f>SUM(F347:F347)</f>
        <v>0</v>
      </c>
      <c r="G346" s="560"/>
      <c r="H346" s="96"/>
      <c r="I346" s="388"/>
      <c r="J346" s="388"/>
      <c r="K346" s="388"/>
      <c r="L346" s="388"/>
      <c r="M346" s="388"/>
      <c r="N346" s="388"/>
    </row>
    <row r="347" spans="2:14" s="389" customFormat="1" ht="12.75">
      <c r="B347" s="570"/>
      <c r="C347" s="75"/>
      <c r="D347" s="662"/>
      <c r="E347" s="280">
        <v>3802</v>
      </c>
      <c r="F347" s="679">
        <v>0</v>
      </c>
      <c r="G347" s="560" t="s">
        <v>232</v>
      </c>
      <c r="H347" s="96"/>
      <c r="I347" s="388"/>
      <c r="J347" s="388"/>
      <c r="K347" s="388"/>
      <c r="L347" s="388"/>
      <c r="M347" s="388"/>
      <c r="N347" s="388"/>
    </row>
    <row r="348" spans="2:14" s="389" customFormat="1" ht="12.75">
      <c r="B348" s="570"/>
      <c r="C348" s="75"/>
      <c r="D348" s="662"/>
      <c r="E348" s="559">
        <v>5000</v>
      </c>
      <c r="F348" s="676">
        <f>SUM(F349:F349)</f>
        <v>0</v>
      </c>
      <c r="G348" s="560"/>
      <c r="H348" s="96"/>
      <c r="I348" s="388"/>
      <c r="J348" s="388"/>
      <c r="K348" s="388"/>
      <c r="L348" s="388"/>
      <c r="M348" s="388"/>
      <c r="N348" s="388"/>
    </row>
    <row r="349" spans="2:14" s="389" customFormat="1" ht="12.75">
      <c r="B349" s="570"/>
      <c r="C349" s="75"/>
      <c r="D349" s="662"/>
      <c r="E349" s="280">
        <v>5101</v>
      </c>
      <c r="F349" s="679">
        <v>0</v>
      </c>
      <c r="G349" s="560"/>
      <c r="H349" s="96"/>
      <c r="I349" s="388"/>
      <c r="J349" s="388"/>
      <c r="K349" s="388"/>
      <c r="L349" s="388"/>
      <c r="M349" s="388"/>
      <c r="N349" s="388"/>
    </row>
    <row r="350" spans="2:14" s="389" customFormat="1" ht="25.5">
      <c r="B350" s="570">
        <v>36</v>
      </c>
      <c r="C350" s="394" t="s">
        <v>699</v>
      </c>
      <c r="D350" s="662">
        <f>+F350+F355</f>
        <v>55532</v>
      </c>
      <c r="E350" s="559">
        <v>2000</v>
      </c>
      <c r="F350" s="676">
        <f>SUM(F351:F354)</f>
        <v>25132</v>
      </c>
      <c r="G350" s="562"/>
      <c r="H350" s="98"/>
      <c r="I350" s="388"/>
      <c r="J350" s="388"/>
      <c r="K350" s="388"/>
      <c r="L350" s="388"/>
      <c r="M350" s="388"/>
      <c r="N350" s="388"/>
    </row>
    <row r="351" spans="2:14" s="389" customFormat="1" ht="12.75">
      <c r="B351" s="570"/>
      <c r="C351" s="75"/>
      <c r="D351" s="662"/>
      <c r="E351" s="280">
        <v>2101</v>
      </c>
      <c r="F351" s="679">
        <v>8352</v>
      </c>
      <c r="G351" s="560"/>
      <c r="H351" s="98"/>
      <c r="I351" s="388"/>
      <c r="J351" s="388"/>
      <c r="K351" s="388"/>
      <c r="L351" s="388"/>
      <c r="M351" s="388"/>
      <c r="N351" s="388"/>
    </row>
    <row r="352" spans="2:14" s="389" customFormat="1" ht="12.75">
      <c r="B352" s="570"/>
      <c r="C352" s="75"/>
      <c r="D352" s="662"/>
      <c r="E352" s="280">
        <v>2103</v>
      </c>
      <c r="F352" s="679">
        <v>27</v>
      </c>
      <c r="G352" s="560"/>
      <c r="H352" s="98"/>
      <c r="I352" s="388"/>
      <c r="J352" s="388"/>
      <c r="K352" s="388"/>
      <c r="L352" s="388"/>
      <c r="M352" s="388"/>
      <c r="N352" s="388"/>
    </row>
    <row r="353" spans="2:14" s="389" customFormat="1" ht="12.75">
      <c r="B353" s="570"/>
      <c r="C353" s="75"/>
      <c r="D353" s="662"/>
      <c r="E353" s="280">
        <v>2105</v>
      </c>
      <c r="F353" s="679">
        <v>8849</v>
      </c>
      <c r="G353" s="560"/>
      <c r="H353" s="98"/>
      <c r="I353" s="388"/>
      <c r="J353" s="388"/>
      <c r="K353" s="388"/>
      <c r="L353" s="388"/>
      <c r="M353" s="388"/>
      <c r="N353" s="388"/>
    </row>
    <row r="354" spans="2:14" s="389" customFormat="1" ht="12.75">
      <c r="B354" s="570"/>
      <c r="C354" s="75"/>
      <c r="D354" s="662"/>
      <c r="E354" s="280">
        <v>2201</v>
      </c>
      <c r="F354" s="679">
        <v>7904</v>
      </c>
      <c r="G354" s="560"/>
      <c r="H354" s="98"/>
      <c r="I354" s="388"/>
      <c r="J354" s="388"/>
      <c r="K354" s="388"/>
      <c r="L354" s="388"/>
      <c r="M354" s="388"/>
      <c r="N354" s="388"/>
    </row>
    <row r="355" spans="2:14" s="389" customFormat="1" ht="12.75">
      <c r="B355" s="570"/>
      <c r="C355" s="75"/>
      <c r="D355" s="662"/>
      <c r="E355" s="559">
        <v>3000</v>
      </c>
      <c r="F355" s="676">
        <f>SUM(F356)</f>
        <v>30400</v>
      </c>
      <c r="G355" s="560"/>
      <c r="H355" s="98"/>
      <c r="I355" s="388"/>
      <c r="J355" s="388"/>
      <c r="K355" s="388"/>
      <c r="L355" s="388"/>
      <c r="M355" s="388"/>
      <c r="N355" s="388"/>
    </row>
    <row r="356" spans="2:14" s="389" customFormat="1" ht="12.75">
      <c r="B356" s="570"/>
      <c r="C356" s="75"/>
      <c r="D356" s="662"/>
      <c r="E356" s="280">
        <v>3301</v>
      </c>
      <c r="F356" s="679">
        <v>30400</v>
      </c>
      <c r="G356" s="560"/>
      <c r="H356" s="98"/>
      <c r="I356" s="388"/>
      <c r="J356" s="388"/>
      <c r="K356" s="388"/>
      <c r="L356" s="388"/>
      <c r="M356" s="388"/>
      <c r="N356" s="388"/>
    </row>
    <row r="357" spans="2:14" s="389" customFormat="1" ht="25.5" customHeight="1">
      <c r="B357" s="570">
        <v>37</v>
      </c>
      <c r="C357" s="867" t="s">
        <v>287</v>
      </c>
      <c r="D357" s="662">
        <f>+F357</f>
        <v>138392</v>
      </c>
      <c r="E357" s="559">
        <v>2000</v>
      </c>
      <c r="F357" s="676">
        <f>SUM(F358:F362)</f>
        <v>138392</v>
      </c>
      <c r="G357" s="560"/>
      <c r="H357" s="98"/>
      <c r="I357" s="388"/>
      <c r="J357" s="388"/>
      <c r="K357" s="388"/>
      <c r="L357" s="388"/>
      <c r="M357" s="388"/>
      <c r="N357" s="388"/>
    </row>
    <row r="358" spans="2:14" s="389" customFormat="1" ht="12.75">
      <c r="B358" s="570"/>
      <c r="C358" s="867"/>
      <c r="D358" s="662"/>
      <c r="E358" s="280">
        <v>2101</v>
      </c>
      <c r="F358" s="679">
        <v>28289</v>
      </c>
      <c r="G358" s="560"/>
      <c r="H358" s="98"/>
      <c r="I358" s="388"/>
      <c r="J358" s="388"/>
      <c r="K358" s="388"/>
      <c r="L358" s="388"/>
      <c r="M358" s="388"/>
      <c r="N358" s="388"/>
    </row>
    <row r="359" spans="2:14" s="389" customFormat="1" ht="12.75">
      <c r="B359" s="570"/>
      <c r="C359" s="867"/>
      <c r="D359" s="662"/>
      <c r="E359" s="280">
        <v>2104</v>
      </c>
      <c r="F359" s="679">
        <v>16983</v>
      </c>
      <c r="G359" s="560"/>
      <c r="H359" s="98"/>
      <c r="I359" s="388"/>
      <c r="J359" s="388"/>
      <c r="K359" s="388"/>
      <c r="L359" s="388"/>
      <c r="M359" s="388"/>
      <c r="N359" s="388"/>
    </row>
    <row r="360" spans="2:14" s="389" customFormat="1" ht="12.75">
      <c r="B360" s="570"/>
      <c r="C360" s="75"/>
      <c r="D360" s="662"/>
      <c r="E360" s="280">
        <v>2105</v>
      </c>
      <c r="F360" s="679">
        <v>15998</v>
      </c>
      <c r="G360" s="560"/>
      <c r="H360" s="98"/>
      <c r="I360" s="388"/>
      <c r="J360" s="388"/>
      <c r="K360" s="388"/>
      <c r="L360" s="388"/>
      <c r="M360" s="388"/>
      <c r="N360" s="388"/>
    </row>
    <row r="361" spans="2:14" s="389" customFormat="1" ht="12.75">
      <c r="B361" s="570"/>
      <c r="C361" s="75"/>
      <c r="D361" s="662"/>
      <c r="E361" s="280">
        <v>2201</v>
      </c>
      <c r="F361" s="679">
        <v>20122</v>
      </c>
      <c r="G361" s="560"/>
      <c r="H361" s="98"/>
      <c r="I361" s="388"/>
      <c r="J361" s="388"/>
      <c r="K361" s="388"/>
      <c r="L361" s="388"/>
      <c r="M361" s="388"/>
      <c r="N361" s="388"/>
    </row>
    <row r="362" spans="2:14" s="389" customFormat="1" ht="12.75">
      <c r="B362" s="570"/>
      <c r="C362" s="75"/>
      <c r="D362" s="662"/>
      <c r="E362" s="280">
        <v>2304</v>
      </c>
      <c r="F362" s="679">
        <v>57000</v>
      </c>
      <c r="G362" s="560"/>
      <c r="H362" s="98"/>
      <c r="I362" s="388"/>
      <c r="J362" s="388"/>
      <c r="K362" s="388"/>
      <c r="L362" s="388"/>
      <c r="M362" s="388"/>
      <c r="N362" s="388"/>
    </row>
    <row r="363" spans="2:14" s="389" customFormat="1" ht="12.75">
      <c r="B363" s="570"/>
      <c r="C363" s="75"/>
      <c r="D363" s="662"/>
      <c r="E363" s="280"/>
      <c r="F363" s="679"/>
      <c r="G363" s="560"/>
      <c r="H363" s="98"/>
      <c r="I363" s="388"/>
      <c r="J363" s="388"/>
      <c r="K363" s="388"/>
      <c r="L363" s="388"/>
      <c r="M363" s="388"/>
      <c r="N363" s="388"/>
    </row>
    <row r="364" spans="2:14" s="389" customFormat="1" ht="25.5">
      <c r="B364" s="570">
        <v>38</v>
      </c>
      <c r="C364" s="224" t="s">
        <v>701</v>
      </c>
      <c r="D364" s="662">
        <f>+F364+F369</f>
        <v>13303</v>
      </c>
      <c r="E364" s="559">
        <v>2000</v>
      </c>
      <c r="F364" s="676">
        <f>SUM(F365:F368)</f>
        <v>13303</v>
      </c>
      <c r="G364" s="564"/>
      <c r="H364" s="96"/>
      <c r="I364" s="388"/>
      <c r="J364" s="388"/>
      <c r="K364" s="388"/>
      <c r="L364" s="388"/>
      <c r="M364" s="388"/>
      <c r="N364" s="388"/>
    </row>
    <row r="365" spans="2:14" s="389" customFormat="1" ht="12.75">
      <c r="B365" s="570"/>
      <c r="C365" s="75"/>
      <c r="D365" s="662"/>
      <c r="E365" s="280">
        <v>2101</v>
      </c>
      <c r="F365" s="679">
        <v>987</v>
      </c>
      <c r="G365" s="565"/>
      <c r="H365" s="96"/>
      <c r="I365" s="388"/>
      <c r="J365" s="388"/>
      <c r="K365" s="388"/>
      <c r="L365" s="388"/>
      <c r="M365" s="388"/>
      <c r="N365" s="388"/>
    </row>
    <row r="366" spans="2:14" s="389" customFormat="1" ht="12.75">
      <c r="B366" s="570"/>
      <c r="C366" s="75"/>
      <c r="D366" s="662"/>
      <c r="E366" s="280">
        <v>2105</v>
      </c>
      <c r="F366" s="679">
        <v>1816</v>
      </c>
      <c r="G366" s="565"/>
      <c r="H366" s="96"/>
      <c r="I366" s="388"/>
      <c r="J366" s="388"/>
      <c r="K366" s="388"/>
      <c r="L366" s="388"/>
      <c r="M366" s="388"/>
      <c r="N366" s="388"/>
    </row>
    <row r="367" spans="2:14" s="389" customFormat="1" ht="12.75">
      <c r="B367" s="570"/>
      <c r="C367" s="75"/>
      <c r="D367" s="662"/>
      <c r="E367" s="280">
        <v>2201</v>
      </c>
      <c r="F367" s="679">
        <v>500</v>
      </c>
      <c r="G367" s="565"/>
      <c r="H367" s="96"/>
      <c r="I367" s="388"/>
      <c r="J367" s="388"/>
      <c r="K367" s="388"/>
      <c r="L367" s="388"/>
      <c r="M367" s="388"/>
      <c r="N367" s="388"/>
    </row>
    <row r="368" spans="2:14" s="389" customFormat="1" ht="12.75">
      <c r="B368" s="570"/>
      <c r="C368" s="75"/>
      <c r="D368" s="662"/>
      <c r="E368" s="280">
        <v>2304</v>
      </c>
      <c r="F368" s="679">
        <v>10000</v>
      </c>
      <c r="G368" s="565"/>
      <c r="H368" s="96"/>
      <c r="I368" s="388"/>
      <c r="J368" s="388"/>
      <c r="K368" s="388"/>
      <c r="L368" s="388"/>
      <c r="M368" s="388"/>
      <c r="N368" s="388"/>
    </row>
    <row r="369" spans="2:14" s="389" customFormat="1" ht="12.75">
      <c r="B369" s="570"/>
      <c r="C369" s="75"/>
      <c r="D369" s="662"/>
      <c r="E369" s="559">
        <v>3000</v>
      </c>
      <c r="F369" s="676">
        <f>SUM(F370:F370)</f>
        <v>0</v>
      </c>
      <c r="G369" s="565"/>
      <c r="H369" s="98"/>
      <c r="I369" s="388"/>
      <c r="J369" s="388"/>
      <c r="K369" s="388"/>
      <c r="L369" s="388"/>
      <c r="M369" s="388"/>
      <c r="N369" s="388"/>
    </row>
    <row r="370" spans="2:14" s="389" customFormat="1" ht="12.75">
      <c r="B370" s="570"/>
      <c r="C370" s="75"/>
      <c r="D370" s="662"/>
      <c r="E370" s="280">
        <v>3702</v>
      </c>
      <c r="F370" s="679">
        <v>0</v>
      </c>
      <c r="G370" s="566" t="s">
        <v>232</v>
      </c>
      <c r="H370" s="98"/>
      <c r="I370" s="388"/>
      <c r="J370" s="388"/>
      <c r="K370" s="388"/>
      <c r="L370" s="388"/>
      <c r="M370" s="388"/>
      <c r="N370" s="388"/>
    </row>
    <row r="371" spans="2:14" s="389" customFormat="1" ht="12.75">
      <c r="B371" s="570"/>
      <c r="C371" s="220" t="s">
        <v>78</v>
      </c>
      <c r="D371" s="698">
        <f>SUM(D372:D386)</f>
        <v>100890</v>
      </c>
      <c r="E371" s="595"/>
      <c r="F371" s="680">
        <f>SUM(F372:F386)/2</f>
        <v>100890</v>
      </c>
      <c r="G371" s="701"/>
      <c r="H371" s="96"/>
      <c r="I371" s="388"/>
      <c r="J371" s="388"/>
      <c r="K371" s="388"/>
      <c r="L371" s="388"/>
      <c r="M371" s="388"/>
      <c r="N371" s="388"/>
    </row>
    <row r="372" spans="2:14" s="389" customFormat="1" ht="25.5">
      <c r="B372" s="570">
        <v>39</v>
      </c>
      <c r="C372" s="379" t="s">
        <v>666</v>
      </c>
      <c r="D372" s="662">
        <f>+F372+F375</f>
        <v>59090</v>
      </c>
      <c r="E372" s="559">
        <v>2000</v>
      </c>
      <c r="F372" s="676">
        <f>SUM(F373:F374)</f>
        <v>19380</v>
      </c>
      <c r="G372" s="560"/>
      <c r="H372" s="96"/>
      <c r="I372" s="388"/>
      <c r="J372" s="388"/>
      <c r="K372" s="388"/>
      <c r="L372" s="388"/>
      <c r="M372" s="388"/>
      <c r="N372" s="388"/>
    </row>
    <row r="373" spans="2:14" s="389" customFormat="1" ht="12.75">
      <c r="B373" s="570"/>
      <c r="C373" s="75"/>
      <c r="D373" s="662"/>
      <c r="E373" s="280">
        <v>2101</v>
      </c>
      <c r="F373" s="679">
        <v>4180</v>
      </c>
      <c r="G373" s="560"/>
      <c r="H373" s="96"/>
      <c r="I373" s="388"/>
      <c r="J373" s="388"/>
      <c r="K373" s="388"/>
      <c r="L373" s="388"/>
      <c r="M373" s="388"/>
      <c r="N373" s="388"/>
    </row>
    <row r="374" spans="2:14" s="389" customFormat="1" ht="12.75">
      <c r="B374" s="570"/>
      <c r="C374" s="75"/>
      <c r="D374" s="662"/>
      <c r="E374" s="280">
        <v>2601</v>
      </c>
      <c r="F374" s="679">
        <v>15200</v>
      </c>
      <c r="G374" s="560" t="s">
        <v>154</v>
      </c>
      <c r="H374" s="96"/>
      <c r="I374" s="388"/>
      <c r="J374" s="388"/>
      <c r="K374" s="388"/>
      <c r="L374" s="388"/>
      <c r="M374" s="388"/>
      <c r="N374" s="388"/>
    </row>
    <row r="375" spans="2:14" s="389" customFormat="1" ht="12.75">
      <c r="B375" s="570"/>
      <c r="C375" s="75"/>
      <c r="D375" s="662"/>
      <c r="E375" s="559">
        <v>3000</v>
      </c>
      <c r="F375" s="676">
        <f>SUM(F376:F379)</f>
        <v>39710</v>
      </c>
      <c r="G375" s="560"/>
      <c r="H375" s="96"/>
      <c r="I375" s="388"/>
      <c r="J375" s="388"/>
      <c r="K375" s="388"/>
      <c r="L375" s="388"/>
      <c r="M375" s="388"/>
      <c r="N375" s="388"/>
    </row>
    <row r="376" spans="2:14" s="389" customFormat="1" ht="12.75">
      <c r="B376" s="570"/>
      <c r="C376" s="75"/>
      <c r="D376" s="662"/>
      <c r="E376" s="280">
        <v>3701</v>
      </c>
      <c r="F376" s="679">
        <v>7600</v>
      </c>
      <c r="G376" s="560" t="s">
        <v>232</v>
      </c>
      <c r="H376" s="96"/>
      <c r="I376" s="388"/>
      <c r="J376" s="388"/>
      <c r="K376" s="388"/>
      <c r="L376" s="388"/>
      <c r="M376" s="388"/>
      <c r="N376" s="388"/>
    </row>
    <row r="377" spans="2:14" s="389" customFormat="1" ht="12.75">
      <c r="B377" s="570"/>
      <c r="C377" s="75"/>
      <c r="D377" s="662"/>
      <c r="E377" s="280">
        <v>3702</v>
      </c>
      <c r="F377" s="679">
        <v>19000</v>
      </c>
      <c r="G377" s="560" t="s">
        <v>232</v>
      </c>
      <c r="H377" s="96"/>
      <c r="I377" s="388"/>
      <c r="J377" s="388"/>
      <c r="K377" s="388"/>
      <c r="L377" s="388"/>
      <c r="M377" s="388"/>
      <c r="N377" s="388"/>
    </row>
    <row r="378" spans="2:14" s="389" customFormat="1" ht="12.75">
      <c r="B378" s="570"/>
      <c r="C378" s="75"/>
      <c r="D378" s="662"/>
      <c r="E378" s="280">
        <v>3703</v>
      </c>
      <c r="F378" s="679">
        <v>10070</v>
      </c>
      <c r="G378" s="560"/>
      <c r="H378" s="96"/>
      <c r="I378" s="388"/>
      <c r="J378" s="388"/>
      <c r="K378" s="388"/>
      <c r="L378" s="388"/>
      <c r="M378" s="388"/>
      <c r="N378" s="388"/>
    </row>
    <row r="379" spans="2:14" s="389" customFormat="1" ht="12.75">
      <c r="B379" s="570"/>
      <c r="C379" s="76"/>
      <c r="D379" s="662"/>
      <c r="E379" s="280">
        <v>3903</v>
      </c>
      <c r="F379" s="679">
        <v>3040</v>
      </c>
      <c r="G379" s="560"/>
      <c r="H379" s="96"/>
      <c r="I379" s="388"/>
      <c r="J379" s="388"/>
      <c r="K379" s="388"/>
      <c r="L379" s="388"/>
      <c r="M379" s="388"/>
      <c r="N379" s="388"/>
    </row>
    <row r="380" spans="2:14" s="389" customFormat="1" ht="25.5">
      <c r="B380" s="570">
        <v>40</v>
      </c>
      <c r="C380" s="221" t="s">
        <v>667</v>
      </c>
      <c r="D380" s="662">
        <f>+F380+F383</f>
        <v>41800</v>
      </c>
      <c r="E380" s="559">
        <v>2000</v>
      </c>
      <c r="F380" s="676">
        <f>SUM(F381:F382)</f>
        <v>14820</v>
      </c>
      <c r="G380" s="560"/>
      <c r="H380" s="96"/>
      <c r="I380" s="388"/>
      <c r="J380" s="388"/>
      <c r="K380" s="388"/>
      <c r="L380" s="388"/>
      <c r="M380" s="388"/>
      <c r="N380" s="388"/>
    </row>
    <row r="381" spans="2:14" s="389" customFormat="1" ht="12.75">
      <c r="B381" s="570"/>
      <c r="C381" s="75"/>
      <c r="D381" s="662"/>
      <c r="E381" s="280">
        <v>2101</v>
      </c>
      <c r="F381" s="679">
        <v>3420</v>
      </c>
      <c r="G381" s="560"/>
      <c r="H381" s="96"/>
      <c r="I381" s="388"/>
      <c r="J381" s="388"/>
      <c r="K381" s="388"/>
      <c r="L381" s="388"/>
      <c r="M381" s="388"/>
      <c r="N381" s="388"/>
    </row>
    <row r="382" spans="2:14" s="389" customFormat="1" ht="12.75">
      <c r="B382" s="570"/>
      <c r="C382" s="75"/>
      <c r="D382" s="662"/>
      <c r="E382" s="280">
        <v>2601</v>
      </c>
      <c r="F382" s="679">
        <v>11400</v>
      </c>
      <c r="G382" s="560" t="s">
        <v>154</v>
      </c>
      <c r="H382" s="96"/>
      <c r="I382" s="388"/>
      <c r="J382" s="388"/>
      <c r="K382" s="388"/>
      <c r="L382" s="388"/>
      <c r="M382" s="388"/>
      <c r="N382" s="388"/>
    </row>
    <row r="383" spans="2:14" s="389" customFormat="1" ht="12.75">
      <c r="B383" s="570"/>
      <c r="C383" s="75"/>
      <c r="D383" s="662"/>
      <c r="E383" s="559">
        <v>3000</v>
      </c>
      <c r="F383" s="676">
        <f>SUM(F384:F386)</f>
        <v>26980</v>
      </c>
      <c r="G383" s="560"/>
      <c r="H383" s="96"/>
      <c r="I383" s="388"/>
      <c r="J383" s="388"/>
      <c r="K383" s="388"/>
      <c r="L383" s="388"/>
      <c r="M383" s="388"/>
      <c r="N383" s="388"/>
    </row>
    <row r="384" spans="2:14" s="389" customFormat="1" ht="12.75">
      <c r="B384" s="570"/>
      <c r="C384" s="75"/>
      <c r="D384" s="662"/>
      <c r="E384" s="280">
        <v>3702</v>
      </c>
      <c r="F384" s="679">
        <v>19000</v>
      </c>
      <c r="G384" s="560" t="s">
        <v>232</v>
      </c>
      <c r="H384" s="96"/>
      <c r="I384" s="388"/>
      <c r="J384" s="388"/>
      <c r="K384" s="388"/>
      <c r="L384" s="388"/>
      <c r="M384" s="388"/>
      <c r="N384" s="388"/>
    </row>
    <row r="385" spans="2:14" s="389" customFormat="1" ht="12.75">
      <c r="B385" s="570"/>
      <c r="C385" s="75"/>
      <c r="D385" s="662"/>
      <c r="E385" s="280">
        <v>3703</v>
      </c>
      <c r="F385" s="679">
        <v>5700</v>
      </c>
      <c r="G385" s="560"/>
      <c r="H385" s="96"/>
      <c r="I385" s="388"/>
      <c r="J385" s="388"/>
      <c r="K385" s="388"/>
      <c r="L385" s="388"/>
      <c r="M385" s="388"/>
      <c r="N385" s="388"/>
    </row>
    <row r="386" spans="2:14" s="389" customFormat="1" ht="12.75">
      <c r="B386" s="570"/>
      <c r="C386" s="76"/>
      <c r="D386" s="662"/>
      <c r="E386" s="280">
        <v>3903</v>
      </c>
      <c r="F386" s="679">
        <v>2280</v>
      </c>
      <c r="G386" s="560"/>
      <c r="H386" s="96"/>
      <c r="I386" s="388"/>
      <c r="J386" s="388"/>
      <c r="K386" s="388"/>
      <c r="L386" s="388"/>
      <c r="M386" s="388"/>
      <c r="N386" s="388"/>
    </row>
    <row r="387" spans="2:9" ht="12.75">
      <c r="B387" s="570"/>
      <c r="C387" s="220" t="s">
        <v>597</v>
      </c>
      <c r="D387" s="698">
        <f>SUM(D388:D512)</f>
        <v>22335079.25</v>
      </c>
      <c r="E387" s="222"/>
      <c r="F387" s="666">
        <f>SUM(F388:F512)/2</f>
        <v>22335079.25</v>
      </c>
      <c r="G387" s="701"/>
      <c r="H387" s="96"/>
      <c r="I387" s="451"/>
    </row>
    <row r="388" spans="2:9" ht="25.5">
      <c r="B388" s="97">
        <v>41</v>
      </c>
      <c r="C388" s="224" t="s">
        <v>39</v>
      </c>
      <c r="D388" s="662">
        <f>+F388+F391</f>
        <v>183600</v>
      </c>
      <c r="E388" s="50">
        <v>2000</v>
      </c>
      <c r="F388" s="673">
        <f>SUM(F389:F390)</f>
        <v>3800</v>
      </c>
      <c r="G388" s="107"/>
      <c r="H388" s="98"/>
      <c r="I388" s="452"/>
    </row>
    <row r="389" spans="2:9" ht="12.75">
      <c r="B389" s="97"/>
      <c r="C389" s="75"/>
      <c r="D389" s="662"/>
      <c r="E389" s="45">
        <v>2101</v>
      </c>
      <c r="F389" s="671">
        <v>1400</v>
      </c>
      <c r="G389" s="107"/>
      <c r="H389" s="98"/>
      <c r="I389" s="452"/>
    </row>
    <row r="390" spans="2:9" ht="12.75">
      <c r="B390" s="97"/>
      <c r="C390" s="75"/>
      <c r="D390" s="662"/>
      <c r="E390" s="45">
        <v>2105</v>
      </c>
      <c r="F390" s="671">
        <v>2400</v>
      </c>
      <c r="G390" s="107"/>
      <c r="H390" s="98"/>
      <c r="I390" s="452"/>
    </row>
    <row r="391" spans="2:9" ht="12.75">
      <c r="B391" s="97"/>
      <c r="C391" s="75"/>
      <c r="D391" s="662"/>
      <c r="E391" s="50">
        <v>3000</v>
      </c>
      <c r="F391" s="673">
        <f>SUM(F392)</f>
        <v>179800</v>
      </c>
      <c r="G391" s="107"/>
      <c r="H391" s="98"/>
      <c r="I391" s="452"/>
    </row>
    <row r="392" spans="2:9" ht="12.75">
      <c r="B392" s="97"/>
      <c r="C392" s="75"/>
      <c r="D392" s="662"/>
      <c r="E392" s="45">
        <v>3301</v>
      </c>
      <c r="F392" s="671">
        <v>179800</v>
      </c>
      <c r="G392" s="107"/>
      <c r="H392" s="98"/>
      <c r="I392" s="452"/>
    </row>
    <row r="393" spans="2:15" ht="25.5">
      <c r="B393" s="97">
        <v>42</v>
      </c>
      <c r="C393" s="224" t="s">
        <v>56</v>
      </c>
      <c r="D393" s="662">
        <f>+F393+F397</f>
        <v>128600</v>
      </c>
      <c r="E393" s="50">
        <v>2000</v>
      </c>
      <c r="F393" s="673">
        <f>SUM(F394:F396)</f>
        <v>66800</v>
      </c>
      <c r="G393" s="107"/>
      <c r="H393" s="98"/>
      <c r="I393" s="452"/>
      <c r="O393" s="450"/>
    </row>
    <row r="394" spans="2:15" ht="12.75">
      <c r="B394" s="97"/>
      <c r="C394" s="75"/>
      <c r="D394" s="662"/>
      <c r="E394" s="45">
        <v>2101</v>
      </c>
      <c r="F394" s="671">
        <v>2000</v>
      </c>
      <c r="G394" s="107"/>
      <c r="H394" s="98"/>
      <c r="I394" s="452"/>
      <c r="O394" s="450"/>
    </row>
    <row r="395" spans="2:9" ht="12.75">
      <c r="B395" s="172"/>
      <c r="C395" s="75"/>
      <c r="D395" s="662"/>
      <c r="E395" s="45">
        <v>2105</v>
      </c>
      <c r="F395" s="671">
        <v>4000</v>
      </c>
      <c r="G395" s="107"/>
      <c r="H395" s="98"/>
      <c r="I395" s="452"/>
    </row>
    <row r="396" spans="2:9" ht="12.75">
      <c r="B396" s="172"/>
      <c r="C396" s="75"/>
      <c r="D396" s="662"/>
      <c r="E396" s="45">
        <v>2601</v>
      </c>
      <c r="F396" s="671">
        <v>60800</v>
      </c>
      <c r="G396" s="107" t="s">
        <v>154</v>
      </c>
      <c r="H396" s="98"/>
      <c r="I396" s="452"/>
    </row>
    <row r="397" spans="2:9" ht="12.75">
      <c r="B397" s="172"/>
      <c r="C397" s="75"/>
      <c r="D397" s="662"/>
      <c r="E397" s="50">
        <v>3000</v>
      </c>
      <c r="F397" s="673">
        <f>SUM(F398:F399)</f>
        <v>61800</v>
      </c>
      <c r="G397" s="107"/>
      <c r="H397" s="98"/>
      <c r="I397" s="452"/>
    </row>
    <row r="398" spans="2:9" ht="12.75">
      <c r="B398" s="172"/>
      <c r="C398" s="75"/>
      <c r="D398" s="662"/>
      <c r="E398" s="38">
        <v>3702</v>
      </c>
      <c r="F398" s="671">
        <v>41800</v>
      </c>
      <c r="G398" s="107"/>
      <c r="H398" s="98"/>
      <c r="I398" s="452"/>
    </row>
    <row r="399" spans="2:9" ht="12.75">
      <c r="B399" s="97"/>
      <c r="C399" s="186"/>
      <c r="D399" s="662"/>
      <c r="E399" s="538">
        <v>3703</v>
      </c>
      <c r="F399" s="672">
        <v>20000</v>
      </c>
      <c r="G399" s="107"/>
      <c r="H399" s="98"/>
      <c r="I399" s="452"/>
    </row>
    <row r="400" spans="2:9" ht="38.25">
      <c r="B400" s="97">
        <v>43</v>
      </c>
      <c r="C400" s="224" t="s">
        <v>57</v>
      </c>
      <c r="D400" s="662">
        <f>+F400+F418+F424</f>
        <v>7555500</v>
      </c>
      <c r="E400" s="241">
        <v>2000</v>
      </c>
      <c r="F400" s="682">
        <f>SUM(F401:F417)</f>
        <v>1835500</v>
      </c>
      <c r="G400" s="107"/>
      <c r="H400" s="98"/>
      <c r="I400" s="452"/>
    </row>
    <row r="401" spans="2:9" ht="12.75">
      <c r="B401" s="97"/>
      <c r="C401" s="84"/>
      <c r="D401" s="662"/>
      <c r="E401" s="598">
        <v>2101</v>
      </c>
      <c r="F401" s="599">
        <v>400000</v>
      </c>
      <c r="G401" s="107"/>
      <c r="H401" s="600"/>
      <c r="I401" s="452"/>
    </row>
    <row r="402" spans="2:9" ht="12.75">
      <c r="B402" s="97"/>
      <c r="C402" s="75"/>
      <c r="D402" s="662"/>
      <c r="E402" s="598">
        <v>2102</v>
      </c>
      <c r="F402" s="599">
        <v>10000</v>
      </c>
      <c r="G402" s="107"/>
      <c r="H402" s="600"/>
      <c r="I402" s="452"/>
    </row>
    <row r="403" spans="2:9" ht="12.75">
      <c r="B403" s="97"/>
      <c r="C403" s="75"/>
      <c r="D403" s="662"/>
      <c r="E403" s="598">
        <v>2103</v>
      </c>
      <c r="F403" s="599">
        <v>50000</v>
      </c>
      <c r="G403" s="107"/>
      <c r="H403" s="600"/>
      <c r="I403" s="452"/>
    </row>
    <row r="404" spans="2:9" ht="12.75">
      <c r="B404" s="97"/>
      <c r="C404" s="75"/>
      <c r="D404" s="662"/>
      <c r="E404" s="598">
        <v>2104</v>
      </c>
      <c r="F404" s="599">
        <v>54000</v>
      </c>
      <c r="G404" s="107"/>
      <c r="H404" s="600"/>
      <c r="I404" s="452"/>
    </row>
    <row r="405" spans="2:9" ht="12.75">
      <c r="B405" s="97"/>
      <c r="C405" s="75"/>
      <c r="D405" s="662"/>
      <c r="E405" s="598">
        <v>2105</v>
      </c>
      <c r="F405" s="599">
        <v>300000</v>
      </c>
      <c r="G405" s="107"/>
      <c r="H405" s="600"/>
      <c r="I405" s="452"/>
    </row>
    <row r="406" spans="2:9" ht="12.75">
      <c r="B406" s="97"/>
      <c r="C406" s="75"/>
      <c r="D406" s="662"/>
      <c r="E406" s="598">
        <v>2302</v>
      </c>
      <c r="F406" s="599">
        <v>180000</v>
      </c>
      <c r="G406" s="107"/>
      <c r="H406" s="600"/>
      <c r="I406" s="452"/>
    </row>
    <row r="407" spans="2:9" ht="12.75">
      <c r="B407" s="97"/>
      <c r="C407" s="75"/>
      <c r="D407" s="662"/>
      <c r="E407" s="598">
        <v>2304</v>
      </c>
      <c r="F407" s="599">
        <v>75000</v>
      </c>
      <c r="G407" s="107"/>
      <c r="H407" s="600"/>
      <c r="I407" s="452"/>
    </row>
    <row r="408" spans="2:9" ht="12.75">
      <c r="B408" s="97"/>
      <c r="C408" s="75"/>
      <c r="D408" s="662"/>
      <c r="E408" s="45">
        <v>2401</v>
      </c>
      <c r="F408" s="602">
        <v>50000</v>
      </c>
      <c r="G408" s="107"/>
      <c r="H408" s="600"/>
      <c r="I408" s="452"/>
    </row>
    <row r="409" spans="2:9" ht="12.75">
      <c r="B409" s="97"/>
      <c r="C409" s="75"/>
      <c r="D409" s="662"/>
      <c r="E409" s="45">
        <v>2402</v>
      </c>
      <c r="F409" s="602">
        <v>45000</v>
      </c>
      <c r="G409" s="107"/>
      <c r="H409" s="600"/>
      <c r="I409" s="452"/>
    </row>
    <row r="410" spans="2:9" ht="12.75">
      <c r="B410" s="97"/>
      <c r="C410" s="75"/>
      <c r="D410" s="662"/>
      <c r="E410" s="45">
        <v>2403</v>
      </c>
      <c r="F410" s="602">
        <v>500000</v>
      </c>
      <c r="G410" s="107"/>
      <c r="H410" s="600"/>
      <c r="I410" s="452"/>
    </row>
    <row r="411" spans="2:9" ht="12.75">
      <c r="B411" s="97"/>
      <c r="C411" s="75"/>
      <c r="D411" s="662"/>
      <c r="E411" s="45">
        <v>2404</v>
      </c>
      <c r="F411" s="602">
        <v>50000</v>
      </c>
      <c r="G411" s="107"/>
      <c r="H411" s="600"/>
      <c r="I411" s="452"/>
    </row>
    <row r="412" spans="2:9" ht="12.75">
      <c r="B412" s="97"/>
      <c r="C412" s="75"/>
      <c r="D412" s="662"/>
      <c r="E412" s="45">
        <v>2501</v>
      </c>
      <c r="F412" s="602">
        <v>20000</v>
      </c>
      <c r="G412" s="107"/>
      <c r="H412" s="600"/>
      <c r="I412" s="452"/>
    </row>
    <row r="413" spans="2:9" ht="12.75">
      <c r="B413" s="97"/>
      <c r="C413" s="75"/>
      <c r="D413" s="662"/>
      <c r="E413" s="45">
        <v>2502</v>
      </c>
      <c r="F413" s="602">
        <v>1500</v>
      </c>
      <c r="G413" s="107"/>
      <c r="H413" s="600"/>
      <c r="I413" s="452"/>
    </row>
    <row r="414" spans="2:9" ht="12.75">
      <c r="B414" s="97"/>
      <c r="C414" s="75"/>
      <c r="D414" s="662"/>
      <c r="E414" s="45">
        <v>2503</v>
      </c>
      <c r="F414" s="602">
        <v>15000</v>
      </c>
      <c r="G414" s="107"/>
      <c r="H414" s="600"/>
      <c r="I414" s="452"/>
    </row>
    <row r="415" spans="2:9" ht="12.75">
      <c r="B415" s="97"/>
      <c r="C415" s="75"/>
      <c r="D415" s="662"/>
      <c r="E415" s="45">
        <v>2505</v>
      </c>
      <c r="F415" s="602">
        <v>15000</v>
      </c>
      <c r="G415" s="107"/>
      <c r="H415" s="600"/>
      <c r="I415" s="452"/>
    </row>
    <row r="416" spans="2:9" ht="12.75">
      <c r="B416" s="97"/>
      <c r="C416" s="75"/>
      <c r="D416" s="662"/>
      <c r="E416" s="45">
        <v>2701</v>
      </c>
      <c r="F416" s="602">
        <v>50000</v>
      </c>
      <c r="G416" s="107"/>
      <c r="H416" s="600"/>
      <c r="I416" s="452"/>
    </row>
    <row r="417" spans="2:9" ht="12.75">
      <c r="B417" s="97"/>
      <c r="C417" s="75"/>
      <c r="D417" s="662"/>
      <c r="E417" s="45">
        <v>2703</v>
      </c>
      <c r="F417" s="602">
        <v>20000</v>
      </c>
      <c r="G417" s="107"/>
      <c r="H417" s="600"/>
      <c r="I417" s="452"/>
    </row>
    <row r="418" spans="2:9" ht="12.75">
      <c r="B418" s="97"/>
      <c r="C418" s="75"/>
      <c r="D418" s="662"/>
      <c r="E418" s="50">
        <v>3000</v>
      </c>
      <c r="F418" s="683">
        <f>SUM(F419:F423)</f>
        <v>872000</v>
      </c>
      <c r="G418" s="107"/>
      <c r="H418" s="600"/>
      <c r="I418" s="452"/>
    </row>
    <row r="419" spans="2:9" ht="12.75">
      <c r="B419" s="97"/>
      <c r="C419" s="75"/>
      <c r="D419" s="662"/>
      <c r="E419" s="38">
        <v>3303</v>
      </c>
      <c r="F419" s="684">
        <v>500000</v>
      </c>
      <c r="G419" s="107"/>
      <c r="H419" s="600"/>
      <c r="I419" s="452"/>
    </row>
    <row r="420" spans="2:9" ht="12.75">
      <c r="B420" s="97"/>
      <c r="C420" s="75"/>
      <c r="D420" s="662"/>
      <c r="E420" s="38">
        <v>3401</v>
      </c>
      <c r="F420" s="684">
        <v>18000</v>
      </c>
      <c r="G420" s="107"/>
      <c r="H420" s="600"/>
      <c r="I420" s="452"/>
    </row>
    <row r="421" spans="2:9" ht="12.75">
      <c r="B421" s="97"/>
      <c r="C421" s="75"/>
      <c r="D421" s="662"/>
      <c r="E421" s="38">
        <v>3503</v>
      </c>
      <c r="F421" s="684">
        <v>180000</v>
      </c>
      <c r="G421" s="107"/>
      <c r="H421" s="600"/>
      <c r="I421" s="452"/>
    </row>
    <row r="422" spans="2:9" ht="12.75">
      <c r="B422" s="97"/>
      <c r="C422" s="75"/>
      <c r="D422" s="662"/>
      <c r="E422" s="38">
        <v>3601</v>
      </c>
      <c r="F422" s="684">
        <v>24000</v>
      </c>
      <c r="G422" s="107"/>
      <c r="H422" s="600"/>
      <c r="I422" s="452"/>
    </row>
    <row r="423" spans="2:9" ht="12.75">
      <c r="B423" s="97"/>
      <c r="C423" s="75"/>
      <c r="D423" s="662"/>
      <c r="E423" s="38">
        <v>3604</v>
      </c>
      <c r="F423" s="684">
        <v>150000</v>
      </c>
      <c r="G423" s="107"/>
      <c r="H423" s="600"/>
      <c r="I423" s="452"/>
    </row>
    <row r="424" spans="2:9" ht="12.75">
      <c r="B424" s="97"/>
      <c r="C424" s="75"/>
      <c r="D424" s="662"/>
      <c r="E424" s="52">
        <v>5000</v>
      </c>
      <c r="F424" s="685">
        <f>SUM(F425:F434)</f>
        <v>4848000</v>
      </c>
      <c r="G424" s="107"/>
      <c r="H424" s="600"/>
      <c r="I424" s="452"/>
    </row>
    <row r="425" spans="2:9" ht="12.75">
      <c r="B425" s="97"/>
      <c r="C425" s="75"/>
      <c r="D425" s="662"/>
      <c r="E425" s="603">
        <v>5101</v>
      </c>
      <c r="F425" s="604">
        <v>2500000</v>
      </c>
      <c r="G425" s="173"/>
      <c r="H425" s="600"/>
      <c r="I425" s="452"/>
    </row>
    <row r="426" spans="2:9" ht="12.75">
      <c r="B426" s="97"/>
      <c r="C426" s="75"/>
      <c r="D426" s="662"/>
      <c r="E426" s="603">
        <v>5102</v>
      </c>
      <c r="F426" s="604">
        <v>500000</v>
      </c>
      <c r="G426" s="173"/>
      <c r="H426" s="600"/>
      <c r="I426" s="452"/>
    </row>
    <row r="427" spans="2:9" ht="12.75">
      <c r="B427" s="97"/>
      <c r="C427" s="75"/>
      <c r="D427" s="662"/>
      <c r="E427" s="603">
        <v>5103</v>
      </c>
      <c r="F427" s="604">
        <v>3000</v>
      </c>
      <c r="G427" s="173"/>
      <c r="H427" s="98"/>
      <c r="I427" s="452"/>
    </row>
    <row r="428" spans="2:9" ht="12.75">
      <c r="B428" s="97"/>
      <c r="C428" s="75"/>
      <c r="D428" s="662"/>
      <c r="E428" s="603">
        <v>5104</v>
      </c>
      <c r="F428" s="604">
        <v>20000</v>
      </c>
      <c r="G428" s="173"/>
      <c r="H428" s="98"/>
      <c r="I428" s="452"/>
    </row>
    <row r="429" spans="2:9" ht="12.75">
      <c r="B429" s="97"/>
      <c r="C429" s="75"/>
      <c r="D429" s="662"/>
      <c r="E429" s="603">
        <v>5202</v>
      </c>
      <c r="F429" s="604">
        <v>50000</v>
      </c>
      <c r="G429" s="173"/>
      <c r="H429" s="98"/>
      <c r="I429" s="452"/>
    </row>
    <row r="430" spans="2:9" ht="12.75">
      <c r="B430" s="97"/>
      <c r="C430" s="75"/>
      <c r="D430" s="662"/>
      <c r="E430" s="603">
        <v>5204</v>
      </c>
      <c r="F430" s="604">
        <v>60000</v>
      </c>
      <c r="G430" s="173"/>
      <c r="H430" s="98"/>
      <c r="I430" s="452"/>
    </row>
    <row r="431" spans="2:9" ht="12.75">
      <c r="B431" s="97"/>
      <c r="C431" s="75"/>
      <c r="D431" s="662"/>
      <c r="E431" s="603">
        <v>5205</v>
      </c>
      <c r="F431" s="604">
        <v>100000</v>
      </c>
      <c r="G431" s="173"/>
      <c r="H431" s="98"/>
      <c r="I431" s="452"/>
    </row>
    <row r="432" spans="2:9" ht="12.75">
      <c r="B432" s="97"/>
      <c r="C432" s="75"/>
      <c r="D432" s="662"/>
      <c r="E432" s="603">
        <v>5206</v>
      </c>
      <c r="F432" s="604">
        <v>1000000</v>
      </c>
      <c r="G432" s="173"/>
      <c r="H432" s="98"/>
      <c r="I432" s="452"/>
    </row>
    <row r="433" spans="2:9" ht="12.75">
      <c r="B433" s="97"/>
      <c r="C433" s="75"/>
      <c r="D433" s="662"/>
      <c r="E433" s="603">
        <v>5301</v>
      </c>
      <c r="F433" s="605">
        <v>600000</v>
      </c>
      <c r="G433" s="173"/>
      <c r="H433" s="98"/>
      <c r="I433" s="452"/>
    </row>
    <row r="434" spans="2:9" ht="12.75">
      <c r="B434" s="97"/>
      <c r="C434" s="75"/>
      <c r="D434" s="662"/>
      <c r="E434" s="603">
        <v>5501</v>
      </c>
      <c r="F434" s="604">
        <v>15000</v>
      </c>
      <c r="G434" s="173"/>
      <c r="H434" s="98"/>
      <c r="I434" s="452"/>
    </row>
    <row r="435" spans="2:9" ht="25.5">
      <c r="B435" s="97">
        <v>44</v>
      </c>
      <c r="C435" s="224" t="s">
        <v>59</v>
      </c>
      <c r="D435" s="662">
        <f>+F435</f>
        <v>5000</v>
      </c>
      <c r="E435" s="50">
        <v>2000</v>
      </c>
      <c r="F435" s="628">
        <f>SUM(F436:F437)</f>
        <v>5000</v>
      </c>
      <c r="G435" s="107"/>
      <c r="H435" s="98"/>
      <c r="I435" s="452"/>
    </row>
    <row r="436" spans="2:9" ht="12.75">
      <c r="B436" s="97"/>
      <c r="C436" s="75"/>
      <c r="D436" s="662"/>
      <c r="E436" s="45">
        <v>2101</v>
      </c>
      <c r="F436" s="672">
        <v>3000</v>
      </c>
      <c r="G436" s="107"/>
      <c r="H436" s="98"/>
      <c r="I436" s="452"/>
    </row>
    <row r="437" spans="2:9" ht="12.75">
      <c r="B437" s="97"/>
      <c r="C437" s="75"/>
      <c r="D437" s="662"/>
      <c r="E437" s="45">
        <v>2105</v>
      </c>
      <c r="F437" s="672">
        <v>2000</v>
      </c>
      <c r="G437" s="107"/>
      <c r="H437" s="98"/>
      <c r="I437" s="452"/>
    </row>
    <row r="438" spans="2:9" ht="29.25" customHeight="1">
      <c r="B438" s="97">
        <v>45</v>
      </c>
      <c r="C438" s="224" t="s">
        <v>61</v>
      </c>
      <c r="D438" s="662">
        <f>+F438+F441</f>
        <v>119300</v>
      </c>
      <c r="E438" s="50">
        <v>2000</v>
      </c>
      <c r="F438" s="628">
        <f>SUM(F439:F440)</f>
        <v>4300</v>
      </c>
      <c r="G438" s="107"/>
      <c r="H438" s="98"/>
      <c r="I438" s="452"/>
    </row>
    <row r="439" spans="2:9" ht="12.75">
      <c r="B439" s="97"/>
      <c r="C439" s="75"/>
      <c r="D439" s="662"/>
      <c r="E439" s="45">
        <v>2101</v>
      </c>
      <c r="F439" s="672">
        <v>2000</v>
      </c>
      <c r="G439" s="107"/>
      <c r="H439" s="98"/>
      <c r="I439" s="452"/>
    </row>
    <row r="440" spans="2:9" ht="12.75">
      <c r="B440" s="97"/>
      <c r="C440" s="75"/>
      <c r="D440" s="662"/>
      <c r="E440" s="45">
        <v>2105</v>
      </c>
      <c r="F440" s="672">
        <v>2300</v>
      </c>
      <c r="G440" s="107"/>
      <c r="H440" s="98"/>
      <c r="I440" s="452"/>
    </row>
    <row r="441" spans="2:9" ht="12.75">
      <c r="B441" s="97"/>
      <c r="C441" s="75"/>
      <c r="D441" s="662"/>
      <c r="E441" s="50">
        <v>3000</v>
      </c>
      <c r="F441" s="628">
        <f>SUM(F442:F443)</f>
        <v>115000</v>
      </c>
      <c r="G441" s="107"/>
      <c r="H441" s="98"/>
      <c r="I441" s="452"/>
    </row>
    <row r="442" spans="2:9" ht="12.75">
      <c r="B442" s="97"/>
      <c r="C442" s="75"/>
      <c r="D442" s="662"/>
      <c r="E442" s="38">
        <v>3301</v>
      </c>
      <c r="F442" s="672">
        <v>25000</v>
      </c>
      <c r="G442" s="107"/>
      <c r="H442" s="98"/>
      <c r="I442" s="452"/>
    </row>
    <row r="443" spans="2:9" ht="12.75">
      <c r="B443" s="97"/>
      <c r="C443" s="75"/>
      <c r="D443" s="662"/>
      <c r="E443" s="38">
        <v>3608</v>
      </c>
      <c r="F443" s="672">
        <v>90000</v>
      </c>
      <c r="G443" s="107"/>
      <c r="H443" s="98"/>
      <c r="I443" s="452"/>
    </row>
    <row r="444" spans="2:9" ht="25.5">
      <c r="B444" s="97">
        <v>46</v>
      </c>
      <c r="C444" s="224" t="s">
        <v>63</v>
      </c>
      <c r="D444" s="662">
        <f>+F444+F448+F455</f>
        <v>802000</v>
      </c>
      <c r="E444" s="50">
        <v>2000</v>
      </c>
      <c r="F444" s="628">
        <f>SUM(F445:F447)</f>
        <v>80000</v>
      </c>
      <c r="G444" s="107"/>
      <c r="H444" s="98"/>
      <c r="I444" s="452"/>
    </row>
    <row r="445" spans="2:9" ht="12.75">
      <c r="B445" s="97"/>
      <c r="C445" s="75"/>
      <c r="D445" s="662"/>
      <c r="E445" s="45">
        <v>2101</v>
      </c>
      <c r="F445" s="672">
        <f>5000+5000+10000+20000</f>
        <v>40000</v>
      </c>
      <c r="G445" s="107"/>
      <c r="H445" s="98"/>
      <c r="I445" s="452"/>
    </row>
    <row r="446" spans="2:9" ht="12.75">
      <c r="B446" s="97"/>
      <c r="C446" s="75"/>
      <c r="D446" s="662"/>
      <c r="E446" s="45">
        <v>2201</v>
      </c>
      <c r="F446" s="672">
        <v>30000</v>
      </c>
      <c r="G446" s="107"/>
      <c r="H446" s="98"/>
      <c r="I446" s="452"/>
    </row>
    <row r="447" spans="2:9" ht="12.75">
      <c r="B447" s="97"/>
      <c r="C447" s="75"/>
      <c r="D447" s="662"/>
      <c r="E447" s="45">
        <v>2304</v>
      </c>
      <c r="F447" s="672">
        <v>10000</v>
      </c>
      <c r="G447" s="107"/>
      <c r="H447" s="98"/>
      <c r="I447" s="452"/>
    </row>
    <row r="448" spans="2:9" ht="12.75">
      <c r="B448" s="97"/>
      <c r="C448" s="75"/>
      <c r="D448" s="662"/>
      <c r="E448" s="50">
        <v>3000</v>
      </c>
      <c r="F448" s="628">
        <f>SUM(F449:F454)</f>
        <v>622000</v>
      </c>
      <c r="G448" s="107"/>
      <c r="H448" s="98"/>
      <c r="I448" s="452"/>
    </row>
    <row r="449" spans="2:9" ht="12.75">
      <c r="B449" s="97"/>
      <c r="C449" s="75"/>
      <c r="D449" s="662"/>
      <c r="E449" s="38">
        <v>3301</v>
      </c>
      <c r="F449" s="672">
        <v>435000</v>
      </c>
      <c r="G449" s="107"/>
      <c r="H449" s="98"/>
      <c r="I449" s="452"/>
    </row>
    <row r="450" spans="2:9" ht="12.75">
      <c r="B450" s="97"/>
      <c r="C450" s="75"/>
      <c r="D450" s="662"/>
      <c r="E450" s="38">
        <v>3303</v>
      </c>
      <c r="F450" s="672">
        <v>15000</v>
      </c>
      <c r="G450" s="107"/>
      <c r="H450" s="98"/>
      <c r="I450" s="452"/>
    </row>
    <row r="451" spans="2:9" ht="12.75">
      <c r="B451" s="97"/>
      <c r="C451" s="75"/>
      <c r="D451" s="662"/>
      <c r="E451" s="38">
        <v>3306</v>
      </c>
      <c r="F451" s="671">
        <v>20000</v>
      </c>
      <c r="G451" s="107"/>
      <c r="H451" s="98"/>
      <c r="I451" s="452"/>
    </row>
    <row r="452" spans="2:9" ht="12.75">
      <c r="B452" s="97"/>
      <c r="C452" s="75"/>
      <c r="D452" s="662"/>
      <c r="E452" s="38">
        <v>3701</v>
      </c>
      <c r="F452" s="671">
        <f>15000+33000</f>
        <v>48000</v>
      </c>
      <c r="G452" s="107" t="s">
        <v>232</v>
      </c>
      <c r="H452" s="98"/>
      <c r="I452" s="452"/>
    </row>
    <row r="453" spans="2:9" ht="12.75">
      <c r="B453" s="97"/>
      <c r="C453" s="75"/>
      <c r="D453" s="662"/>
      <c r="E453" s="38">
        <v>3702</v>
      </c>
      <c r="F453" s="671">
        <f>20000+24000+50000</f>
        <v>94000</v>
      </c>
      <c r="G453" s="107" t="s">
        <v>232</v>
      </c>
      <c r="H453" s="98"/>
      <c r="I453" s="452"/>
    </row>
    <row r="454" spans="2:9" ht="12.75">
      <c r="B454" s="97"/>
      <c r="C454" s="75"/>
      <c r="D454" s="662"/>
      <c r="E454" s="38">
        <v>3703</v>
      </c>
      <c r="F454" s="671">
        <v>10000</v>
      </c>
      <c r="G454" s="107"/>
      <c r="H454" s="98"/>
      <c r="I454" s="452"/>
    </row>
    <row r="455" spans="2:9" ht="12.75">
      <c r="B455" s="97"/>
      <c r="C455" s="75"/>
      <c r="D455" s="662"/>
      <c r="E455" s="52">
        <v>5000</v>
      </c>
      <c r="F455" s="673">
        <f>SUM(F456:F457)</f>
        <v>100000</v>
      </c>
      <c r="G455" s="107"/>
      <c r="H455" s="98"/>
      <c r="I455" s="452"/>
    </row>
    <row r="456" spans="2:9" ht="12.75">
      <c r="B456" s="97"/>
      <c r="C456" s="75"/>
      <c r="D456" s="662"/>
      <c r="E456" s="38">
        <v>5101</v>
      </c>
      <c r="F456" s="671">
        <v>55000</v>
      </c>
      <c r="G456" s="107"/>
      <c r="H456" s="98"/>
      <c r="I456" s="452"/>
    </row>
    <row r="457" spans="2:9" ht="12.75">
      <c r="B457" s="97"/>
      <c r="C457" s="186"/>
      <c r="D457" s="662"/>
      <c r="E457" s="38">
        <v>5206</v>
      </c>
      <c r="F457" s="671">
        <v>45000</v>
      </c>
      <c r="G457" s="107"/>
      <c r="H457" s="98"/>
      <c r="I457" s="452"/>
    </row>
    <row r="458" spans="2:9" ht="25.5">
      <c r="B458" s="97">
        <v>47</v>
      </c>
      <c r="C458" s="224" t="s">
        <v>307</v>
      </c>
      <c r="D458" s="662">
        <f>+F458+F461</f>
        <v>7160853</v>
      </c>
      <c r="E458" s="78">
        <v>2000</v>
      </c>
      <c r="F458" s="686">
        <f>SUM(F459:F460)</f>
        <v>142150</v>
      </c>
      <c r="G458" s="107"/>
      <c r="H458" s="98"/>
      <c r="I458" s="452"/>
    </row>
    <row r="459" spans="2:9" ht="12.75">
      <c r="B459" s="97"/>
      <c r="C459" s="75"/>
      <c r="D459" s="662"/>
      <c r="E459" s="44">
        <v>2104</v>
      </c>
      <c r="F459" s="616">
        <v>126000</v>
      </c>
      <c r="G459" s="107"/>
      <c r="H459" s="98"/>
      <c r="I459" s="452"/>
    </row>
    <row r="460" spans="2:9" ht="12.75">
      <c r="B460" s="97"/>
      <c r="C460" s="75"/>
      <c r="D460" s="662"/>
      <c r="E460" s="44">
        <v>2207</v>
      </c>
      <c r="F460" s="616">
        <v>16150</v>
      </c>
      <c r="G460" s="107"/>
      <c r="H460" s="98"/>
      <c r="I460" s="452"/>
    </row>
    <row r="461" spans="2:9" ht="12.75">
      <c r="B461" s="97"/>
      <c r="C461" s="75"/>
      <c r="D461" s="662"/>
      <c r="E461" s="49">
        <v>3000</v>
      </c>
      <c r="F461" s="611">
        <f>SUM(F462:F477)</f>
        <v>7018703</v>
      </c>
      <c r="G461" s="107"/>
      <c r="H461" s="98"/>
      <c r="I461" s="452"/>
    </row>
    <row r="462" spans="2:9" ht="12.75">
      <c r="B462" s="97"/>
      <c r="C462" s="75"/>
      <c r="D462" s="662"/>
      <c r="E462" s="44">
        <v>3103</v>
      </c>
      <c r="F462" s="616">
        <v>466366</v>
      </c>
      <c r="G462" s="107"/>
      <c r="H462" s="98"/>
      <c r="I462" s="452"/>
    </row>
    <row r="463" spans="2:9" ht="12.75">
      <c r="B463" s="97"/>
      <c r="C463" s="75"/>
      <c r="D463" s="662"/>
      <c r="E463" s="44">
        <v>3104</v>
      </c>
      <c r="F463" s="616">
        <v>744000</v>
      </c>
      <c r="G463" s="107"/>
      <c r="H463" s="98"/>
      <c r="I463" s="452"/>
    </row>
    <row r="464" spans="2:9" ht="12.75">
      <c r="B464" s="97"/>
      <c r="C464" s="75"/>
      <c r="D464" s="662"/>
      <c r="E464" s="44">
        <v>3106</v>
      </c>
      <c r="F464" s="616">
        <v>38850</v>
      </c>
      <c r="G464" s="107"/>
      <c r="H464" s="98"/>
      <c r="I464" s="452"/>
    </row>
    <row r="465" spans="2:9" ht="12.75">
      <c r="B465" s="97"/>
      <c r="C465" s="75"/>
      <c r="D465" s="662"/>
      <c r="E465" s="44">
        <v>3201</v>
      </c>
      <c r="F465" s="616">
        <v>2785000</v>
      </c>
      <c r="G465" s="107"/>
      <c r="H465" s="98"/>
      <c r="I465" s="452"/>
    </row>
    <row r="466" spans="2:9" ht="12.75">
      <c r="B466" s="97"/>
      <c r="C466" s="75"/>
      <c r="D466" s="662"/>
      <c r="E466" s="44">
        <v>3202</v>
      </c>
      <c r="F466" s="616">
        <v>130000</v>
      </c>
      <c r="G466" s="107"/>
      <c r="H466" s="98"/>
      <c r="I466" s="452"/>
    </row>
    <row r="467" spans="2:9" ht="12.75">
      <c r="B467" s="97"/>
      <c r="C467" s="75"/>
      <c r="D467" s="662"/>
      <c r="E467" s="44">
        <v>3203</v>
      </c>
      <c r="F467" s="616">
        <v>200000</v>
      </c>
      <c r="G467" s="107"/>
      <c r="H467" s="98"/>
      <c r="I467" s="452"/>
    </row>
    <row r="468" spans="2:9" ht="12.75">
      <c r="B468" s="97"/>
      <c r="C468" s="75"/>
      <c r="D468" s="662"/>
      <c r="E468" s="44">
        <v>3204</v>
      </c>
      <c r="F468" s="616">
        <v>63000</v>
      </c>
      <c r="G468" s="107"/>
      <c r="H468" s="98"/>
      <c r="I468" s="452"/>
    </row>
    <row r="469" spans="2:9" ht="12.75">
      <c r="B469" s="97"/>
      <c r="C469" s="75"/>
      <c r="D469" s="662"/>
      <c r="E469" s="44">
        <v>3205</v>
      </c>
      <c r="F469" s="616">
        <v>15000</v>
      </c>
      <c r="G469" s="107"/>
      <c r="H469" s="98"/>
      <c r="I469" s="452"/>
    </row>
    <row r="470" spans="2:9" ht="12.75">
      <c r="B470" s="97"/>
      <c r="C470" s="75"/>
      <c r="D470" s="662"/>
      <c r="E470" s="44">
        <v>3301</v>
      </c>
      <c r="F470" s="616">
        <v>150000</v>
      </c>
      <c r="G470" s="107"/>
      <c r="H470" s="98"/>
      <c r="I470" s="452"/>
    </row>
    <row r="471" spans="2:9" ht="12.75">
      <c r="B471" s="97"/>
      <c r="C471" s="75"/>
      <c r="D471" s="662"/>
      <c r="E471" s="44">
        <v>3303</v>
      </c>
      <c r="F471" s="616">
        <v>638500</v>
      </c>
      <c r="G471" s="107"/>
      <c r="H471" s="98"/>
      <c r="I471" s="452"/>
    </row>
    <row r="472" spans="2:9" ht="12.75">
      <c r="B472" s="97"/>
      <c r="C472" s="75"/>
      <c r="D472" s="662"/>
      <c r="E472" s="44">
        <v>3304</v>
      </c>
      <c r="F472" s="616">
        <v>15000</v>
      </c>
      <c r="G472" s="107"/>
      <c r="H472" s="98"/>
      <c r="I472" s="452"/>
    </row>
    <row r="473" spans="2:9" ht="12.75">
      <c r="B473" s="97"/>
      <c r="C473" s="75"/>
      <c r="D473" s="662"/>
      <c r="E473" s="44">
        <v>3401</v>
      </c>
      <c r="F473" s="616">
        <v>352500</v>
      </c>
      <c r="G473" s="107"/>
      <c r="H473" s="98"/>
      <c r="I473" s="452"/>
    </row>
    <row r="474" spans="2:9" ht="12.75">
      <c r="B474" s="97"/>
      <c r="C474" s="75"/>
      <c r="D474" s="662"/>
      <c r="E474" s="44">
        <v>3407</v>
      </c>
      <c r="F474" s="616">
        <v>1141087</v>
      </c>
      <c r="G474" s="107"/>
      <c r="H474" s="98"/>
      <c r="I474" s="452"/>
    </row>
    <row r="475" spans="2:9" ht="12.75">
      <c r="B475" s="97"/>
      <c r="C475" s="75"/>
      <c r="D475" s="662"/>
      <c r="E475" s="44">
        <v>3504</v>
      </c>
      <c r="F475" s="616">
        <v>62400</v>
      </c>
      <c r="G475" s="107"/>
      <c r="H475" s="98"/>
      <c r="I475" s="452"/>
    </row>
    <row r="476" spans="2:9" ht="12.75">
      <c r="B476" s="97"/>
      <c r="C476" s="75"/>
      <c r="D476" s="662"/>
      <c r="E476" s="44">
        <v>3606</v>
      </c>
      <c r="F476" s="616">
        <v>57000</v>
      </c>
      <c r="G476" s="107"/>
      <c r="H476" s="98"/>
      <c r="I476" s="452"/>
    </row>
    <row r="477" spans="2:9" ht="12.75">
      <c r="B477" s="97"/>
      <c r="C477" s="76"/>
      <c r="D477" s="662"/>
      <c r="E477" s="44">
        <v>3608</v>
      </c>
      <c r="F477" s="616">
        <v>160000</v>
      </c>
      <c r="G477" s="107"/>
      <c r="H477" s="98"/>
      <c r="I477" s="452"/>
    </row>
    <row r="478" spans="2:9" ht="25.5">
      <c r="B478" s="97">
        <v>48</v>
      </c>
      <c r="C478" s="224" t="s">
        <v>310</v>
      </c>
      <c r="D478" s="662">
        <f>+F478+F480</f>
        <v>2090000</v>
      </c>
      <c r="E478" s="49">
        <v>2000</v>
      </c>
      <c r="F478" s="611">
        <f>SUM(F479)</f>
        <v>0</v>
      </c>
      <c r="G478" s="107"/>
      <c r="H478" s="98"/>
      <c r="I478" s="452"/>
    </row>
    <row r="479" spans="2:9" ht="12.75">
      <c r="B479" s="97"/>
      <c r="C479" s="75"/>
      <c r="D479" s="662"/>
      <c r="E479" s="44">
        <v>2601</v>
      </c>
      <c r="F479" s="616"/>
      <c r="G479" s="107" t="s">
        <v>154</v>
      </c>
      <c r="H479" s="98"/>
      <c r="I479" s="452"/>
    </row>
    <row r="480" spans="2:9" ht="12.75">
      <c r="B480" s="97"/>
      <c r="C480" s="75"/>
      <c r="D480" s="662"/>
      <c r="E480" s="49">
        <v>3000</v>
      </c>
      <c r="F480" s="611">
        <f>SUM(F481:F490)</f>
        <v>2090000</v>
      </c>
      <c r="G480" s="107"/>
      <c r="H480" s="98"/>
      <c r="I480" s="452"/>
    </row>
    <row r="481" spans="2:9" ht="12.75">
      <c r="B481" s="97"/>
      <c r="C481" s="75"/>
      <c r="D481" s="662"/>
      <c r="E481" s="44">
        <v>3408</v>
      </c>
      <c r="F481" s="616">
        <v>1000000</v>
      </c>
      <c r="G481" s="107"/>
      <c r="H481" s="98"/>
      <c r="I481" s="452"/>
    </row>
    <row r="482" spans="2:9" ht="12.75">
      <c r="B482" s="97"/>
      <c r="C482" s="75"/>
      <c r="D482" s="662"/>
      <c r="E482" s="44">
        <v>3501</v>
      </c>
      <c r="F482" s="616">
        <v>25000</v>
      </c>
      <c r="G482" s="107"/>
      <c r="H482" s="98"/>
      <c r="I482" s="452"/>
    </row>
    <row r="483" spans="2:9" ht="12.75">
      <c r="B483" s="97"/>
      <c r="C483" s="75"/>
      <c r="D483" s="662"/>
      <c r="E483" s="44">
        <v>3502</v>
      </c>
      <c r="F483" s="616">
        <v>70000</v>
      </c>
      <c r="G483" s="107"/>
      <c r="H483" s="98"/>
      <c r="I483" s="452"/>
    </row>
    <row r="484" spans="2:9" ht="12.75">
      <c r="B484" s="97"/>
      <c r="C484" s="75"/>
      <c r="D484" s="662"/>
      <c r="E484" s="44">
        <v>3505</v>
      </c>
      <c r="F484" s="616">
        <v>750000</v>
      </c>
      <c r="G484" s="107"/>
      <c r="H484" s="98"/>
      <c r="I484" s="452"/>
    </row>
    <row r="485" spans="2:9" ht="12.75">
      <c r="B485" s="97"/>
      <c r="C485" s="75"/>
      <c r="D485" s="662"/>
      <c r="E485" s="44">
        <v>3506</v>
      </c>
      <c r="F485" s="616">
        <v>3000</v>
      </c>
      <c r="G485" s="107"/>
      <c r="H485" s="98"/>
      <c r="I485" s="452"/>
    </row>
    <row r="486" spans="2:9" ht="12.75">
      <c r="B486" s="97"/>
      <c r="C486" s="75"/>
      <c r="D486" s="662"/>
      <c r="E486" s="44">
        <v>3515</v>
      </c>
      <c r="F486" s="616">
        <v>30000</v>
      </c>
      <c r="G486" s="107"/>
      <c r="H486" s="98"/>
      <c r="I486" s="452"/>
    </row>
    <row r="487" spans="2:9" ht="12.75">
      <c r="B487" s="97"/>
      <c r="C487" s="75"/>
      <c r="D487" s="662"/>
      <c r="E487" s="44">
        <v>3516</v>
      </c>
      <c r="F487" s="616">
        <v>2000</v>
      </c>
      <c r="G487" s="107"/>
      <c r="H487" s="98"/>
      <c r="I487" s="452"/>
    </row>
    <row r="488" spans="2:9" ht="12.75">
      <c r="B488" s="97"/>
      <c r="C488" s="75"/>
      <c r="D488" s="662"/>
      <c r="E488" s="44">
        <v>3702</v>
      </c>
      <c r="F488" s="616">
        <v>150000</v>
      </c>
      <c r="G488" s="107" t="s">
        <v>232</v>
      </c>
      <c r="H488" s="98"/>
      <c r="I488" s="452"/>
    </row>
    <row r="489" spans="2:9" ht="12.75">
      <c r="B489" s="97"/>
      <c r="C489" s="75"/>
      <c r="D489" s="662"/>
      <c r="E489" s="44">
        <v>3703</v>
      </c>
      <c r="F489" s="616">
        <v>30000</v>
      </c>
      <c r="G489" s="109"/>
      <c r="H489" s="98"/>
      <c r="I489" s="452"/>
    </row>
    <row r="490" spans="2:9" ht="12.75">
      <c r="B490" s="97"/>
      <c r="C490" s="76"/>
      <c r="D490" s="662"/>
      <c r="E490" s="44">
        <v>3903</v>
      </c>
      <c r="F490" s="616">
        <v>30000</v>
      </c>
      <c r="G490" s="109"/>
      <c r="H490" s="98"/>
      <c r="I490" s="452"/>
    </row>
    <row r="491" spans="2:9" ht="25.5">
      <c r="B491" s="97">
        <v>49</v>
      </c>
      <c r="C491" s="224" t="s">
        <v>94</v>
      </c>
      <c r="D491" s="662">
        <f>+F491+F493</f>
        <v>3177265</v>
      </c>
      <c r="E491" s="44">
        <v>2000</v>
      </c>
      <c r="F491" s="611">
        <v>2320000</v>
      </c>
      <c r="G491" s="109"/>
      <c r="H491" s="98"/>
      <c r="I491" s="452"/>
    </row>
    <row r="492" spans="2:9" ht="12.75">
      <c r="B492" s="97"/>
      <c r="C492" s="601"/>
      <c r="D492" s="662"/>
      <c r="E492" s="44">
        <v>2601</v>
      </c>
      <c r="F492" s="616">
        <v>2320000</v>
      </c>
      <c r="G492" s="109"/>
      <c r="H492" s="98"/>
      <c r="I492" s="452"/>
    </row>
    <row r="493" spans="2:9" ht="12.75">
      <c r="B493" s="97"/>
      <c r="C493" s="601"/>
      <c r="D493" s="662"/>
      <c r="E493" s="49">
        <v>3000</v>
      </c>
      <c r="F493" s="611">
        <f>SUM(F494:F499)</f>
        <v>857265</v>
      </c>
      <c r="G493" s="109"/>
      <c r="H493" s="98"/>
      <c r="I493" s="452"/>
    </row>
    <row r="494" spans="2:9" ht="12.75">
      <c r="B494" s="97"/>
      <c r="C494" s="75"/>
      <c r="D494" s="662"/>
      <c r="E494" s="44">
        <v>3406</v>
      </c>
      <c r="F494" s="616">
        <v>75000</v>
      </c>
      <c r="G494" s="109"/>
      <c r="H494" s="98"/>
      <c r="I494" s="452"/>
    </row>
    <row r="495" spans="2:9" ht="12.75">
      <c r="B495" s="97"/>
      <c r="C495" s="75"/>
      <c r="D495" s="662"/>
      <c r="E495" s="44">
        <v>3503</v>
      </c>
      <c r="F495" s="616">
        <v>196265</v>
      </c>
      <c r="G495" s="109"/>
      <c r="H495" s="98"/>
      <c r="I495" s="452"/>
    </row>
    <row r="496" spans="2:9" ht="12.75">
      <c r="B496" s="97"/>
      <c r="C496" s="75"/>
      <c r="D496" s="662"/>
      <c r="E496" s="44">
        <v>3514</v>
      </c>
      <c r="F496" s="616">
        <v>196000</v>
      </c>
      <c r="G496" s="109"/>
      <c r="H496" s="98"/>
      <c r="I496" s="452"/>
    </row>
    <row r="497" spans="2:9" ht="12.75">
      <c r="B497" s="97"/>
      <c r="C497" s="75"/>
      <c r="D497" s="662"/>
      <c r="E497" s="44">
        <v>3702</v>
      </c>
      <c r="F497" s="616">
        <v>300000</v>
      </c>
      <c r="G497" s="109" t="s">
        <v>232</v>
      </c>
      <c r="H497" s="98"/>
      <c r="I497" s="452"/>
    </row>
    <row r="498" spans="2:9" ht="12.75">
      <c r="B498" s="97"/>
      <c r="C498" s="75"/>
      <c r="D498" s="662"/>
      <c r="E498" s="44">
        <v>3703</v>
      </c>
      <c r="F498" s="616">
        <v>50000</v>
      </c>
      <c r="G498" s="109"/>
      <c r="H498" s="98"/>
      <c r="I498" s="452"/>
    </row>
    <row r="499" spans="2:9" ht="12.75">
      <c r="B499" s="97"/>
      <c r="C499" s="76"/>
      <c r="D499" s="662"/>
      <c r="E499" s="44">
        <v>3903</v>
      </c>
      <c r="F499" s="616">
        <v>40000</v>
      </c>
      <c r="G499" s="109"/>
      <c r="H499" s="98"/>
      <c r="I499" s="452"/>
    </row>
    <row r="500" spans="2:9" ht="25.5">
      <c r="B500" s="97">
        <v>50</v>
      </c>
      <c r="C500" s="224" t="s">
        <v>96</v>
      </c>
      <c r="D500" s="662">
        <f>+F500</f>
        <v>762561.25</v>
      </c>
      <c r="E500" s="49">
        <v>3000</v>
      </c>
      <c r="F500" s="611">
        <f>SUM(F501)</f>
        <v>762561.25</v>
      </c>
      <c r="G500" s="109"/>
      <c r="H500" s="98"/>
      <c r="I500" s="452"/>
    </row>
    <row r="501" spans="2:9" ht="12.75">
      <c r="B501" s="97"/>
      <c r="C501" s="75"/>
      <c r="D501" s="662"/>
      <c r="E501" s="44">
        <v>3403</v>
      </c>
      <c r="F501" s="616">
        <v>762561.25</v>
      </c>
      <c r="G501" s="109"/>
      <c r="H501" s="98"/>
      <c r="I501" s="452"/>
    </row>
    <row r="502" spans="2:9" ht="12.75">
      <c r="B502" s="97">
        <v>51</v>
      </c>
      <c r="C502" s="394" t="s">
        <v>12</v>
      </c>
      <c r="D502" s="662">
        <f>+F502</f>
        <v>150000</v>
      </c>
      <c r="E502" s="49">
        <v>3000</v>
      </c>
      <c r="F502" s="611">
        <f>SUM(F503:F503)</f>
        <v>150000</v>
      </c>
      <c r="G502" s="107"/>
      <c r="H502" s="98"/>
      <c r="I502" s="452"/>
    </row>
    <row r="503" spans="2:9" ht="12.75">
      <c r="B503" s="97"/>
      <c r="C503" s="75"/>
      <c r="D503" s="662"/>
      <c r="E503" s="44">
        <v>3802</v>
      </c>
      <c r="F503" s="616">
        <v>150000</v>
      </c>
      <c r="G503" s="107"/>
      <c r="H503" s="98"/>
      <c r="I503" s="452"/>
    </row>
    <row r="504" spans="2:14" ht="29.25" customHeight="1">
      <c r="B504" s="97">
        <v>52</v>
      </c>
      <c r="C504" s="75" t="s">
        <v>298</v>
      </c>
      <c r="D504" s="662">
        <f>+F504+F507</f>
        <v>200400</v>
      </c>
      <c r="E504" s="386">
        <v>2000</v>
      </c>
      <c r="F504" s="687">
        <f>SUM(F505:F506)</f>
        <v>30000</v>
      </c>
      <c r="G504" s="107"/>
      <c r="H504" s="98"/>
      <c r="I504" s="454"/>
      <c r="J504" s="455"/>
      <c r="K504" s="455"/>
      <c r="L504" s="455"/>
      <c r="M504" s="455"/>
      <c r="N504" s="455"/>
    </row>
    <row r="505" spans="2:14" ht="12.75">
      <c r="B505" s="97"/>
      <c r="C505" s="75"/>
      <c r="D505" s="662"/>
      <c r="E505" s="42">
        <v>2201</v>
      </c>
      <c r="F505" s="688">
        <v>24000</v>
      </c>
      <c r="G505" s="107"/>
      <c r="H505" s="98"/>
      <c r="I505" s="454"/>
      <c r="J505" s="455"/>
      <c r="K505" s="455"/>
      <c r="L505" s="455"/>
      <c r="M505" s="455"/>
      <c r="N505" s="455"/>
    </row>
    <row r="506" spans="2:14" ht="12.75">
      <c r="B506" s="97"/>
      <c r="C506" s="75"/>
      <c r="D506" s="662"/>
      <c r="E506" s="42">
        <v>2601</v>
      </c>
      <c r="F506" s="688">
        <v>6000</v>
      </c>
      <c r="G506" s="107"/>
      <c r="H506" s="98"/>
      <c r="I506" s="454"/>
      <c r="J506" s="455"/>
      <c r="K506" s="455"/>
      <c r="L506" s="455"/>
      <c r="M506" s="455"/>
      <c r="N506" s="455"/>
    </row>
    <row r="507" spans="2:14" ht="12.75">
      <c r="B507" s="97"/>
      <c r="C507" s="75"/>
      <c r="D507" s="662"/>
      <c r="E507" s="386">
        <v>3000</v>
      </c>
      <c r="F507" s="687">
        <f>SUM(F508:F512)</f>
        <v>170400</v>
      </c>
      <c r="G507" s="107"/>
      <c r="H507" s="98"/>
      <c r="I507" s="454"/>
      <c r="J507" s="455"/>
      <c r="K507" s="455"/>
      <c r="L507" s="455"/>
      <c r="M507" s="455"/>
      <c r="N507" s="455"/>
    </row>
    <row r="508" spans="2:14" ht="12.75">
      <c r="B508" s="97"/>
      <c r="C508" s="75"/>
      <c r="D508" s="662"/>
      <c r="E508" s="42">
        <v>3103</v>
      </c>
      <c r="F508" s="688">
        <v>6000</v>
      </c>
      <c r="G508" s="107"/>
      <c r="H508" s="98"/>
      <c r="I508" s="454"/>
      <c r="J508" s="455"/>
      <c r="K508" s="455"/>
      <c r="L508" s="455"/>
      <c r="M508" s="455"/>
      <c r="N508" s="455"/>
    </row>
    <row r="509" spans="2:14" ht="12.75">
      <c r="B509" s="97"/>
      <c r="C509" s="75"/>
      <c r="D509" s="662"/>
      <c r="E509" s="42">
        <v>3505</v>
      </c>
      <c r="F509" s="688">
        <v>24000</v>
      </c>
      <c r="G509" s="107"/>
      <c r="H509" s="98"/>
      <c r="I509" s="454"/>
      <c r="J509" s="455"/>
      <c r="K509" s="455"/>
      <c r="L509" s="455"/>
      <c r="M509" s="455"/>
      <c r="N509" s="455"/>
    </row>
    <row r="510" spans="2:14" ht="12.75">
      <c r="B510" s="97"/>
      <c r="C510" s="75"/>
      <c r="D510" s="662"/>
      <c r="E510" s="42">
        <v>3701</v>
      </c>
      <c r="F510" s="688">
        <v>24000</v>
      </c>
      <c r="G510" s="107"/>
      <c r="H510" s="98"/>
      <c r="I510" s="454"/>
      <c r="J510" s="455"/>
      <c r="K510" s="455"/>
      <c r="L510" s="455"/>
      <c r="M510" s="455"/>
      <c r="N510" s="455"/>
    </row>
    <row r="511" spans="2:14" ht="12.75">
      <c r="B511" s="97"/>
      <c r="C511" s="75"/>
      <c r="D511" s="662"/>
      <c r="E511" s="42">
        <v>3702</v>
      </c>
      <c r="F511" s="688">
        <v>96000</v>
      </c>
      <c r="G511" s="107"/>
      <c r="H511" s="98"/>
      <c r="I511" s="454"/>
      <c r="J511" s="455"/>
      <c r="K511" s="455"/>
      <c r="L511" s="455"/>
      <c r="M511" s="455"/>
      <c r="N511" s="455"/>
    </row>
    <row r="512" spans="2:14" ht="12.75">
      <c r="B512" s="97"/>
      <c r="C512" s="75"/>
      <c r="D512" s="662"/>
      <c r="E512" s="42">
        <v>3703</v>
      </c>
      <c r="F512" s="688">
        <v>20400</v>
      </c>
      <c r="G512" s="107"/>
      <c r="H512" s="98"/>
      <c r="I512" s="454"/>
      <c r="J512" s="455"/>
      <c r="K512" s="455"/>
      <c r="L512" s="455"/>
      <c r="M512" s="455"/>
      <c r="N512" s="455"/>
    </row>
    <row r="513" spans="2:14" ht="12.75">
      <c r="B513" s="570"/>
      <c r="C513" s="220" t="s">
        <v>66</v>
      </c>
      <c r="D513" s="698">
        <f>SUM(D514:D583)</f>
        <v>396623</v>
      </c>
      <c r="E513" s="222"/>
      <c r="F513" s="666">
        <f>SUM(F514:F583)/2</f>
        <v>396623</v>
      </c>
      <c r="G513" s="701"/>
      <c r="H513" s="96"/>
      <c r="I513" s="451"/>
      <c r="N513" s="25">
        <f>+L513+K513+J513</f>
        <v>0</v>
      </c>
    </row>
    <row r="514" spans="2:14" ht="12.75">
      <c r="B514" s="570">
        <v>53</v>
      </c>
      <c r="C514" s="224" t="s">
        <v>570</v>
      </c>
      <c r="D514" s="662">
        <f>+F514</f>
        <v>4580</v>
      </c>
      <c r="E514" s="49">
        <v>2000</v>
      </c>
      <c r="F514" s="667">
        <f>SUM(F515:F516)</f>
        <v>4580</v>
      </c>
      <c r="G514" s="109"/>
      <c r="H514" s="98"/>
      <c r="I514" s="452"/>
      <c r="N514" s="450">
        <f aca="true" t="shared" si="3" ref="N514:N521">+L514+K514+J514</f>
        <v>0</v>
      </c>
    </row>
    <row r="515" spans="2:14" ht="12.75">
      <c r="B515" s="570"/>
      <c r="C515" s="75"/>
      <c r="D515" s="662"/>
      <c r="E515" s="44">
        <v>2101</v>
      </c>
      <c r="F515" s="675">
        <v>80</v>
      </c>
      <c r="G515" s="109"/>
      <c r="H515" s="98"/>
      <c r="I515" s="452"/>
      <c r="N515" s="450">
        <f t="shared" si="3"/>
        <v>0</v>
      </c>
    </row>
    <row r="516" spans="2:14" ht="12.75">
      <c r="B516" s="570"/>
      <c r="C516" s="76"/>
      <c r="D516" s="662"/>
      <c r="E516" s="44">
        <v>2103</v>
      </c>
      <c r="F516" s="675">
        <v>4500</v>
      </c>
      <c r="G516" s="109"/>
      <c r="H516" s="98"/>
      <c r="I516" s="452"/>
      <c r="N516" s="450">
        <f t="shared" si="3"/>
        <v>0</v>
      </c>
    </row>
    <row r="517" spans="2:14" ht="12.75">
      <c r="B517" s="570">
        <v>54</v>
      </c>
      <c r="C517" s="224" t="s">
        <v>573</v>
      </c>
      <c r="D517" s="662">
        <f>+F517</f>
        <v>5600</v>
      </c>
      <c r="E517" s="49">
        <v>2000</v>
      </c>
      <c r="F517" s="667">
        <f>SUM(F518:F521)</f>
        <v>5600</v>
      </c>
      <c r="G517" s="117"/>
      <c r="H517" s="98"/>
      <c r="I517" s="452"/>
      <c r="N517" s="450">
        <f t="shared" si="3"/>
        <v>0</v>
      </c>
    </row>
    <row r="518" spans="2:14" ht="12.75">
      <c r="B518" s="570"/>
      <c r="C518" s="75"/>
      <c r="D518" s="662"/>
      <c r="E518" s="44">
        <v>2101</v>
      </c>
      <c r="F518" s="675">
        <v>1400</v>
      </c>
      <c r="G518" s="109"/>
      <c r="H518" s="98"/>
      <c r="I518" s="452"/>
      <c r="N518" s="450">
        <f t="shared" si="3"/>
        <v>0</v>
      </c>
    </row>
    <row r="519" spans="2:14" ht="12.75">
      <c r="B519" s="570"/>
      <c r="C519" s="75"/>
      <c r="D519" s="662"/>
      <c r="E519" s="44">
        <v>2104</v>
      </c>
      <c r="F519" s="675">
        <v>1500</v>
      </c>
      <c r="G519" s="109"/>
      <c r="H519" s="98"/>
      <c r="I519" s="452"/>
      <c r="N519" s="450">
        <f t="shared" si="3"/>
        <v>0</v>
      </c>
    </row>
    <row r="520" spans="2:14" ht="12.75">
      <c r="B520" s="570"/>
      <c r="C520" s="75"/>
      <c r="D520" s="662"/>
      <c r="E520" s="44">
        <v>2105</v>
      </c>
      <c r="F520" s="675">
        <v>2500</v>
      </c>
      <c r="G520" s="109"/>
      <c r="H520" s="98"/>
      <c r="I520" s="452"/>
      <c r="N520" s="450">
        <f t="shared" si="3"/>
        <v>0</v>
      </c>
    </row>
    <row r="521" spans="2:14" ht="12.75">
      <c r="B521" s="570"/>
      <c r="C521" s="75"/>
      <c r="D521" s="662"/>
      <c r="E521" s="44">
        <v>2106</v>
      </c>
      <c r="F521" s="675">
        <v>200</v>
      </c>
      <c r="G521" s="109"/>
      <c r="H521" s="98"/>
      <c r="I521" s="452"/>
      <c r="N521" s="450">
        <f t="shared" si="3"/>
        <v>0</v>
      </c>
    </row>
    <row r="522" spans="2:9" ht="12.75">
      <c r="B522" s="570">
        <v>55</v>
      </c>
      <c r="C522" s="224" t="s">
        <v>311</v>
      </c>
      <c r="D522" s="662">
        <f>+F522+F526</f>
        <v>12700</v>
      </c>
      <c r="E522" s="49">
        <v>2000</v>
      </c>
      <c r="F522" s="667">
        <f>SUM(F523:F525)</f>
        <v>7000</v>
      </c>
      <c r="G522" s="109"/>
      <c r="H522" s="98"/>
      <c r="I522" s="452"/>
    </row>
    <row r="523" spans="2:9" ht="12.75">
      <c r="B523" s="570"/>
      <c r="C523" s="75"/>
      <c r="D523" s="662"/>
      <c r="E523" s="44">
        <v>2101</v>
      </c>
      <c r="F523" s="675">
        <v>2600</v>
      </c>
      <c r="G523" s="109"/>
      <c r="H523" s="98"/>
      <c r="I523" s="452"/>
    </row>
    <row r="524" spans="2:9" ht="12.75">
      <c r="B524" s="570"/>
      <c r="C524" s="75"/>
      <c r="D524" s="662"/>
      <c r="E524" s="44">
        <v>2201</v>
      </c>
      <c r="F524" s="675">
        <v>2500</v>
      </c>
      <c r="G524" s="109"/>
      <c r="H524" s="98"/>
      <c r="I524" s="452"/>
    </row>
    <row r="525" spans="2:9" ht="12.75">
      <c r="B525" s="570"/>
      <c r="C525" s="75"/>
      <c r="D525" s="662"/>
      <c r="E525" s="44">
        <v>2601</v>
      </c>
      <c r="F525" s="675">
        <v>1900</v>
      </c>
      <c r="G525" s="109" t="s">
        <v>154</v>
      </c>
      <c r="H525" s="98"/>
      <c r="I525" s="452"/>
    </row>
    <row r="526" spans="2:9" ht="12.75">
      <c r="B526" s="570"/>
      <c r="C526" s="75"/>
      <c r="D526" s="662"/>
      <c r="E526" s="49">
        <v>3000</v>
      </c>
      <c r="F526" s="667">
        <f>SUM(F527:F528)</f>
        <v>5700</v>
      </c>
      <c r="G526" s="109"/>
      <c r="H526" s="98"/>
      <c r="I526" s="452"/>
    </row>
    <row r="527" spans="2:9" ht="12.75">
      <c r="B527" s="570"/>
      <c r="C527" s="75"/>
      <c r="D527" s="662"/>
      <c r="E527" s="44">
        <v>3701</v>
      </c>
      <c r="F527" s="675">
        <f>1500+3000</f>
        <v>4500</v>
      </c>
      <c r="G527" s="109" t="s">
        <v>232</v>
      </c>
      <c r="H527" s="98"/>
      <c r="I527" s="452"/>
    </row>
    <row r="528" spans="2:9" ht="12.75">
      <c r="B528" s="570"/>
      <c r="C528" s="76"/>
      <c r="D528" s="662"/>
      <c r="E528" s="44">
        <v>3702</v>
      </c>
      <c r="F528" s="675">
        <v>1200</v>
      </c>
      <c r="G528" s="109" t="s">
        <v>232</v>
      </c>
      <c r="H528" s="98"/>
      <c r="I528" s="452"/>
    </row>
    <row r="529" spans="2:9" ht="12.75">
      <c r="B529" s="570">
        <v>56</v>
      </c>
      <c r="C529" s="75" t="s">
        <v>47</v>
      </c>
      <c r="D529" s="662">
        <f>+F529</f>
        <v>1767</v>
      </c>
      <c r="E529" s="49">
        <v>2000</v>
      </c>
      <c r="F529" s="667">
        <f>SUM(F530)</f>
        <v>1767</v>
      </c>
      <c r="G529" s="109"/>
      <c r="H529" s="98"/>
      <c r="I529" s="452"/>
    </row>
    <row r="530" spans="2:9" ht="12.75">
      <c r="B530" s="570"/>
      <c r="C530" s="75"/>
      <c r="D530" s="662"/>
      <c r="E530" s="280">
        <v>2101</v>
      </c>
      <c r="F530" s="616">
        <v>1767</v>
      </c>
      <c r="G530" s="109"/>
      <c r="H530" s="98"/>
      <c r="I530" s="452"/>
    </row>
    <row r="531" spans="2:9" ht="25.5">
      <c r="B531" s="570">
        <v>57</v>
      </c>
      <c r="C531" s="178" t="s">
        <v>51</v>
      </c>
      <c r="D531" s="662">
        <f>+F531</f>
        <v>16307</v>
      </c>
      <c r="E531" s="540">
        <v>2000</v>
      </c>
      <c r="F531" s="611">
        <f>SUM(F532:F534)</f>
        <v>16307</v>
      </c>
      <c r="G531" s="109"/>
      <c r="H531" s="98"/>
      <c r="I531" s="452"/>
    </row>
    <row r="532" spans="2:9" ht="12.75">
      <c r="B532" s="570"/>
      <c r="C532" s="75"/>
      <c r="D532" s="662"/>
      <c r="E532" s="280">
        <v>2101</v>
      </c>
      <c r="F532" s="616">
        <v>5238</v>
      </c>
      <c r="G532" s="109"/>
      <c r="H532" s="98"/>
      <c r="I532" s="452"/>
    </row>
    <row r="533" spans="2:9" ht="12.75">
      <c r="B533" s="570"/>
      <c r="C533" s="75"/>
      <c r="D533" s="662"/>
      <c r="E533" s="280">
        <v>2105</v>
      </c>
      <c r="F533" s="616">
        <v>7469</v>
      </c>
      <c r="G533" s="109"/>
      <c r="H533" s="98"/>
      <c r="I533" s="452"/>
    </row>
    <row r="534" spans="2:9" ht="12.75">
      <c r="B534" s="570"/>
      <c r="C534" s="75"/>
      <c r="D534" s="662"/>
      <c r="E534" s="280">
        <v>2201</v>
      </c>
      <c r="F534" s="616">
        <v>3600</v>
      </c>
      <c r="G534" s="109"/>
      <c r="H534" s="98"/>
      <c r="I534" s="452"/>
    </row>
    <row r="535" spans="2:9" ht="25.5">
      <c r="B535" s="570">
        <v>58</v>
      </c>
      <c r="C535" s="178" t="s">
        <v>301</v>
      </c>
      <c r="D535" s="662">
        <f>+F535+F538</f>
        <v>42025</v>
      </c>
      <c r="E535" s="49">
        <v>2000</v>
      </c>
      <c r="F535" s="667">
        <f>SUM(F536:F537)</f>
        <v>38727</v>
      </c>
      <c r="G535" s="109"/>
      <c r="H535" s="98"/>
      <c r="I535" s="452"/>
    </row>
    <row r="536" spans="2:9" ht="12.75">
      <c r="B536" s="570"/>
      <c r="C536" s="75"/>
      <c r="D536" s="662"/>
      <c r="E536" s="44">
        <v>2101</v>
      </c>
      <c r="F536" s="675">
        <v>19496</v>
      </c>
      <c r="G536" s="109"/>
      <c r="H536" s="98"/>
      <c r="I536" s="452"/>
    </row>
    <row r="537" spans="2:9" ht="12.75">
      <c r="B537" s="570"/>
      <c r="C537" s="75"/>
      <c r="D537" s="662"/>
      <c r="E537" s="44">
        <v>2105</v>
      </c>
      <c r="F537" s="675">
        <v>19231</v>
      </c>
      <c r="G537" s="109"/>
      <c r="H537" s="98"/>
      <c r="I537" s="452"/>
    </row>
    <row r="538" spans="2:9" ht="12.75">
      <c r="B538" s="570"/>
      <c r="C538" s="75"/>
      <c r="D538" s="662"/>
      <c r="E538" s="49">
        <v>5000</v>
      </c>
      <c r="F538" s="667">
        <f>SUM(F539)</f>
        <v>3298</v>
      </c>
      <c r="G538" s="109"/>
      <c r="H538" s="98"/>
      <c r="I538" s="452"/>
    </row>
    <row r="539" spans="2:9" ht="12.75">
      <c r="B539" s="570"/>
      <c r="C539" s="76"/>
      <c r="D539" s="662"/>
      <c r="E539" s="44">
        <v>5101</v>
      </c>
      <c r="F539" s="675">
        <v>3298</v>
      </c>
      <c r="G539" s="109"/>
      <c r="H539" s="98"/>
      <c r="I539" s="452"/>
    </row>
    <row r="540" spans="2:9" ht="12.75">
      <c r="B540" s="570">
        <v>59</v>
      </c>
      <c r="C540" s="75" t="s">
        <v>302</v>
      </c>
      <c r="D540" s="662">
        <f>+F540+F546+F544</f>
        <v>93264</v>
      </c>
      <c r="E540" s="49">
        <v>2000</v>
      </c>
      <c r="F540" s="667">
        <f>SUM(F541:F543)</f>
        <v>16264</v>
      </c>
      <c r="G540" s="109"/>
      <c r="H540" s="98"/>
      <c r="I540" s="452"/>
    </row>
    <row r="541" spans="2:9" ht="12.75">
      <c r="B541" s="570"/>
      <c r="C541" s="75"/>
      <c r="D541" s="662"/>
      <c r="E541" s="44">
        <v>2101</v>
      </c>
      <c r="F541" s="675">
        <v>4375</v>
      </c>
      <c r="G541" s="109"/>
      <c r="H541" s="98"/>
      <c r="I541" s="452"/>
    </row>
    <row r="542" spans="2:9" ht="12.75">
      <c r="B542" s="570"/>
      <c r="C542" s="75"/>
      <c r="D542" s="662"/>
      <c r="E542" s="44">
        <v>2103</v>
      </c>
      <c r="F542" s="675">
        <v>64</v>
      </c>
      <c r="G542" s="109"/>
      <c r="H542" s="98"/>
      <c r="I542" s="452"/>
    </row>
    <row r="543" spans="2:9" ht="12.75">
      <c r="B543" s="570"/>
      <c r="C543" s="75"/>
      <c r="D543" s="662"/>
      <c r="E543" s="44">
        <v>2105</v>
      </c>
      <c r="F543" s="675">
        <v>11825</v>
      </c>
      <c r="G543" s="109"/>
      <c r="H543" s="98"/>
      <c r="I543" s="452"/>
    </row>
    <row r="544" spans="2:9" ht="12.75">
      <c r="B544" s="570"/>
      <c r="C544" s="75"/>
      <c r="D544" s="662"/>
      <c r="E544" s="49">
        <v>3000</v>
      </c>
      <c r="F544" s="667">
        <f>SUM(F545)</f>
        <v>15000</v>
      </c>
      <c r="G544" s="109"/>
      <c r="H544" s="98"/>
      <c r="I544" s="452"/>
    </row>
    <row r="545" spans="2:9" ht="12.75">
      <c r="B545" s="570"/>
      <c r="C545" s="75"/>
      <c r="D545" s="662"/>
      <c r="E545" s="44">
        <v>3301</v>
      </c>
      <c r="F545" s="675">
        <v>15000</v>
      </c>
      <c r="G545" s="109"/>
      <c r="H545" s="98"/>
      <c r="I545" s="452"/>
    </row>
    <row r="546" spans="2:9" ht="12.75">
      <c r="B546" s="570"/>
      <c r="C546" s="75"/>
      <c r="D546" s="662"/>
      <c r="E546" s="49">
        <v>5000</v>
      </c>
      <c r="F546" s="667">
        <f>SUM(F547:F548)</f>
        <v>62000</v>
      </c>
      <c r="G546" s="109"/>
      <c r="H546" s="98"/>
      <c r="I546" s="452"/>
    </row>
    <row r="547" spans="2:9" ht="12.75">
      <c r="B547" s="570"/>
      <c r="C547" s="75"/>
      <c r="D547" s="662"/>
      <c r="E547" s="44">
        <v>5204</v>
      </c>
      <c r="F547" s="675">
        <v>2000</v>
      </c>
      <c r="G547" s="109"/>
      <c r="H547" s="98"/>
      <c r="I547" s="452"/>
    </row>
    <row r="548" spans="2:9" ht="12.75">
      <c r="B548" s="570"/>
      <c r="C548" s="76"/>
      <c r="D548" s="662"/>
      <c r="E548" s="44">
        <v>5206</v>
      </c>
      <c r="F548" s="675">
        <v>60000</v>
      </c>
      <c r="G548" s="109"/>
      <c r="H548" s="98"/>
      <c r="I548" s="452"/>
    </row>
    <row r="549" spans="2:9" ht="12.75">
      <c r="B549" s="570">
        <v>60</v>
      </c>
      <c r="C549" s="178" t="s">
        <v>683</v>
      </c>
      <c r="D549" s="662">
        <f>+F549</f>
        <v>12713</v>
      </c>
      <c r="E549" s="49">
        <v>2000</v>
      </c>
      <c r="F549" s="667">
        <f>SUM(F550:F552)</f>
        <v>12713</v>
      </c>
      <c r="G549" s="109"/>
      <c r="H549" s="98"/>
      <c r="I549" s="452"/>
    </row>
    <row r="550" spans="2:9" ht="12.75">
      <c r="B550" s="570"/>
      <c r="C550" s="230"/>
      <c r="D550" s="662"/>
      <c r="E550" s="44">
        <v>2101</v>
      </c>
      <c r="F550" s="675">
        <v>4117</v>
      </c>
      <c r="G550" s="109"/>
      <c r="H550" s="98"/>
      <c r="I550" s="452"/>
    </row>
    <row r="551" spans="2:9" ht="12.75">
      <c r="B551" s="570"/>
      <c r="C551" s="75"/>
      <c r="D551" s="662"/>
      <c r="E551" s="44">
        <v>2103</v>
      </c>
      <c r="F551" s="675">
        <v>5</v>
      </c>
      <c r="G551" s="109"/>
      <c r="H551" s="98"/>
      <c r="I551" s="452"/>
    </row>
    <row r="552" spans="2:9" ht="12.75">
      <c r="B552" s="570"/>
      <c r="C552" s="75"/>
      <c r="D552" s="662"/>
      <c r="E552" s="44">
        <v>2105</v>
      </c>
      <c r="F552" s="675">
        <v>8591</v>
      </c>
      <c r="G552" s="109"/>
      <c r="H552" s="98"/>
      <c r="I552" s="452"/>
    </row>
    <row r="553" spans="2:9" ht="38.25">
      <c r="B553" s="570">
        <v>61</v>
      </c>
      <c r="C553" s="178" t="s">
        <v>684</v>
      </c>
      <c r="D553" s="662">
        <f>+F553</f>
        <v>26062</v>
      </c>
      <c r="E553" s="49">
        <v>2000</v>
      </c>
      <c r="F553" s="667">
        <f>SUM(F554:F557)</f>
        <v>26062</v>
      </c>
      <c r="G553" s="109"/>
      <c r="H553" s="98"/>
      <c r="I553" s="452"/>
    </row>
    <row r="554" spans="2:9" ht="12.75">
      <c r="B554" s="570"/>
      <c r="C554" s="230"/>
      <c r="D554" s="662"/>
      <c r="E554" s="44">
        <v>2101</v>
      </c>
      <c r="F554" s="675">
        <v>4510</v>
      </c>
      <c r="G554" s="109"/>
      <c r="H554" s="98"/>
      <c r="I554" s="452"/>
    </row>
    <row r="555" spans="2:9" ht="12.75">
      <c r="B555" s="570"/>
      <c r="C555" s="230"/>
      <c r="D555" s="662"/>
      <c r="E555" s="44">
        <v>2103</v>
      </c>
      <c r="F555" s="675">
        <v>5</v>
      </c>
      <c r="G555" s="109"/>
      <c r="H555" s="98"/>
      <c r="I555" s="452"/>
    </row>
    <row r="556" spans="2:9" ht="12.75">
      <c r="B556" s="570"/>
      <c r="C556" s="230"/>
      <c r="D556" s="662"/>
      <c r="E556" s="44">
        <v>2105</v>
      </c>
      <c r="F556" s="675">
        <v>16547</v>
      </c>
      <c r="G556" s="109"/>
      <c r="H556" s="98"/>
      <c r="I556" s="452"/>
    </row>
    <row r="557" spans="2:9" ht="12.75">
      <c r="B557" s="570"/>
      <c r="C557" s="230"/>
      <c r="D557" s="662"/>
      <c r="E557" s="44">
        <v>2601</v>
      </c>
      <c r="F557" s="675">
        <v>5000</v>
      </c>
      <c r="G557" s="109" t="s">
        <v>154</v>
      </c>
      <c r="H557" s="98"/>
      <c r="I557" s="452"/>
    </row>
    <row r="558" spans="2:9" ht="25.5">
      <c r="B558" s="570">
        <v>62</v>
      </c>
      <c r="C558" s="178" t="s">
        <v>691</v>
      </c>
      <c r="D558" s="662">
        <f>+F558+F563</f>
        <v>61978</v>
      </c>
      <c r="E558" s="49">
        <v>2000</v>
      </c>
      <c r="F558" s="667">
        <f>SUM(F559:F562)</f>
        <v>11978</v>
      </c>
      <c r="G558" s="109"/>
      <c r="H558" s="98"/>
      <c r="I558" s="452"/>
    </row>
    <row r="559" spans="2:9" ht="12.75">
      <c r="B559" s="570"/>
      <c r="C559" s="75"/>
      <c r="D559" s="662"/>
      <c r="E559" s="44">
        <v>2101</v>
      </c>
      <c r="F559" s="675">
        <v>5520</v>
      </c>
      <c r="G559" s="109"/>
      <c r="H559" s="98"/>
      <c r="I559" s="452"/>
    </row>
    <row r="560" spans="2:9" ht="12.75">
      <c r="B560" s="570"/>
      <c r="C560" s="75"/>
      <c r="D560" s="662"/>
      <c r="E560" s="44">
        <v>2103</v>
      </c>
      <c r="F560" s="675">
        <v>5</v>
      </c>
      <c r="G560" s="109"/>
      <c r="H560" s="98"/>
      <c r="I560" s="452"/>
    </row>
    <row r="561" spans="2:9" ht="12.75">
      <c r="B561" s="570"/>
      <c r="C561" s="75"/>
      <c r="D561" s="662"/>
      <c r="E561" s="44">
        <v>2105</v>
      </c>
      <c r="F561" s="675">
        <v>3453</v>
      </c>
      <c r="G561" s="109"/>
      <c r="H561" s="98"/>
      <c r="I561" s="452"/>
    </row>
    <row r="562" spans="2:9" ht="12.75">
      <c r="B562" s="570"/>
      <c r="C562" s="75"/>
      <c r="D562" s="662"/>
      <c r="E562" s="44">
        <v>2201</v>
      </c>
      <c r="F562" s="675">
        <v>3000</v>
      </c>
      <c r="G562" s="109"/>
      <c r="H562" s="98"/>
      <c r="I562" s="452"/>
    </row>
    <row r="563" spans="2:9" ht="12.75">
      <c r="B563" s="570"/>
      <c r="C563" s="75"/>
      <c r="D563" s="662"/>
      <c r="E563" s="49">
        <v>3000</v>
      </c>
      <c r="F563" s="667">
        <f>SUM(F564:F566)</f>
        <v>50000</v>
      </c>
      <c r="G563" s="109"/>
      <c r="H563" s="98"/>
      <c r="I563" s="452"/>
    </row>
    <row r="564" spans="2:9" ht="12.75">
      <c r="B564" s="570"/>
      <c r="C564" s="75"/>
      <c r="D564" s="662"/>
      <c r="E564" s="280">
        <v>3301</v>
      </c>
      <c r="F564" s="616">
        <v>10000</v>
      </c>
      <c r="G564" s="109"/>
      <c r="H564" s="98"/>
      <c r="I564" s="452"/>
    </row>
    <row r="565" spans="2:9" ht="12.75">
      <c r="B565" s="570"/>
      <c r="C565" s="75"/>
      <c r="D565" s="662"/>
      <c r="E565" s="280">
        <v>3701</v>
      </c>
      <c r="F565" s="616">
        <v>24000</v>
      </c>
      <c r="G565" s="109"/>
      <c r="H565" s="98"/>
      <c r="I565" s="452"/>
    </row>
    <row r="566" spans="2:9" ht="12.75">
      <c r="B566" s="570"/>
      <c r="C566" s="181"/>
      <c r="D566" s="662"/>
      <c r="E566" s="280">
        <v>3702</v>
      </c>
      <c r="F566" s="616">
        <v>16000</v>
      </c>
      <c r="G566" s="109" t="s">
        <v>232</v>
      </c>
      <c r="H566" s="98"/>
      <c r="I566" s="452"/>
    </row>
    <row r="567" spans="2:9" ht="12.75">
      <c r="B567" s="570">
        <v>63</v>
      </c>
      <c r="C567" s="180" t="s">
        <v>689</v>
      </c>
      <c r="D567" s="662">
        <f>+F567</f>
        <v>21062</v>
      </c>
      <c r="E567" s="49">
        <v>2000</v>
      </c>
      <c r="F567" s="667">
        <f>SUM(F568:F570)</f>
        <v>21062</v>
      </c>
      <c r="G567" s="109"/>
      <c r="H567" s="98"/>
      <c r="I567" s="452"/>
    </row>
    <row r="568" spans="2:9" ht="12.75">
      <c r="B568" s="570"/>
      <c r="C568" s="86"/>
      <c r="D568" s="662"/>
      <c r="E568" s="44">
        <v>2101</v>
      </c>
      <c r="F568" s="675">
        <v>4510</v>
      </c>
      <c r="G568" s="109"/>
      <c r="H568" s="98"/>
      <c r="I568" s="452"/>
    </row>
    <row r="569" spans="2:9" ht="12.75">
      <c r="B569" s="570"/>
      <c r="C569" s="86"/>
      <c r="D569" s="662"/>
      <c r="E569" s="44">
        <v>2103</v>
      </c>
      <c r="F569" s="675">
        <v>5</v>
      </c>
      <c r="G569" s="109"/>
      <c r="H569" s="98"/>
      <c r="I569" s="452"/>
    </row>
    <row r="570" spans="2:9" ht="12.75">
      <c r="B570" s="570"/>
      <c r="C570" s="181"/>
      <c r="D570" s="662"/>
      <c r="E570" s="44">
        <v>2105</v>
      </c>
      <c r="F570" s="675">
        <v>16547</v>
      </c>
      <c r="G570" s="109"/>
      <c r="H570" s="98"/>
      <c r="I570" s="452"/>
    </row>
    <row r="571" spans="2:9" ht="25.5">
      <c r="B571" s="570">
        <v>64</v>
      </c>
      <c r="C571" s="180" t="s">
        <v>690</v>
      </c>
      <c r="D571" s="662">
        <f>+F571</f>
        <v>25944</v>
      </c>
      <c r="E571" s="49">
        <v>2000</v>
      </c>
      <c r="F571" s="667">
        <f>SUM(F572:F574)</f>
        <v>25944</v>
      </c>
      <c r="G571" s="109"/>
      <c r="H571" s="98"/>
      <c r="I571" s="452"/>
    </row>
    <row r="572" spans="2:9" ht="12.75">
      <c r="B572" s="570"/>
      <c r="C572" s="86"/>
      <c r="D572" s="662"/>
      <c r="E572" s="44">
        <v>2101</v>
      </c>
      <c r="F572" s="675">
        <v>7200</v>
      </c>
      <c r="G572" s="109"/>
      <c r="H572" s="98"/>
      <c r="I572" s="452"/>
    </row>
    <row r="573" spans="2:9" ht="12.75">
      <c r="B573" s="570"/>
      <c r="C573" s="86"/>
      <c r="D573" s="662"/>
      <c r="E573" s="44">
        <v>2105</v>
      </c>
      <c r="F573" s="675">
        <v>17744</v>
      </c>
      <c r="G573" s="109"/>
      <c r="H573" s="98"/>
      <c r="I573" s="452"/>
    </row>
    <row r="574" spans="2:9" ht="12.75">
      <c r="B574" s="570"/>
      <c r="C574" s="120"/>
      <c r="D574" s="662"/>
      <c r="E574" s="44">
        <v>2201</v>
      </c>
      <c r="F574" s="675">
        <v>1000</v>
      </c>
      <c r="G574" s="109"/>
      <c r="H574" s="98"/>
      <c r="I574" s="452"/>
    </row>
    <row r="575" spans="2:42" s="41" customFormat="1" ht="12.75">
      <c r="B575" s="570">
        <v>65</v>
      </c>
      <c r="C575" s="75" t="s">
        <v>687</v>
      </c>
      <c r="D575" s="662">
        <f>+F575+F581</f>
        <v>72621</v>
      </c>
      <c r="E575" s="49">
        <v>2000</v>
      </c>
      <c r="F575" s="667">
        <f>SUM(F576:F580)</f>
        <v>32621</v>
      </c>
      <c r="G575" s="109"/>
      <c r="H575" s="98"/>
      <c r="I575" s="452"/>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row>
    <row r="576" spans="2:42" s="41" customFormat="1" ht="12.75" customHeight="1">
      <c r="B576" s="570"/>
      <c r="C576" s="75"/>
      <c r="D576" s="662"/>
      <c r="E576" s="44">
        <v>2101</v>
      </c>
      <c r="F576" s="675">
        <v>8183</v>
      </c>
      <c r="G576" s="109"/>
      <c r="H576" s="98"/>
      <c r="I576" s="452"/>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row>
    <row r="577" spans="2:42" s="41" customFormat="1" ht="12.75">
      <c r="B577" s="570"/>
      <c r="C577" s="75"/>
      <c r="D577" s="662"/>
      <c r="E577" s="44">
        <v>2103</v>
      </c>
      <c r="F577" s="675">
        <v>19</v>
      </c>
      <c r="G577" s="109"/>
      <c r="H577" s="98"/>
      <c r="I577" s="452"/>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row>
    <row r="578" spans="2:42" s="41" customFormat="1" ht="12.75">
      <c r="B578" s="570"/>
      <c r="C578" s="75"/>
      <c r="D578" s="662"/>
      <c r="E578" s="44">
        <v>2105</v>
      </c>
      <c r="F578" s="675">
        <v>16719</v>
      </c>
      <c r="G578" s="109"/>
      <c r="H578" s="98"/>
      <c r="I578" s="452"/>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row>
    <row r="579" spans="2:42" s="41" customFormat="1" ht="12.75">
      <c r="B579" s="570"/>
      <c r="C579" s="75"/>
      <c r="D579" s="662"/>
      <c r="E579" s="44">
        <v>2201</v>
      </c>
      <c r="F579" s="675">
        <v>7200</v>
      </c>
      <c r="G579" s="109"/>
      <c r="H579" s="98"/>
      <c r="I579" s="452"/>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row>
    <row r="580" spans="2:42" s="41" customFormat="1" ht="12.75">
      <c r="B580" s="570"/>
      <c r="C580" s="231"/>
      <c r="D580" s="662"/>
      <c r="E580" s="44">
        <v>2302</v>
      </c>
      <c r="F580" s="675">
        <v>500</v>
      </c>
      <c r="G580" s="109"/>
      <c r="H580" s="98"/>
      <c r="I580" s="452"/>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row>
    <row r="581" spans="2:42" s="41" customFormat="1" ht="12.75">
      <c r="B581" s="570"/>
      <c r="C581" s="204"/>
      <c r="D581" s="662"/>
      <c r="E581" s="49">
        <v>3000</v>
      </c>
      <c r="F581" s="667">
        <f>SUM(F582:F583)</f>
        <v>40000</v>
      </c>
      <c r="G581" s="109"/>
      <c r="H581" s="98"/>
      <c r="I581" s="452"/>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row>
    <row r="582" spans="2:42" s="41" customFormat="1" ht="12.75">
      <c r="B582" s="570"/>
      <c r="C582" s="204"/>
      <c r="D582" s="662"/>
      <c r="E582" s="44">
        <v>3701</v>
      </c>
      <c r="F582" s="616">
        <v>24000</v>
      </c>
      <c r="G582" s="109" t="s">
        <v>232</v>
      </c>
      <c r="H582" s="98"/>
      <c r="I582" s="452"/>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row>
    <row r="583" spans="2:42" s="41" customFormat="1" ht="12.75">
      <c r="B583" s="570"/>
      <c r="C583" s="76"/>
      <c r="D583" s="662"/>
      <c r="E583" s="44">
        <v>3702</v>
      </c>
      <c r="F583" s="616">
        <v>16000</v>
      </c>
      <c r="G583" s="109" t="s">
        <v>232</v>
      </c>
      <c r="H583" s="98"/>
      <c r="I583" s="452"/>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row>
    <row r="584" spans="2:9" ht="12.75">
      <c r="B584" s="570"/>
      <c r="C584" s="220" t="s">
        <v>564</v>
      </c>
      <c r="D584" s="698">
        <f>SUM(D585:D868)</f>
        <v>4620291.502</v>
      </c>
      <c r="E584" s="222"/>
      <c r="F584" s="666">
        <f>SUM(F585:F868)/2</f>
        <v>4620291.502</v>
      </c>
      <c r="G584" s="701"/>
      <c r="H584" s="96"/>
      <c r="I584" s="451"/>
    </row>
    <row r="585" spans="1:42" ht="25.5">
      <c r="A585">
        <v>1</v>
      </c>
      <c r="B585" s="97">
        <v>66</v>
      </c>
      <c r="C585" s="75" t="s">
        <v>461</v>
      </c>
      <c r="D585" s="663">
        <f>+F585+F590</f>
        <v>589929</v>
      </c>
      <c r="E585" s="610">
        <v>2000</v>
      </c>
      <c r="F585" s="611">
        <f>SUM(F586:F589)</f>
        <v>44989</v>
      </c>
      <c r="G585" s="612"/>
      <c r="H585" s="98"/>
      <c r="I585" s="452"/>
      <c r="O585" s="613"/>
      <c r="P585" s="613"/>
      <c r="Q585" s="613"/>
      <c r="R585" s="613"/>
      <c r="S585" s="614"/>
      <c r="T585" s="614"/>
      <c r="U585" s="614"/>
      <c r="V585" s="614"/>
      <c r="AM585"/>
      <c r="AN585"/>
      <c r="AO585"/>
      <c r="AP585"/>
    </row>
    <row r="586" spans="2:42" ht="12.75">
      <c r="B586" s="97"/>
      <c r="C586" s="75"/>
      <c r="D586" s="663"/>
      <c r="E586" s="615">
        <v>2101</v>
      </c>
      <c r="F586" s="616">
        <v>2800</v>
      </c>
      <c r="G586" s="612"/>
      <c r="H586" s="98"/>
      <c r="I586" s="452"/>
      <c r="O586" s="617">
        <f>F586</f>
        <v>2800</v>
      </c>
      <c r="P586" s="617"/>
      <c r="Q586" s="613"/>
      <c r="R586" s="613">
        <v>2800</v>
      </c>
      <c r="S586" s="614"/>
      <c r="T586" s="614"/>
      <c r="U586" s="614"/>
      <c r="V586" s="614"/>
      <c r="AM586"/>
      <c r="AN586"/>
      <c r="AO586"/>
      <c r="AP586"/>
    </row>
    <row r="587" spans="2:42" ht="12.75">
      <c r="B587" s="97"/>
      <c r="C587" s="75"/>
      <c r="D587" s="663"/>
      <c r="E587" s="615">
        <v>2104</v>
      </c>
      <c r="F587" s="616">
        <v>14789</v>
      </c>
      <c r="G587" s="618"/>
      <c r="H587" s="98"/>
      <c r="I587" s="452"/>
      <c r="O587" s="617">
        <f>F587</f>
        <v>14789</v>
      </c>
      <c r="P587" s="617"/>
      <c r="Q587" s="613"/>
      <c r="R587" s="613">
        <v>14789</v>
      </c>
      <c r="S587" s="614"/>
      <c r="T587" s="614"/>
      <c r="U587" s="614"/>
      <c r="V587" s="614"/>
      <c r="AM587"/>
      <c r="AN587"/>
      <c r="AO587"/>
      <c r="AP587"/>
    </row>
    <row r="588" spans="2:42" ht="12.75">
      <c r="B588" s="97"/>
      <c r="C588" s="75"/>
      <c r="D588" s="663"/>
      <c r="E588" s="615">
        <v>2105</v>
      </c>
      <c r="F588" s="616">
        <v>1400</v>
      </c>
      <c r="G588" s="612"/>
      <c r="H588" s="98"/>
      <c r="I588" s="452"/>
      <c r="O588" s="617">
        <f>F588</f>
        <v>1400</v>
      </c>
      <c r="P588" s="617"/>
      <c r="Q588" s="613"/>
      <c r="R588" s="613">
        <v>1400</v>
      </c>
      <c r="S588" s="614"/>
      <c r="T588" s="614"/>
      <c r="U588" s="614"/>
      <c r="V588" s="614"/>
      <c r="AM588"/>
      <c r="AN588"/>
      <c r="AO588"/>
      <c r="AP588"/>
    </row>
    <row r="589" spans="1:22" s="25" customFormat="1" ht="12.75">
      <c r="A589"/>
      <c r="B589" s="97"/>
      <c r="C589" s="75"/>
      <c r="D589" s="663"/>
      <c r="E589" s="615">
        <v>2201</v>
      </c>
      <c r="F589" s="616">
        <v>26000</v>
      </c>
      <c r="G589" s="612"/>
      <c r="H589" s="98"/>
      <c r="I589" s="452"/>
      <c r="O589" s="617">
        <f>F589</f>
        <v>26000</v>
      </c>
      <c r="P589" s="617"/>
      <c r="Q589" s="613"/>
      <c r="R589" s="613">
        <v>26000</v>
      </c>
      <c r="S589" s="614"/>
      <c r="T589" s="614"/>
      <c r="U589" s="614"/>
      <c r="V589" s="614"/>
    </row>
    <row r="590" spans="2:42" ht="12.75">
      <c r="B590" s="97"/>
      <c r="C590" s="75"/>
      <c r="D590" s="663"/>
      <c r="E590" s="610">
        <v>3000</v>
      </c>
      <c r="F590" s="611">
        <f>SUM(F591:F597)</f>
        <v>544940</v>
      </c>
      <c r="G590" s="612"/>
      <c r="H590" s="98"/>
      <c r="I590" s="452"/>
      <c r="O590" s="617"/>
      <c r="P590" s="613"/>
      <c r="Q590" s="613"/>
      <c r="R590" s="613"/>
      <c r="S590" s="614"/>
      <c r="T590" s="614"/>
      <c r="U590" s="614"/>
      <c r="V590" s="614"/>
      <c r="AM590"/>
      <c r="AN590"/>
      <c r="AO590"/>
      <c r="AP590"/>
    </row>
    <row r="591" spans="2:42" ht="12.75">
      <c r="B591" s="97"/>
      <c r="C591" s="75"/>
      <c r="D591" s="663"/>
      <c r="E591" s="615">
        <v>3204</v>
      </c>
      <c r="F591" s="616">
        <v>6000</v>
      </c>
      <c r="G591" s="612"/>
      <c r="H591" s="98"/>
      <c r="I591" s="452"/>
      <c r="O591" s="617">
        <f aca="true" t="shared" si="4" ref="O591:O597">F591</f>
        <v>6000</v>
      </c>
      <c r="P591" s="613"/>
      <c r="Q591" s="613"/>
      <c r="R591" s="613">
        <v>6000</v>
      </c>
      <c r="S591" s="614"/>
      <c r="T591" s="614"/>
      <c r="U591" s="614"/>
      <c r="V591" s="614"/>
      <c r="AM591"/>
      <c r="AN591"/>
      <c r="AO591"/>
      <c r="AP591"/>
    </row>
    <row r="592" spans="2:42" ht="12.75">
      <c r="B592" s="97"/>
      <c r="C592" s="75"/>
      <c r="D592" s="663"/>
      <c r="E592" s="615">
        <v>3301</v>
      </c>
      <c r="F592" s="616">
        <f>10400+250000+86300</f>
        <v>346700</v>
      </c>
      <c r="G592" s="612"/>
      <c r="H592" s="98"/>
      <c r="I592" s="452"/>
      <c r="O592" s="617">
        <f t="shared" si="4"/>
        <v>346700</v>
      </c>
      <c r="P592" s="613"/>
      <c r="Q592" s="613"/>
      <c r="R592" s="613">
        <v>346700</v>
      </c>
      <c r="S592" s="614"/>
      <c r="T592" s="614"/>
      <c r="U592" s="614"/>
      <c r="V592" s="614"/>
      <c r="AM592"/>
      <c r="AN592"/>
      <c r="AO592"/>
      <c r="AP592"/>
    </row>
    <row r="593" spans="2:42" ht="12.75">
      <c r="B593" s="97"/>
      <c r="C593" s="75"/>
      <c r="D593" s="663"/>
      <c r="E593" s="615">
        <v>3401</v>
      </c>
      <c r="F593" s="616">
        <v>19800</v>
      </c>
      <c r="G593" s="612"/>
      <c r="H593" s="98"/>
      <c r="I593" s="452"/>
      <c r="O593" s="617">
        <f t="shared" si="4"/>
        <v>19800</v>
      </c>
      <c r="P593" s="613"/>
      <c r="Q593" s="613"/>
      <c r="R593" s="613">
        <v>19800</v>
      </c>
      <c r="S593" s="614"/>
      <c r="T593" s="614"/>
      <c r="U593" s="614"/>
      <c r="V593" s="614"/>
      <c r="AM593"/>
      <c r="AN593"/>
      <c r="AO593"/>
      <c r="AP593"/>
    </row>
    <row r="594" spans="2:42" ht="12.75">
      <c r="B594" s="97"/>
      <c r="C594" s="75"/>
      <c r="D594" s="663"/>
      <c r="E594" s="615">
        <v>3602</v>
      </c>
      <c r="F594" s="616">
        <v>130000</v>
      </c>
      <c r="G594" s="612"/>
      <c r="H594" s="98"/>
      <c r="I594" s="452"/>
      <c r="O594" s="617">
        <f t="shared" si="4"/>
        <v>130000</v>
      </c>
      <c r="P594" s="613"/>
      <c r="Q594" s="613"/>
      <c r="R594" s="613">
        <v>130000</v>
      </c>
      <c r="S594" s="614"/>
      <c r="T594" s="614"/>
      <c r="U594" s="614"/>
      <c r="V594" s="614"/>
      <c r="AM594"/>
      <c r="AN594"/>
      <c r="AO594"/>
      <c r="AP594"/>
    </row>
    <row r="595" spans="2:42" ht="12.75">
      <c r="B595" s="97"/>
      <c r="C595" s="75"/>
      <c r="D595" s="663"/>
      <c r="E595" s="615">
        <v>3702</v>
      </c>
      <c r="F595" s="616">
        <v>28000</v>
      </c>
      <c r="G595" s="612" t="s">
        <v>232</v>
      </c>
      <c r="H595" s="98"/>
      <c r="I595" s="452"/>
      <c r="O595" s="617">
        <f t="shared" si="4"/>
        <v>28000</v>
      </c>
      <c r="P595" s="613"/>
      <c r="Q595" s="613"/>
      <c r="R595" s="613">
        <v>28000</v>
      </c>
      <c r="S595" s="614"/>
      <c r="T595" s="614"/>
      <c r="U595" s="614"/>
      <c r="V595" s="614"/>
      <c r="AM595"/>
      <c r="AN595"/>
      <c r="AO595"/>
      <c r="AP595"/>
    </row>
    <row r="596" spans="2:42" ht="12.75">
      <c r="B596" s="97"/>
      <c r="C596" s="75"/>
      <c r="D596" s="663"/>
      <c r="E596" s="615">
        <v>3703</v>
      </c>
      <c r="F596" s="616">
        <v>2440</v>
      </c>
      <c r="G596" s="612"/>
      <c r="H596" s="98"/>
      <c r="I596" s="452"/>
      <c r="O596" s="617">
        <f t="shared" si="4"/>
        <v>2440</v>
      </c>
      <c r="P596" s="613"/>
      <c r="Q596" s="613"/>
      <c r="R596" s="613">
        <v>2440</v>
      </c>
      <c r="S596" s="614"/>
      <c r="T596" s="614"/>
      <c r="U596" s="614"/>
      <c r="V596" s="614"/>
      <c r="AM596"/>
      <c r="AN596"/>
      <c r="AO596"/>
      <c r="AP596"/>
    </row>
    <row r="597" spans="2:42" ht="12.75">
      <c r="B597" s="97"/>
      <c r="C597" s="75"/>
      <c r="D597" s="663"/>
      <c r="E597" s="615">
        <v>3903</v>
      </c>
      <c r="F597" s="616">
        <v>12000</v>
      </c>
      <c r="G597" s="612"/>
      <c r="H597" s="98"/>
      <c r="I597" s="452"/>
      <c r="O597" s="617">
        <f t="shared" si="4"/>
        <v>12000</v>
      </c>
      <c r="P597" s="613"/>
      <c r="Q597" s="613"/>
      <c r="R597" s="613">
        <v>12000</v>
      </c>
      <c r="S597" s="614"/>
      <c r="T597" s="614"/>
      <c r="U597" s="614"/>
      <c r="V597" s="614"/>
      <c r="AM597"/>
      <c r="AN597"/>
      <c r="AO597"/>
      <c r="AP597"/>
    </row>
    <row r="598" spans="1:42" ht="12.75">
      <c r="A598">
        <v>2</v>
      </c>
      <c r="B598" s="97">
        <v>67</v>
      </c>
      <c r="C598" s="178" t="s">
        <v>454</v>
      </c>
      <c r="D598" s="663">
        <f>+F598+F603</f>
        <v>194100</v>
      </c>
      <c r="E598" s="610">
        <v>2000</v>
      </c>
      <c r="F598" s="611">
        <f>SUM(F599:F602)</f>
        <v>16110</v>
      </c>
      <c r="G598" s="612"/>
      <c r="H598" s="98"/>
      <c r="I598" s="452"/>
      <c r="O598" s="613"/>
      <c r="P598" s="613"/>
      <c r="Q598" s="613"/>
      <c r="R598" s="613"/>
      <c r="S598" s="614"/>
      <c r="T598" s="614"/>
      <c r="U598" s="614"/>
      <c r="V598" s="614"/>
      <c r="AM598"/>
      <c r="AN598"/>
      <c r="AO598"/>
      <c r="AP598"/>
    </row>
    <row r="599" spans="2:42" ht="12.75">
      <c r="B599" s="97"/>
      <c r="C599" s="75"/>
      <c r="D599" s="663"/>
      <c r="E599" s="615">
        <v>2101</v>
      </c>
      <c r="F599" s="616">
        <v>1600</v>
      </c>
      <c r="G599" s="612"/>
      <c r="H599" s="98"/>
      <c r="I599" s="452"/>
      <c r="O599" s="619">
        <f>F599</f>
        <v>1600</v>
      </c>
      <c r="P599" s="613"/>
      <c r="Q599" s="613"/>
      <c r="R599" s="613">
        <v>1600</v>
      </c>
      <c r="S599" s="614"/>
      <c r="T599" s="614"/>
      <c r="U599" s="614"/>
      <c r="V599" s="614"/>
      <c r="AM599"/>
      <c r="AN599"/>
      <c r="AO599"/>
      <c r="AP599"/>
    </row>
    <row r="600" spans="2:42" ht="12.75">
      <c r="B600" s="97"/>
      <c r="C600" s="75"/>
      <c r="D600" s="663"/>
      <c r="E600" s="615">
        <v>2104</v>
      </c>
      <c r="F600" s="616">
        <v>7610</v>
      </c>
      <c r="G600" s="612"/>
      <c r="H600" s="98"/>
      <c r="I600" s="452"/>
      <c r="O600" s="619">
        <f aca="true" t="shared" si="5" ref="O600:O608">F600</f>
        <v>7610</v>
      </c>
      <c r="P600" s="613"/>
      <c r="Q600" s="613"/>
      <c r="R600" s="613">
        <v>7610</v>
      </c>
      <c r="S600" s="614"/>
      <c r="T600" s="614"/>
      <c r="U600" s="614"/>
      <c r="V600" s="614"/>
      <c r="AM600"/>
      <c r="AN600"/>
      <c r="AO600"/>
      <c r="AP600"/>
    </row>
    <row r="601" spans="2:42" ht="12.75">
      <c r="B601" s="97"/>
      <c r="C601" s="75"/>
      <c r="D601" s="663"/>
      <c r="E601" s="615">
        <v>2105</v>
      </c>
      <c r="F601" s="616">
        <v>900</v>
      </c>
      <c r="G601" s="612"/>
      <c r="H601" s="98"/>
      <c r="I601" s="452"/>
      <c r="O601" s="619">
        <f t="shared" si="5"/>
        <v>900</v>
      </c>
      <c r="P601" s="613"/>
      <c r="Q601" s="613"/>
      <c r="R601" s="613">
        <v>900</v>
      </c>
      <c r="S601" s="614"/>
      <c r="T601" s="614"/>
      <c r="U601" s="614"/>
      <c r="V601" s="614"/>
      <c r="AM601"/>
      <c r="AN601"/>
      <c r="AO601"/>
      <c r="AP601"/>
    </row>
    <row r="602" spans="2:42" ht="12.75">
      <c r="B602" s="97"/>
      <c r="C602" s="75"/>
      <c r="D602" s="663"/>
      <c r="E602" s="615">
        <v>2201</v>
      </c>
      <c r="F602" s="616">
        <v>6000</v>
      </c>
      <c r="G602" s="612"/>
      <c r="H602" s="98"/>
      <c r="I602" s="452"/>
      <c r="O602" s="619">
        <f t="shared" si="5"/>
        <v>6000</v>
      </c>
      <c r="P602" s="613"/>
      <c r="Q602" s="613"/>
      <c r="R602" s="613">
        <v>6000</v>
      </c>
      <c r="S602" s="614"/>
      <c r="T602" s="614"/>
      <c r="U602" s="614"/>
      <c r="V602" s="614"/>
      <c r="AM602"/>
      <c r="AN602"/>
      <c r="AO602"/>
      <c r="AP602"/>
    </row>
    <row r="603" spans="2:42" ht="12.75">
      <c r="B603" s="97"/>
      <c r="C603" s="75"/>
      <c r="D603" s="663"/>
      <c r="E603" s="610">
        <v>3000</v>
      </c>
      <c r="F603" s="611">
        <f>SUM(F604:F608)</f>
        <v>177990</v>
      </c>
      <c r="G603" s="612"/>
      <c r="H603" s="98"/>
      <c r="I603" s="452"/>
      <c r="O603" s="619"/>
      <c r="P603" s="613"/>
      <c r="Q603" s="613"/>
      <c r="R603" s="613"/>
      <c r="S603" s="614"/>
      <c r="T603" s="614"/>
      <c r="U603" s="614"/>
      <c r="V603" s="614"/>
      <c r="AM603"/>
      <c r="AN603"/>
      <c r="AO603"/>
      <c r="AP603"/>
    </row>
    <row r="604" spans="2:42" ht="12.75">
      <c r="B604" s="97"/>
      <c r="C604" s="75"/>
      <c r="D604" s="663"/>
      <c r="E604" s="615">
        <v>3103</v>
      </c>
      <c r="F604" s="616">
        <v>3000</v>
      </c>
      <c r="G604" s="612"/>
      <c r="H604" s="98"/>
      <c r="I604" s="452"/>
      <c r="O604" s="619">
        <f t="shared" si="5"/>
        <v>3000</v>
      </c>
      <c r="P604" s="613"/>
      <c r="Q604" s="613"/>
      <c r="R604" s="613">
        <v>3000</v>
      </c>
      <c r="S604" s="614"/>
      <c r="T604" s="614"/>
      <c r="U604" s="614"/>
      <c r="V604" s="614"/>
      <c r="AM604"/>
      <c r="AN604"/>
      <c r="AO604"/>
      <c r="AP604"/>
    </row>
    <row r="605" spans="2:42" ht="12.75">
      <c r="B605" s="97"/>
      <c r="C605" s="75"/>
      <c r="D605" s="663"/>
      <c r="E605" s="615">
        <v>3401</v>
      </c>
      <c r="F605" s="616">
        <v>19800</v>
      </c>
      <c r="G605" s="612"/>
      <c r="H605" s="98"/>
      <c r="I605" s="452"/>
      <c r="O605" s="619">
        <f t="shared" si="5"/>
        <v>19800</v>
      </c>
      <c r="P605" s="613"/>
      <c r="Q605" s="613"/>
      <c r="R605" s="613">
        <v>19800</v>
      </c>
      <c r="S605" s="614"/>
      <c r="T605" s="614"/>
      <c r="U605" s="614"/>
      <c r="V605" s="614"/>
      <c r="AM605"/>
      <c r="AN605"/>
      <c r="AO605"/>
      <c r="AP605"/>
    </row>
    <row r="606" spans="2:42" ht="12.75">
      <c r="B606" s="97"/>
      <c r="C606" s="75"/>
      <c r="D606" s="663"/>
      <c r="E606" s="615">
        <v>3701</v>
      </c>
      <c r="F606" s="616">
        <v>96000</v>
      </c>
      <c r="G606" s="612" t="s">
        <v>232</v>
      </c>
      <c r="H606" s="98"/>
      <c r="I606" s="452"/>
      <c r="O606" s="619">
        <f t="shared" si="5"/>
        <v>96000</v>
      </c>
      <c r="P606" s="613"/>
      <c r="Q606" s="613"/>
      <c r="R606" s="613">
        <v>96000</v>
      </c>
      <c r="S606" s="614"/>
      <c r="T606" s="614"/>
      <c r="U606" s="614"/>
      <c r="V606" s="614"/>
      <c r="AM606"/>
      <c r="AN606"/>
      <c r="AO606"/>
      <c r="AP606"/>
    </row>
    <row r="607" spans="2:42" ht="12.75">
      <c r="B607" s="97"/>
      <c r="C607" s="75"/>
      <c r="D607" s="663"/>
      <c r="E607" s="615">
        <v>3702</v>
      </c>
      <c r="F607" s="616">
        <v>54000</v>
      </c>
      <c r="G607" s="612" t="s">
        <v>232</v>
      </c>
      <c r="H607" s="98"/>
      <c r="I607" s="452"/>
      <c r="O607" s="619">
        <f t="shared" si="5"/>
        <v>54000</v>
      </c>
      <c r="P607" s="613"/>
      <c r="Q607" s="613"/>
      <c r="R607" s="613">
        <v>54000</v>
      </c>
      <c r="S607" s="614"/>
      <c r="T607" s="614"/>
      <c r="U607" s="614"/>
      <c r="V607" s="614"/>
      <c r="AM607"/>
      <c r="AN607"/>
      <c r="AO607"/>
      <c r="AP607"/>
    </row>
    <row r="608" spans="2:42" ht="12.75">
      <c r="B608" s="97"/>
      <c r="C608" s="76"/>
      <c r="D608" s="663"/>
      <c r="E608" s="615">
        <v>3703</v>
      </c>
      <c r="F608" s="616">
        <v>5190</v>
      </c>
      <c r="G608" s="612"/>
      <c r="H608" s="98"/>
      <c r="I608" s="452"/>
      <c r="O608" s="619">
        <f t="shared" si="5"/>
        <v>5190</v>
      </c>
      <c r="P608" s="613"/>
      <c r="Q608" s="613"/>
      <c r="R608" s="613">
        <v>5190</v>
      </c>
      <c r="S608" s="614"/>
      <c r="T608" s="614"/>
      <c r="U608" s="614"/>
      <c r="V608" s="614"/>
      <c r="AM608"/>
      <c r="AN608"/>
      <c r="AO608"/>
      <c r="AP608"/>
    </row>
    <row r="609" spans="1:42" ht="12.75">
      <c r="A609">
        <v>3</v>
      </c>
      <c r="B609" s="97">
        <v>68</v>
      </c>
      <c r="C609" s="75" t="s">
        <v>459</v>
      </c>
      <c r="D609" s="663">
        <f>+F609+F614</f>
        <v>32349</v>
      </c>
      <c r="E609" s="610">
        <v>2000</v>
      </c>
      <c r="F609" s="611">
        <f>SUM(F610:F613)</f>
        <v>12549</v>
      </c>
      <c r="G609" s="612"/>
      <c r="H609" s="98"/>
      <c r="I609" s="452"/>
      <c r="O609" s="613"/>
      <c r="P609" s="613"/>
      <c r="Q609" s="613"/>
      <c r="R609" s="613"/>
      <c r="S609" s="614"/>
      <c r="T609" s="614"/>
      <c r="U609" s="614"/>
      <c r="V609" s="614"/>
      <c r="AM609"/>
      <c r="AN609"/>
      <c r="AO609"/>
      <c r="AP609"/>
    </row>
    <row r="610" spans="2:42" ht="12.75">
      <c r="B610" s="97"/>
      <c r="C610" s="75"/>
      <c r="D610" s="663"/>
      <c r="E610" s="615">
        <v>2101</v>
      </c>
      <c r="F610" s="616">
        <v>1200</v>
      </c>
      <c r="G610" s="612"/>
      <c r="H610" s="98"/>
      <c r="I610" s="452"/>
      <c r="O610" s="619">
        <f>F610</f>
        <v>1200</v>
      </c>
      <c r="P610" s="613"/>
      <c r="Q610" s="613"/>
      <c r="R610" s="613">
        <v>1200</v>
      </c>
      <c r="S610" s="614"/>
      <c r="T610" s="614"/>
      <c r="U610" s="614"/>
      <c r="V610" s="614"/>
      <c r="AM610"/>
      <c r="AN610"/>
      <c r="AO610"/>
      <c r="AP610"/>
    </row>
    <row r="611" spans="2:42" ht="12.75">
      <c r="B611" s="97"/>
      <c r="C611" s="75"/>
      <c r="D611" s="663"/>
      <c r="E611" s="615">
        <v>2104</v>
      </c>
      <c r="F611" s="616">
        <v>6449</v>
      </c>
      <c r="G611" s="612"/>
      <c r="H611" s="98"/>
      <c r="I611" s="452"/>
      <c r="O611" s="619">
        <f>F611</f>
        <v>6449</v>
      </c>
      <c r="P611" s="613"/>
      <c r="Q611" s="613"/>
      <c r="R611" s="613">
        <v>6449</v>
      </c>
      <c r="S611" s="614"/>
      <c r="T611" s="614"/>
      <c r="U611" s="614"/>
      <c r="V611" s="614"/>
      <c r="AM611"/>
      <c r="AN611"/>
      <c r="AO611"/>
      <c r="AP611"/>
    </row>
    <row r="612" spans="2:42" ht="12.75">
      <c r="B612" s="97"/>
      <c r="C612" s="75"/>
      <c r="D612" s="663"/>
      <c r="E612" s="615">
        <v>2105</v>
      </c>
      <c r="F612" s="616">
        <v>900</v>
      </c>
      <c r="G612" s="612"/>
      <c r="H612" s="98"/>
      <c r="I612" s="452"/>
      <c r="O612" s="619">
        <f>F612</f>
        <v>900</v>
      </c>
      <c r="P612" s="613"/>
      <c r="Q612" s="613"/>
      <c r="R612" s="613">
        <v>900</v>
      </c>
      <c r="S612" s="614"/>
      <c r="T612" s="614"/>
      <c r="U612" s="614"/>
      <c r="V612" s="614"/>
      <c r="AM612"/>
      <c r="AN612"/>
      <c r="AO612"/>
      <c r="AP612"/>
    </row>
    <row r="613" spans="2:42" ht="12.75">
      <c r="B613" s="97"/>
      <c r="C613" s="75"/>
      <c r="D613" s="663"/>
      <c r="E613" s="615">
        <v>2201</v>
      </c>
      <c r="F613" s="616">
        <v>4000</v>
      </c>
      <c r="G613" s="612"/>
      <c r="H613" s="98"/>
      <c r="I613" s="452"/>
      <c r="O613" s="619">
        <f>F613</f>
        <v>4000</v>
      </c>
      <c r="P613" s="613"/>
      <c r="Q613" s="613"/>
      <c r="R613" s="613">
        <v>4000</v>
      </c>
      <c r="S613" s="614"/>
      <c r="T613" s="614"/>
      <c r="U613" s="614"/>
      <c r="V613" s="614"/>
      <c r="AM613"/>
      <c r="AN613"/>
      <c r="AO613"/>
      <c r="AP613"/>
    </row>
    <row r="614" spans="2:42" ht="12.75">
      <c r="B614" s="97"/>
      <c r="C614" s="75"/>
      <c r="D614" s="663"/>
      <c r="E614" s="610">
        <v>3000</v>
      </c>
      <c r="F614" s="611">
        <f>SUM(F615)</f>
        <v>19800</v>
      </c>
      <c r="G614" s="612"/>
      <c r="H614" s="98"/>
      <c r="I614" s="452"/>
      <c r="O614" s="619"/>
      <c r="P614" s="613"/>
      <c r="Q614" s="613"/>
      <c r="R614" s="613"/>
      <c r="S614" s="614"/>
      <c r="T614" s="614"/>
      <c r="U614" s="614"/>
      <c r="V614" s="614"/>
      <c r="AM614"/>
      <c r="AN614"/>
      <c r="AO614"/>
      <c r="AP614"/>
    </row>
    <row r="615" spans="2:42" ht="12.75">
      <c r="B615" s="97"/>
      <c r="C615" s="75"/>
      <c r="D615" s="663"/>
      <c r="E615" s="615">
        <v>3401</v>
      </c>
      <c r="F615" s="616">
        <v>19800</v>
      </c>
      <c r="G615" s="612"/>
      <c r="H615" s="98"/>
      <c r="I615" s="452"/>
      <c r="O615" s="619">
        <f>F615</f>
        <v>19800</v>
      </c>
      <c r="P615" s="613"/>
      <c r="Q615" s="613"/>
      <c r="R615" s="613">
        <v>19800</v>
      </c>
      <c r="S615" s="614"/>
      <c r="T615" s="614"/>
      <c r="U615" s="614"/>
      <c r="V615" s="614"/>
      <c r="AM615"/>
      <c r="AN615"/>
      <c r="AO615"/>
      <c r="AP615"/>
    </row>
    <row r="616" spans="1:42" ht="38.25">
      <c r="A616">
        <v>4</v>
      </c>
      <c r="B616" s="97">
        <v>69</v>
      </c>
      <c r="C616" s="178" t="s">
        <v>462</v>
      </c>
      <c r="D616" s="663">
        <f>+F616+F622</f>
        <v>253603.00000000003</v>
      </c>
      <c r="E616" s="610">
        <v>2000</v>
      </c>
      <c r="F616" s="611">
        <f>SUM(F617:F621)</f>
        <v>187303.00000000003</v>
      </c>
      <c r="G616" s="620"/>
      <c r="H616" s="98"/>
      <c r="I616" s="452"/>
      <c r="O616" s="613"/>
      <c r="P616" s="613"/>
      <c r="Q616" s="613"/>
      <c r="R616" s="613"/>
      <c r="S616" s="614"/>
      <c r="T616" s="614"/>
      <c r="U616" s="614"/>
      <c r="V616" s="614"/>
      <c r="AM616"/>
      <c r="AN616"/>
      <c r="AO616"/>
      <c r="AP616"/>
    </row>
    <row r="617" spans="2:42" ht="12.75">
      <c r="B617" s="97"/>
      <c r="C617" s="75"/>
      <c r="D617" s="663"/>
      <c r="E617" s="615">
        <v>2101</v>
      </c>
      <c r="F617" s="621">
        <v>7485.200000000001</v>
      </c>
      <c r="G617" s="620"/>
      <c r="H617" s="98"/>
      <c r="I617" s="452"/>
      <c r="O617" s="619">
        <f>F617*0.1</f>
        <v>748.5200000000001</v>
      </c>
      <c r="P617" s="617">
        <f>F617*0.9</f>
        <v>6736.680000000001</v>
      </c>
      <c r="Q617" s="613"/>
      <c r="R617" s="613">
        <v>7485.200000000001</v>
      </c>
      <c r="S617" s="614">
        <v>67366.8</v>
      </c>
      <c r="T617" s="614"/>
      <c r="U617" s="614"/>
      <c r="V617" s="614"/>
      <c r="AM617"/>
      <c r="AN617"/>
      <c r="AO617"/>
      <c r="AP617"/>
    </row>
    <row r="618" spans="2:42" ht="12.75">
      <c r="B618" s="97"/>
      <c r="C618" s="75"/>
      <c r="D618" s="663"/>
      <c r="E618" s="615">
        <v>2103</v>
      </c>
      <c r="F618" s="621">
        <v>155119.30000000002</v>
      </c>
      <c r="G618" s="612"/>
      <c r="H618" s="98"/>
      <c r="I618" s="452"/>
      <c r="O618" s="619">
        <f aca="true" t="shared" si="6" ref="O618:O625">F618*0.1</f>
        <v>15511.930000000002</v>
      </c>
      <c r="P618" s="617">
        <f aca="true" t="shared" si="7" ref="P618:P625">F618*0.9</f>
        <v>139607.37000000002</v>
      </c>
      <c r="Q618" s="613"/>
      <c r="R618" s="613">
        <v>155119.30000000002</v>
      </c>
      <c r="S618" s="614">
        <v>1396073.7</v>
      </c>
      <c r="T618" s="614"/>
      <c r="U618" s="614"/>
      <c r="V618" s="614"/>
      <c r="AM618"/>
      <c r="AN618"/>
      <c r="AO618"/>
      <c r="AP618"/>
    </row>
    <row r="619" spans="2:42" ht="12.75">
      <c r="B619" s="97"/>
      <c r="C619" s="75"/>
      <c r="D619" s="663"/>
      <c r="E619" s="615">
        <v>2105</v>
      </c>
      <c r="F619" s="621">
        <v>9438.5</v>
      </c>
      <c r="G619" s="612"/>
      <c r="H619" s="98"/>
      <c r="I619" s="452"/>
      <c r="O619" s="619">
        <f t="shared" si="6"/>
        <v>943.85</v>
      </c>
      <c r="P619" s="617">
        <f t="shared" si="7"/>
        <v>8494.65</v>
      </c>
      <c r="Q619" s="613"/>
      <c r="R619" s="613">
        <v>9438.5</v>
      </c>
      <c r="S619" s="614">
        <v>84946.5</v>
      </c>
      <c r="T619" s="614"/>
      <c r="U619" s="614"/>
      <c r="V619" s="614"/>
      <c r="AM619"/>
      <c r="AN619"/>
      <c r="AO619"/>
      <c r="AP619"/>
    </row>
    <row r="620" spans="2:42" ht="12.75">
      <c r="B620" s="97"/>
      <c r="C620" s="75"/>
      <c r="D620" s="663"/>
      <c r="E620" s="615">
        <v>2201</v>
      </c>
      <c r="F620" s="621">
        <v>12380</v>
      </c>
      <c r="G620" s="612"/>
      <c r="H620" s="98"/>
      <c r="I620" s="452"/>
      <c r="O620" s="619">
        <f t="shared" si="6"/>
        <v>1238</v>
      </c>
      <c r="P620" s="617">
        <f t="shared" si="7"/>
        <v>11142</v>
      </c>
      <c r="Q620" s="613"/>
      <c r="R620" s="613">
        <v>12380</v>
      </c>
      <c r="S620" s="614">
        <v>111420</v>
      </c>
      <c r="T620" s="614"/>
      <c r="U620" s="614"/>
      <c r="V620" s="614"/>
      <c r="AM620"/>
      <c r="AN620"/>
      <c r="AO620"/>
      <c r="AP620"/>
    </row>
    <row r="621" spans="2:42" ht="12.75">
      <c r="B621" s="97"/>
      <c r="C621" s="75"/>
      <c r="D621" s="663"/>
      <c r="E621" s="615">
        <v>2601</v>
      </c>
      <c r="F621" s="621">
        <v>2880</v>
      </c>
      <c r="G621" s="612" t="s">
        <v>154</v>
      </c>
      <c r="H621" s="98"/>
      <c r="I621" s="452"/>
      <c r="O621" s="619">
        <f t="shared" si="6"/>
        <v>288</v>
      </c>
      <c r="P621" s="617">
        <f t="shared" si="7"/>
        <v>2592</v>
      </c>
      <c r="Q621" s="613"/>
      <c r="R621" s="613">
        <v>2880</v>
      </c>
      <c r="S621" s="614">
        <v>25920</v>
      </c>
      <c r="T621" s="614"/>
      <c r="U621" s="614"/>
      <c r="V621" s="614"/>
      <c r="AM621"/>
      <c r="AN621"/>
      <c r="AO621"/>
      <c r="AP621"/>
    </row>
    <row r="622" spans="2:42" ht="12.75">
      <c r="B622" s="97"/>
      <c r="C622" s="75"/>
      <c r="D622" s="663"/>
      <c r="E622" s="610">
        <v>3000</v>
      </c>
      <c r="F622" s="611">
        <f>SUM(F623:F625)</f>
        <v>66300</v>
      </c>
      <c r="G622" s="612"/>
      <c r="H622" s="98"/>
      <c r="I622" s="452"/>
      <c r="O622" s="619"/>
      <c r="P622" s="617"/>
      <c r="Q622" s="613"/>
      <c r="R622" s="613"/>
      <c r="S622" s="614"/>
      <c r="T622" s="614"/>
      <c r="U622" s="614"/>
      <c r="V622" s="614"/>
      <c r="AM622"/>
      <c r="AN622"/>
      <c r="AO622"/>
      <c r="AP622"/>
    </row>
    <row r="623" spans="2:42" ht="12.75">
      <c r="B623" s="97"/>
      <c r="C623" s="75"/>
      <c r="D623" s="663"/>
      <c r="E623" s="615">
        <v>3701</v>
      </c>
      <c r="F623" s="621">
        <v>17460</v>
      </c>
      <c r="G623" s="612" t="s">
        <v>232</v>
      </c>
      <c r="H623" s="98"/>
      <c r="I623" s="452"/>
      <c r="O623" s="619">
        <f t="shared" si="6"/>
        <v>1746</v>
      </c>
      <c r="P623" s="617">
        <f t="shared" si="7"/>
        <v>15714</v>
      </c>
      <c r="Q623" s="613"/>
      <c r="R623" s="613">
        <v>17460</v>
      </c>
      <c r="S623" s="614">
        <v>157140</v>
      </c>
      <c r="T623" s="614"/>
      <c r="U623" s="614"/>
      <c r="V623" s="614"/>
      <c r="AM623"/>
      <c r="AN623"/>
      <c r="AO623"/>
      <c r="AP623"/>
    </row>
    <row r="624" spans="2:42" ht="12.75">
      <c r="B624" s="97"/>
      <c r="C624" s="75"/>
      <c r="D624" s="663"/>
      <c r="E624" s="615">
        <v>3702</v>
      </c>
      <c r="F624" s="621">
        <v>38360</v>
      </c>
      <c r="G624" s="612" t="s">
        <v>232</v>
      </c>
      <c r="H624" s="98"/>
      <c r="I624" s="452"/>
      <c r="O624" s="619">
        <f t="shared" si="6"/>
        <v>3836</v>
      </c>
      <c r="P624" s="617">
        <f t="shared" si="7"/>
        <v>34524</v>
      </c>
      <c r="Q624" s="613"/>
      <c r="R624" s="613">
        <v>38360</v>
      </c>
      <c r="S624" s="614">
        <v>345240</v>
      </c>
      <c r="T624" s="614"/>
      <c r="U624" s="614"/>
      <c r="V624" s="614"/>
      <c r="AM624"/>
      <c r="AN624"/>
      <c r="AO624"/>
      <c r="AP624"/>
    </row>
    <row r="625" spans="2:42" ht="12.75">
      <c r="B625" s="97"/>
      <c r="C625" s="75"/>
      <c r="D625" s="663"/>
      <c r="E625" s="615">
        <v>3703</v>
      </c>
      <c r="F625" s="621">
        <v>10480</v>
      </c>
      <c r="G625" s="612"/>
      <c r="H625" s="98"/>
      <c r="I625" s="452"/>
      <c r="O625" s="619">
        <f t="shared" si="6"/>
        <v>1048</v>
      </c>
      <c r="P625" s="617">
        <f t="shared" si="7"/>
        <v>9432</v>
      </c>
      <c r="Q625" s="613"/>
      <c r="R625" s="613">
        <v>10480</v>
      </c>
      <c r="S625" s="614">
        <v>94320</v>
      </c>
      <c r="T625" s="614"/>
      <c r="U625" s="614"/>
      <c r="V625" s="614"/>
      <c r="AM625"/>
      <c r="AN625"/>
      <c r="AO625"/>
      <c r="AP625"/>
    </row>
    <row r="626" spans="1:42" ht="38.25">
      <c r="A626">
        <v>5</v>
      </c>
      <c r="B626" s="97">
        <v>70</v>
      </c>
      <c r="C626" s="178" t="s">
        <v>465</v>
      </c>
      <c r="D626" s="663">
        <f>+F626+F631</f>
        <v>162282.2</v>
      </c>
      <c r="E626" s="610">
        <v>2000</v>
      </c>
      <c r="F626" s="611">
        <f>SUM(F627:F630)</f>
        <v>22380.6</v>
      </c>
      <c r="G626" s="612"/>
      <c r="H626" s="98"/>
      <c r="I626" s="452"/>
      <c r="O626" s="613"/>
      <c r="P626" s="613"/>
      <c r="Q626" s="613"/>
      <c r="R626" s="613"/>
      <c r="S626" s="614"/>
      <c r="T626" s="614"/>
      <c r="U626" s="614"/>
      <c r="V626" s="614"/>
      <c r="AM626"/>
      <c r="AN626"/>
      <c r="AO626"/>
      <c r="AP626"/>
    </row>
    <row r="627" spans="2:42" ht="12.75">
      <c r="B627" s="97"/>
      <c r="C627" s="75"/>
      <c r="D627" s="663"/>
      <c r="E627" s="615">
        <v>2101</v>
      </c>
      <c r="F627" s="621">
        <v>10.5</v>
      </c>
      <c r="G627" s="612"/>
      <c r="H627" s="98"/>
      <c r="I627" s="452"/>
      <c r="O627" s="617">
        <f>F627*0.1</f>
        <v>1.05</v>
      </c>
      <c r="P627" s="617">
        <f>F627*0.9</f>
        <v>9.450000000000001</v>
      </c>
      <c r="Q627" s="613"/>
      <c r="R627" s="613">
        <v>10.5</v>
      </c>
      <c r="S627" s="614">
        <v>94.5</v>
      </c>
      <c r="T627" s="614"/>
      <c r="U627" s="614"/>
      <c r="V627" s="614"/>
      <c r="AM627"/>
      <c r="AN627"/>
      <c r="AO627"/>
      <c r="AP627"/>
    </row>
    <row r="628" spans="2:42" ht="12.75">
      <c r="B628" s="97"/>
      <c r="C628" s="75"/>
      <c r="D628" s="663"/>
      <c r="E628" s="615">
        <v>2103</v>
      </c>
      <c r="F628" s="621">
        <v>16080</v>
      </c>
      <c r="G628" s="612"/>
      <c r="H628" s="98"/>
      <c r="I628" s="452"/>
      <c r="O628" s="617">
        <f aca="true" t="shared" si="8" ref="O628:O634">F628*0.1</f>
        <v>1608</v>
      </c>
      <c r="P628" s="617">
        <f aca="true" t="shared" si="9" ref="P628:P634">F628*0.9</f>
        <v>14472</v>
      </c>
      <c r="Q628" s="613"/>
      <c r="R628" s="613">
        <v>16080</v>
      </c>
      <c r="S628" s="614">
        <v>144720</v>
      </c>
      <c r="T628" s="614"/>
      <c r="U628" s="614"/>
      <c r="V628" s="614"/>
      <c r="AM628"/>
      <c r="AN628"/>
      <c r="AO628"/>
      <c r="AP628"/>
    </row>
    <row r="629" spans="2:42" ht="12.75">
      <c r="B629" s="97"/>
      <c r="C629" s="75"/>
      <c r="D629" s="663"/>
      <c r="E629" s="615">
        <v>2201</v>
      </c>
      <c r="F629" s="621">
        <v>5090.1</v>
      </c>
      <c r="G629" s="612"/>
      <c r="H629" s="98"/>
      <c r="I629" s="452"/>
      <c r="O629" s="617">
        <f t="shared" si="8"/>
        <v>509.01000000000005</v>
      </c>
      <c r="P629" s="617">
        <f t="shared" si="9"/>
        <v>4581.09</v>
      </c>
      <c r="Q629" s="613"/>
      <c r="R629" s="613">
        <v>5090.1</v>
      </c>
      <c r="S629" s="614">
        <v>45810.9</v>
      </c>
      <c r="T629" s="614"/>
      <c r="U629" s="614"/>
      <c r="V629" s="614"/>
      <c r="AM629"/>
      <c r="AN629"/>
      <c r="AO629"/>
      <c r="AP629"/>
    </row>
    <row r="630" spans="2:42" ht="12.75">
      <c r="B630" s="97"/>
      <c r="C630" s="75"/>
      <c r="D630" s="663"/>
      <c r="E630" s="615">
        <v>2601</v>
      </c>
      <c r="F630" s="621">
        <v>1200</v>
      </c>
      <c r="G630" s="612" t="s">
        <v>154</v>
      </c>
      <c r="H630" s="98"/>
      <c r="I630" s="452"/>
      <c r="O630" s="617">
        <f t="shared" si="8"/>
        <v>120</v>
      </c>
      <c r="P630" s="617">
        <f t="shared" si="9"/>
        <v>1080</v>
      </c>
      <c r="Q630" s="613"/>
      <c r="R630" s="613">
        <v>1200</v>
      </c>
      <c r="S630" s="614">
        <v>10800</v>
      </c>
      <c r="T630" s="614"/>
      <c r="U630" s="614"/>
      <c r="V630" s="614"/>
      <c r="AM630"/>
      <c r="AN630"/>
      <c r="AO630"/>
      <c r="AP630"/>
    </row>
    <row r="631" spans="2:42" ht="12.75">
      <c r="B631" s="97"/>
      <c r="C631" s="75"/>
      <c r="D631" s="663"/>
      <c r="E631" s="610">
        <v>3000</v>
      </c>
      <c r="F631" s="611">
        <f>SUM(F632:F634)</f>
        <v>139901.6</v>
      </c>
      <c r="G631" s="612"/>
      <c r="H631" s="98"/>
      <c r="I631" s="452"/>
      <c r="O631" s="617"/>
      <c r="P631" s="617"/>
      <c r="Q631" s="613"/>
      <c r="R631" s="613"/>
      <c r="S631" s="614"/>
      <c r="T631" s="614"/>
      <c r="U631" s="614"/>
      <c r="V631" s="614"/>
      <c r="AM631"/>
      <c r="AN631"/>
      <c r="AO631"/>
      <c r="AP631"/>
    </row>
    <row r="632" spans="2:42" ht="12.75">
      <c r="B632" s="97"/>
      <c r="C632" s="75"/>
      <c r="D632" s="663"/>
      <c r="E632" s="615">
        <v>3701</v>
      </c>
      <c r="F632" s="621">
        <v>3000</v>
      </c>
      <c r="G632" s="612" t="s">
        <v>232</v>
      </c>
      <c r="H632" s="98"/>
      <c r="I632" s="452"/>
      <c r="O632" s="617">
        <f t="shared" si="8"/>
        <v>300</v>
      </c>
      <c r="P632" s="617">
        <f t="shared" si="9"/>
        <v>2700</v>
      </c>
      <c r="Q632" s="613"/>
      <c r="R632" s="613">
        <v>3000</v>
      </c>
      <c r="S632" s="614">
        <v>27000</v>
      </c>
      <c r="T632" s="614"/>
      <c r="U632" s="614"/>
      <c r="V632" s="614"/>
      <c r="AM632"/>
      <c r="AN632"/>
      <c r="AO632"/>
      <c r="AP632"/>
    </row>
    <row r="633" spans="2:42" ht="12.75">
      <c r="B633" s="97"/>
      <c r="C633" s="75"/>
      <c r="D633" s="663"/>
      <c r="E633" s="615">
        <v>3702</v>
      </c>
      <c r="F633" s="621">
        <v>2901.6000000000004</v>
      </c>
      <c r="G633" s="612" t="s">
        <v>232</v>
      </c>
      <c r="H633" s="98"/>
      <c r="I633" s="452"/>
      <c r="O633" s="617">
        <f t="shared" si="8"/>
        <v>290.16</v>
      </c>
      <c r="P633" s="617">
        <f t="shared" si="9"/>
        <v>2611.4400000000005</v>
      </c>
      <c r="Q633" s="613"/>
      <c r="R633" s="613">
        <v>2901.6000000000004</v>
      </c>
      <c r="S633" s="614">
        <v>26114.4</v>
      </c>
      <c r="T633" s="614"/>
      <c r="U633" s="614"/>
      <c r="V633" s="614"/>
      <c r="AM633"/>
      <c r="AN633"/>
      <c r="AO633"/>
      <c r="AP633"/>
    </row>
    <row r="634" spans="2:42" ht="12.75">
      <c r="B634" s="97"/>
      <c r="C634" s="75"/>
      <c r="D634" s="663"/>
      <c r="E634" s="615">
        <v>3903</v>
      </c>
      <c r="F634" s="621">
        <v>134000</v>
      </c>
      <c r="G634" s="612"/>
      <c r="H634" s="98"/>
      <c r="I634" s="452"/>
      <c r="O634" s="617">
        <f t="shared" si="8"/>
        <v>13400</v>
      </c>
      <c r="P634" s="617">
        <f t="shared" si="9"/>
        <v>120600</v>
      </c>
      <c r="Q634" s="613"/>
      <c r="R634" s="613">
        <v>134000</v>
      </c>
      <c r="S634" s="614">
        <v>1206000</v>
      </c>
      <c r="T634" s="614"/>
      <c r="U634" s="614"/>
      <c r="V634" s="614"/>
      <c r="AM634"/>
      <c r="AN634"/>
      <c r="AO634"/>
      <c r="AP634"/>
    </row>
    <row r="635" spans="1:42" ht="25.5">
      <c r="A635">
        <v>6</v>
      </c>
      <c r="B635" s="97">
        <v>71</v>
      </c>
      <c r="C635" s="178" t="s">
        <v>467</v>
      </c>
      <c r="D635" s="663">
        <f>+F635+F640</f>
        <v>105433.1</v>
      </c>
      <c r="E635" s="610">
        <v>2000</v>
      </c>
      <c r="F635" s="611">
        <f>SUM(F636:F639)</f>
        <v>29422.500000000004</v>
      </c>
      <c r="G635" s="620"/>
      <c r="H635" s="98"/>
      <c r="I635" s="452"/>
      <c r="O635" s="613"/>
      <c r="P635" s="613"/>
      <c r="Q635" s="613"/>
      <c r="R635" s="613"/>
      <c r="S635" s="614"/>
      <c r="T635" s="614"/>
      <c r="U635" s="614"/>
      <c r="V635" s="614"/>
      <c r="AM635"/>
      <c r="AN635"/>
      <c r="AO635"/>
      <c r="AP635"/>
    </row>
    <row r="636" spans="2:42" ht="12.75">
      <c r="B636" s="97"/>
      <c r="C636" s="75"/>
      <c r="D636" s="663"/>
      <c r="E636" s="615">
        <v>2101</v>
      </c>
      <c r="F636" s="622">
        <v>21</v>
      </c>
      <c r="G636" s="612"/>
      <c r="H636" s="98"/>
      <c r="I636" s="452"/>
      <c r="O636" s="623">
        <f>F636*0.1</f>
        <v>2.1</v>
      </c>
      <c r="P636" s="623">
        <f>F636*0.9</f>
        <v>18.900000000000002</v>
      </c>
      <c r="Q636" s="613"/>
      <c r="R636" s="613">
        <v>21</v>
      </c>
      <c r="S636" s="614">
        <v>189</v>
      </c>
      <c r="T636" s="614"/>
      <c r="U636" s="614"/>
      <c r="V636" s="614"/>
      <c r="AM636"/>
      <c r="AN636"/>
      <c r="AO636"/>
      <c r="AP636"/>
    </row>
    <row r="637" spans="2:42" ht="12.75">
      <c r="B637" s="97"/>
      <c r="C637" s="75"/>
      <c r="D637" s="663"/>
      <c r="E637" s="615">
        <v>2103</v>
      </c>
      <c r="F637" s="622">
        <v>22165.600000000002</v>
      </c>
      <c r="G637" s="612"/>
      <c r="H637" s="98"/>
      <c r="I637" s="452"/>
      <c r="O637" s="623">
        <f aca="true" t="shared" si="10" ref="O637:O645">F637*0.1</f>
        <v>2216.5600000000004</v>
      </c>
      <c r="P637" s="623">
        <f aca="true" t="shared" si="11" ref="P637:P645">F637*0.9</f>
        <v>19949.04</v>
      </c>
      <c r="Q637" s="613"/>
      <c r="R637" s="613">
        <v>22165.600000000002</v>
      </c>
      <c r="S637" s="614">
        <v>199490.4</v>
      </c>
      <c r="T637" s="614"/>
      <c r="U637" s="614"/>
      <c r="V637" s="614"/>
      <c r="AM637"/>
      <c r="AN637"/>
      <c r="AO637"/>
      <c r="AP637"/>
    </row>
    <row r="638" spans="2:42" ht="12.75">
      <c r="B638" s="97"/>
      <c r="C638" s="75"/>
      <c r="D638" s="663"/>
      <c r="E638" s="615">
        <v>2105</v>
      </c>
      <c r="F638" s="622">
        <v>365.5</v>
      </c>
      <c r="G638" s="612"/>
      <c r="H638" s="98"/>
      <c r="I638" s="452"/>
      <c r="O638" s="623">
        <f t="shared" si="10"/>
        <v>36.550000000000004</v>
      </c>
      <c r="P638" s="623">
        <f t="shared" si="11"/>
        <v>328.95</v>
      </c>
      <c r="Q638" s="613"/>
      <c r="R638" s="613">
        <v>365.5</v>
      </c>
      <c r="S638" s="614">
        <v>3289.5</v>
      </c>
      <c r="T638" s="614"/>
      <c r="U638" s="614"/>
      <c r="V638" s="614"/>
      <c r="AM638"/>
      <c r="AN638"/>
      <c r="AO638"/>
      <c r="AP638"/>
    </row>
    <row r="639" spans="2:42" ht="12.75">
      <c r="B639" s="97"/>
      <c r="C639" s="75"/>
      <c r="D639" s="663"/>
      <c r="E639" s="615">
        <v>2201</v>
      </c>
      <c r="F639" s="622">
        <v>6870.400000000001</v>
      </c>
      <c r="G639" s="612"/>
      <c r="H639" s="98"/>
      <c r="I639" s="452"/>
      <c r="O639" s="623">
        <f t="shared" si="10"/>
        <v>687.0400000000001</v>
      </c>
      <c r="P639" s="623">
        <f t="shared" si="11"/>
        <v>6183.360000000001</v>
      </c>
      <c r="Q639" s="613"/>
      <c r="R639" s="613">
        <v>6870.400000000001</v>
      </c>
      <c r="S639" s="614">
        <v>61833.6</v>
      </c>
      <c r="T639" s="614"/>
      <c r="U639" s="614"/>
      <c r="V639" s="614"/>
      <c r="AM639"/>
      <c r="AN639"/>
      <c r="AO639"/>
      <c r="AP639"/>
    </row>
    <row r="640" spans="2:42" ht="12.75">
      <c r="B640" s="97"/>
      <c r="C640" s="75"/>
      <c r="D640" s="663"/>
      <c r="E640" s="610">
        <v>3000</v>
      </c>
      <c r="F640" s="611">
        <f>SUM(F641:F645)</f>
        <v>76010.6</v>
      </c>
      <c r="G640" s="612"/>
      <c r="H640" s="98"/>
      <c r="I640" s="452"/>
      <c r="O640" s="623"/>
      <c r="P640" s="623"/>
      <c r="Q640" s="613"/>
      <c r="R640" s="613"/>
      <c r="S640" s="614"/>
      <c r="T640" s="614"/>
      <c r="U640" s="614"/>
      <c r="V640" s="614"/>
      <c r="AM640"/>
      <c r="AN640"/>
      <c r="AO640"/>
      <c r="AP640"/>
    </row>
    <row r="641" spans="2:42" ht="12.75">
      <c r="B641" s="97"/>
      <c r="C641" s="75"/>
      <c r="D641" s="663"/>
      <c r="E641" s="615">
        <v>3401</v>
      </c>
      <c r="F641" s="622">
        <v>4264</v>
      </c>
      <c r="G641" s="612"/>
      <c r="H641" s="98"/>
      <c r="I641" s="452"/>
      <c r="O641" s="623">
        <f t="shared" si="10"/>
        <v>426.40000000000003</v>
      </c>
      <c r="P641" s="623">
        <f t="shared" si="11"/>
        <v>3837.6</v>
      </c>
      <c r="Q641" s="613"/>
      <c r="R641" s="613">
        <v>4264</v>
      </c>
      <c r="S641" s="614">
        <v>38376</v>
      </c>
      <c r="T641" s="614"/>
      <c r="U641" s="614"/>
      <c r="V641" s="614"/>
      <c r="AM641"/>
      <c r="AN641"/>
      <c r="AO641"/>
      <c r="AP641"/>
    </row>
    <row r="642" spans="2:42" ht="12.75">
      <c r="B642" s="97"/>
      <c r="C642" s="75"/>
      <c r="D642" s="663"/>
      <c r="E642" s="615">
        <v>3701</v>
      </c>
      <c r="F642" s="622">
        <v>7548</v>
      </c>
      <c r="G642" s="612" t="s">
        <v>232</v>
      </c>
      <c r="H642" s="98"/>
      <c r="I642" s="452"/>
      <c r="O642" s="623">
        <f t="shared" si="10"/>
        <v>754.8000000000001</v>
      </c>
      <c r="P642" s="623">
        <f t="shared" si="11"/>
        <v>6793.2</v>
      </c>
      <c r="Q642" s="613"/>
      <c r="R642" s="613">
        <v>7548</v>
      </c>
      <c r="S642" s="614">
        <v>67932</v>
      </c>
      <c r="T642" s="614"/>
      <c r="U642" s="614"/>
      <c r="V642" s="614"/>
      <c r="AM642"/>
      <c r="AN642"/>
      <c r="AO642"/>
      <c r="AP642"/>
    </row>
    <row r="643" spans="2:42" ht="12.75">
      <c r="B643" s="97"/>
      <c r="C643" s="75"/>
      <c r="D643" s="663"/>
      <c r="E643" s="615">
        <v>3702</v>
      </c>
      <c r="F643" s="622">
        <v>14198.6</v>
      </c>
      <c r="G643" s="612" t="s">
        <v>232</v>
      </c>
      <c r="H643" s="98"/>
      <c r="I643" s="452"/>
      <c r="O643" s="623">
        <f t="shared" si="10"/>
        <v>1419.8600000000001</v>
      </c>
      <c r="P643" s="623">
        <f t="shared" si="11"/>
        <v>12778.74</v>
      </c>
      <c r="Q643" s="613"/>
      <c r="R643" s="613">
        <v>14198.6</v>
      </c>
      <c r="S643" s="614">
        <v>127787.40000000001</v>
      </c>
      <c r="T643" s="614"/>
      <c r="U643" s="614"/>
      <c r="V643" s="614"/>
      <c r="AM643"/>
      <c r="AN643"/>
      <c r="AO643"/>
      <c r="AP643"/>
    </row>
    <row r="644" spans="2:42" ht="12.75">
      <c r="B644" s="97"/>
      <c r="C644" s="75"/>
      <c r="D644" s="663"/>
      <c r="E644" s="615">
        <v>3703</v>
      </c>
      <c r="F644" s="622">
        <v>2400</v>
      </c>
      <c r="G644" s="612"/>
      <c r="H644" s="98"/>
      <c r="I644" s="452"/>
      <c r="O644" s="623">
        <f t="shared" si="10"/>
        <v>240</v>
      </c>
      <c r="P644" s="623">
        <f t="shared" si="11"/>
        <v>2160</v>
      </c>
      <c r="Q644" s="613"/>
      <c r="R644" s="613">
        <v>2400</v>
      </c>
      <c r="S644" s="614">
        <v>21600</v>
      </c>
      <c r="T644" s="614"/>
      <c r="U644" s="614"/>
      <c r="V644" s="614"/>
      <c r="AM644"/>
      <c r="AN644"/>
      <c r="AO644"/>
      <c r="AP644"/>
    </row>
    <row r="645" spans="2:42" ht="12.75">
      <c r="B645" s="97"/>
      <c r="C645" s="76"/>
      <c r="D645" s="663"/>
      <c r="E645" s="615">
        <v>3903</v>
      </c>
      <c r="F645" s="622">
        <v>47600</v>
      </c>
      <c r="G645" s="612"/>
      <c r="H645" s="98"/>
      <c r="I645" s="452"/>
      <c r="O645" s="623">
        <f t="shared" si="10"/>
        <v>4760</v>
      </c>
      <c r="P645" s="623">
        <f t="shared" si="11"/>
        <v>42840</v>
      </c>
      <c r="Q645" s="613"/>
      <c r="R645" s="613">
        <v>47600</v>
      </c>
      <c r="S645" s="614">
        <v>428400</v>
      </c>
      <c r="T645" s="614"/>
      <c r="U645" s="614"/>
      <c r="V645" s="614"/>
      <c r="AM645"/>
      <c r="AN645"/>
      <c r="AO645"/>
      <c r="AP645"/>
    </row>
    <row r="646" spans="1:42" ht="38.25">
      <c r="A646">
        <v>7</v>
      </c>
      <c r="B646" s="97">
        <v>72</v>
      </c>
      <c r="C646" s="178" t="s">
        <v>245</v>
      </c>
      <c r="D646" s="663">
        <f>+F646</f>
        <v>27500</v>
      </c>
      <c r="E646" s="610">
        <v>3000</v>
      </c>
      <c r="F646" s="611">
        <f>SUM(F647:F648)</f>
        <v>27500</v>
      </c>
      <c r="G646" s="612"/>
      <c r="H646" s="98"/>
      <c r="I646" s="452"/>
      <c r="O646" s="613"/>
      <c r="P646" s="613"/>
      <c r="Q646" s="613"/>
      <c r="R646" s="613"/>
      <c r="S646" s="614"/>
      <c r="T646" s="614"/>
      <c r="U646" s="614"/>
      <c r="V646" s="614"/>
      <c r="AM646"/>
      <c r="AN646"/>
      <c r="AO646"/>
      <c r="AP646"/>
    </row>
    <row r="647" spans="2:42" ht="12.75">
      <c r="B647" s="97"/>
      <c r="C647" s="75"/>
      <c r="D647" s="663"/>
      <c r="E647" s="615">
        <v>3701</v>
      </c>
      <c r="F647" s="622">
        <v>15000</v>
      </c>
      <c r="G647" s="612" t="s">
        <v>232</v>
      </c>
      <c r="H647" s="98"/>
      <c r="I647" s="452"/>
      <c r="O647" s="623">
        <f>F647*0.1</f>
        <v>1500</v>
      </c>
      <c r="P647" s="623">
        <f>F647*0.9</f>
        <v>13500</v>
      </c>
      <c r="Q647" s="613"/>
      <c r="R647" s="613">
        <v>15000</v>
      </c>
      <c r="S647" s="614">
        <v>135000</v>
      </c>
      <c r="T647" s="614"/>
      <c r="U647" s="614"/>
      <c r="V647" s="614"/>
      <c r="AM647"/>
      <c r="AN647"/>
      <c r="AO647"/>
      <c r="AP647"/>
    </row>
    <row r="648" spans="2:42" ht="12.75">
      <c r="B648" s="97"/>
      <c r="C648" s="75"/>
      <c r="D648" s="663"/>
      <c r="E648" s="615">
        <v>3702</v>
      </c>
      <c r="F648" s="622">
        <v>12500</v>
      </c>
      <c r="G648" s="612" t="s">
        <v>232</v>
      </c>
      <c r="H648" s="98"/>
      <c r="I648" s="452"/>
      <c r="O648" s="623">
        <f>F648*0.1</f>
        <v>1250</v>
      </c>
      <c r="P648" s="623">
        <f>F648*0.9</f>
        <v>11250</v>
      </c>
      <c r="Q648" s="613"/>
      <c r="R648" s="613">
        <v>12500</v>
      </c>
      <c r="S648" s="614">
        <v>112500</v>
      </c>
      <c r="T648" s="614"/>
      <c r="U648" s="614"/>
      <c r="V648" s="614"/>
      <c r="AM648"/>
      <c r="AN648"/>
      <c r="AO648"/>
      <c r="AP648"/>
    </row>
    <row r="649" spans="1:42" ht="25.5">
      <c r="A649">
        <v>11</v>
      </c>
      <c r="B649" s="97">
        <v>73</v>
      </c>
      <c r="C649" s="178" t="s">
        <v>253</v>
      </c>
      <c r="D649" s="663">
        <f>+F649+F651</f>
        <v>34770</v>
      </c>
      <c r="E649" s="610">
        <v>2000</v>
      </c>
      <c r="F649" s="611">
        <f>SUM(F650)</f>
        <v>420</v>
      </c>
      <c r="G649" s="612"/>
      <c r="H649" s="98"/>
      <c r="I649" s="452"/>
      <c r="O649" s="613"/>
      <c r="P649" s="613"/>
      <c r="Q649" s="613"/>
      <c r="R649" s="613"/>
      <c r="S649" s="614"/>
      <c r="T649" s="614"/>
      <c r="U649" s="614"/>
      <c r="V649" s="614"/>
      <c r="AM649"/>
      <c r="AN649"/>
      <c r="AO649"/>
      <c r="AP649"/>
    </row>
    <row r="650" spans="2:42" ht="12.75">
      <c r="B650" s="97"/>
      <c r="C650" s="75"/>
      <c r="D650" s="663"/>
      <c r="E650" s="615">
        <v>2201</v>
      </c>
      <c r="F650" s="622">
        <v>420</v>
      </c>
      <c r="G650" s="612"/>
      <c r="H650" s="98"/>
      <c r="I650" s="452"/>
      <c r="O650" s="623">
        <f>F650*0.1</f>
        <v>42</v>
      </c>
      <c r="P650" s="623">
        <f>F650*0.9</f>
        <v>378</v>
      </c>
      <c r="Q650" s="613"/>
      <c r="R650" s="613">
        <v>420</v>
      </c>
      <c r="S650" s="614">
        <v>3780</v>
      </c>
      <c r="T650" s="614"/>
      <c r="U650" s="614"/>
      <c r="V650" s="614"/>
      <c r="AM650"/>
      <c r="AN650"/>
      <c r="AO650"/>
      <c r="AP650"/>
    </row>
    <row r="651" spans="2:42" ht="12.75">
      <c r="B651" s="97"/>
      <c r="C651" s="75"/>
      <c r="D651" s="663"/>
      <c r="E651" s="610">
        <v>3000</v>
      </c>
      <c r="F651" s="611">
        <f>SUM(F652:F654)</f>
        <v>34350</v>
      </c>
      <c r="G651" s="612"/>
      <c r="H651" s="98"/>
      <c r="I651" s="452"/>
      <c r="O651" s="623"/>
      <c r="P651" s="623"/>
      <c r="Q651" s="613"/>
      <c r="R651" s="613"/>
      <c r="S651" s="614"/>
      <c r="T651" s="614"/>
      <c r="U651" s="614"/>
      <c r="V651" s="614"/>
      <c r="AM651"/>
      <c r="AN651"/>
      <c r="AO651"/>
      <c r="AP651"/>
    </row>
    <row r="652" spans="2:42" ht="12.75">
      <c r="B652" s="97"/>
      <c r="C652" s="75"/>
      <c r="D652" s="663"/>
      <c r="E652" s="615">
        <v>3301</v>
      </c>
      <c r="F652" s="622">
        <v>11250</v>
      </c>
      <c r="G652" s="612"/>
      <c r="H652" s="98"/>
      <c r="I652" s="452"/>
      <c r="O652" s="623">
        <f>F652*0.1</f>
        <v>1125</v>
      </c>
      <c r="P652" s="623">
        <f>F652*0.9</f>
        <v>10125</v>
      </c>
      <c r="Q652" s="613"/>
      <c r="R652" s="613">
        <v>11250</v>
      </c>
      <c r="S652" s="614">
        <v>101250</v>
      </c>
      <c r="T652" s="614"/>
      <c r="U652" s="614"/>
      <c r="V652" s="614"/>
      <c r="AM652"/>
      <c r="AN652"/>
      <c r="AO652"/>
      <c r="AP652"/>
    </row>
    <row r="653" spans="2:42" ht="12.75">
      <c r="B653" s="97"/>
      <c r="C653" s="75"/>
      <c r="D653" s="663"/>
      <c r="E653" s="615">
        <v>3701</v>
      </c>
      <c r="F653" s="622">
        <v>5100</v>
      </c>
      <c r="G653" s="612" t="s">
        <v>232</v>
      </c>
      <c r="H653" s="98"/>
      <c r="I653" s="452"/>
      <c r="O653" s="623">
        <f>F653*0.1</f>
        <v>510</v>
      </c>
      <c r="P653" s="623">
        <f>F653*0.9</f>
        <v>4590</v>
      </c>
      <c r="Q653" s="613"/>
      <c r="R653" s="613">
        <v>5100</v>
      </c>
      <c r="S653" s="614">
        <v>45900</v>
      </c>
      <c r="T653" s="614"/>
      <c r="U653" s="614"/>
      <c r="V653" s="614"/>
      <c r="AM653"/>
      <c r="AN653"/>
      <c r="AO653"/>
      <c r="AP653"/>
    </row>
    <row r="654" spans="2:42" ht="12.75">
      <c r="B654" s="97"/>
      <c r="C654" s="75"/>
      <c r="D654" s="663"/>
      <c r="E654" s="615">
        <v>3702</v>
      </c>
      <c r="F654" s="622">
        <v>18000</v>
      </c>
      <c r="G654" s="612" t="s">
        <v>232</v>
      </c>
      <c r="H654" s="98"/>
      <c r="I654" s="452"/>
      <c r="O654" s="623">
        <f>F654*0.1</f>
        <v>1800</v>
      </c>
      <c r="P654" s="623">
        <f>F654*0.9</f>
        <v>16200</v>
      </c>
      <c r="Q654" s="613"/>
      <c r="R654" s="613">
        <v>18000</v>
      </c>
      <c r="S654" s="614">
        <v>162000</v>
      </c>
      <c r="T654" s="614"/>
      <c r="U654" s="614"/>
      <c r="V654" s="614"/>
      <c r="AM654"/>
      <c r="AN654"/>
      <c r="AO654"/>
      <c r="AP654"/>
    </row>
    <row r="655" spans="1:42" ht="12.75">
      <c r="A655">
        <v>14</v>
      </c>
      <c r="B655" s="97">
        <v>74</v>
      </c>
      <c r="C655" s="178" t="s">
        <v>254</v>
      </c>
      <c r="D655" s="663">
        <f>+F655+F658</f>
        <v>26480</v>
      </c>
      <c r="E655" s="610">
        <v>2000</v>
      </c>
      <c r="F655" s="611">
        <f>SUM(F656:F657)</f>
        <v>1300</v>
      </c>
      <c r="G655" s="612"/>
      <c r="H655" s="96"/>
      <c r="I655" s="451"/>
      <c r="O655" s="613"/>
      <c r="P655" s="613"/>
      <c r="Q655" s="613"/>
      <c r="R655" s="613"/>
      <c r="S655" s="614"/>
      <c r="T655" s="614"/>
      <c r="U655" s="614"/>
      <c r="V655" s="614"/>
      <c r="AM655"/>
      <c r="AN655"/>
      <c r="AO655"/>
      <c r="AP655"/>
    </row>
    <row r="656" spans="2:42" ht="12.75">
      <c r="B656" s="97"/>
      <c r="C656" s="75"/>
      <c r="D656" s="663"/>
      <c r="E656" s="615">
        <v>2103</v>
      </c>
      <c r="F656" s="622">
        <v>1000</v>
      </c>
      <c r="G656" s="612"/>
      <c r="H656" s="96"/>
      <c r="I656" s="451"/>
      <c r="O656" s="623">
        <f>F656*0.1</f>
        <v>100</v>
      </c>
      <c r="P656" s="623">
        <f>F656*0.9</f>
        <v>900</v>
      </c>
      <c r="Q656" s="613"/>
      <c r="R656" s="613">
        <v>1000</v>
      </c>
      <c r="S656" s="614">
        <v>9000</v>
      </c>
      <c r="T656" s="614"/>
      <c r="U656" s="614"/>
      <c r="V656" s="614"/>
      <c r="AM656"/>
      <c r="AN656"/>
      <c r="AO656"/>
      <c r="AP656"/>
    </row>
    <row r="657" spans="2:42" ht="12.75">
      <c r="B657" s="97"/>
      <c r="C657" s="75"/>
      <c r="D657" s="663"/>
      <c r="E657" s="615">
        <v>2201</v>
      </c>
      <c r="F657" s="622">
        <v>300</v>
      </c>
      <c r="G657" s="612"/>
      <c r="H657" s="96"/>
      <c r="I657" s="451"/>
      <c r="O657" s="623">
        <f aca="true" t="shared" si="12" ref="O657:O705">F657*0.1</f>
        <v>30</v>
      </c>
      <c r="P657" s="623">
        <f aca="true" t="shared" si="13" ref="P657:P705">F657*0.9</f>
        <v>270</v>
      </c>
      <c r="Q657" s="613"/>
      <c r="R657" s="613">
        <v>300</v>
      </c>
      <c r="S657" s="614">
        <v>2700</v>
      </c>
      <c r="T657" s="614"/>
      <c r="U657" s="614"/>
      <c r="V657" s="614"/>
      <c r="AM657"/>
      <c r="AN657"/>
      <c r="AO657"/>
      <c r="AP657"/>
    </row>
    <row r="658" spans="2:42" ht="12.75">
      <c r="B658" s="97"/>
      <c r="C658" s="75"/>
      <c r="D658" s="663"/>
      <c r="E658" s="610">
        <v>3000</v>
      </c>
      <c r="F658" s="611">
        <f>SUM(F659:F664)</f>
        <v>25180</v>
      </c>
      <c r="G658" s="620"/>
      <c r="H658" s="96"/>
      <c r="I658" s="451"/>
      <c r="O658" s="623"/>
      <c r="P658" s="623"/>
      <c r="Q658" s="613"/>
      <c r="R658" s="613"/>
      <c r="S658" s="614"/>
      <c r="T658" s="614"/>
      <c r="U658" s="614"/>
      <c r="V658" s="614"/>
      <c r="AM658"/>
      <c r="AN658"/>
      <c r="AO658"/>
      <c r="AP658"/>
    </row>
    <row r="659" spans="2:42" ht="12.75">
      <c r="B659" s="97"/>
      <c r="C659" s="75"/>
      <c r="D659" s="663"/>
      <c r="E659" s="615">
        <v>3201</v>
      </c>
      <c r="F659" s="622">
        <v>750</v>
      </c>
      <c r="G659" s="612"/>
      <c r="H659" s="96"/>
      <c r="I659" s="451"/>
      <c r="O659" s="624">
        <f t="shared" si="12"/>
        <v>75</v>
      </c>
      <c r="P659" s="624">
        <f t="shared" si="13"/>
        <v>675</v>
      </c>
      <c r="Q659" s="625"/>
      <c r="R659" s="625">
        <v>750</v>
      </c>
      <c r="S659" s="626">
        <v>6750</v>
      </c>
      <c r="T659" s="626"/>
      <c r="U659" s="614"/>
      <c r="V659" s="614"/>
      <c r="AM659"/>
      <c r="AN659"/>
      <c r="AO659"/>
      <c r="AP659"/>
    </row>
    <row r="660" spans="2:42" ht="12.75">
      <c r="B660" s="97"/>
      <c r="C660" s="75"/>
      <c r="D660" s="663"/>
      <c r="E660" s="615">
        <v>3301</v>
      </c>
      <c r="F660" s="622">
        <v>8630</v>
      </c>
      <c r="G660" s="612"/>
      <c r="H660" s="96"/>
      <c r="I660" s="451"/>
      <c r="O660" s="624">
        <f t="shared" si="12"/>
        <v>863</v>
      </c>
      <c r="P660" s="624">
        <f t="shared" si="13"/>
        <v>7767</v>
      </c>
      <c r="Q660" s="625"/>
      <c r="R660" s="625">
        <v>8630</v>
      </c>
      <c r="S660" s="626">
        <v>77670</v>
      </c>
      <c r="T660" s="626"/>
      <c r="U660" s="614"/>
      <c r="V660" s="614"/>
      <c r="AM660"/>
      <c r="AN660"/>
      <c r="AO660"/>
      <c r="AP660"/>
    </row>
    <row r="661" spans="2:42" ht="12.75">
      <c r="B661" s="97"/>
      <c r="C661" s="75"/>
      <c r="D661" s="663"/>
      <c r="E661" s="615">
        <v>3604</v>
      </c>
      <c r="F661" s="622">
        <v>500</v>
      </c>
      <c r="G661" s="612"/>
      <c r="H661" s="96"/>
      <c r="I661" s="451"/>
      <c r="O661" s="624">
        <f t="shared" si="12"/>
        <v>50</v>
      </c>
      <c r="P661" s="624">
        <f t="shared" si="13"/>
        <v>450</v>
      </c>
      <c r="Q661" s="625"/>
      <c r="R661" s="625">
        <v>500</v>
      </c>
      <c r="S661" s="626">
        <v>4500</v>
      </c>
      <c r="T661" s="626"/>
      <c r="U661" s="614"/>
      <c r="V661" s="614"/>
      <c r="AM661"/>
      <c r="AN661"/>
      <c r="AO661"/>
      <c r="AP661"/>
    </row>
    <row r="662" spans="2:42" ht="12.75">
      <c r="B662" s="97"/>
      <c r="C662" s="75"/>
      <c r="D662" s="663"/>
      <c r="E662" s="615">
        <v>3701</v>
      </c>
      <c r="F662" s="622">
        <v>6000</v>
      </c>
      <c r="G662" s="612" t="s">
        <v>232</v>
      </c>
      <c r="H662" s="96"/>
      <c r="I662" s="451"/>
      <c r="O662" s="624">
        <f t="shared" si="12"/>
        <v>600</v>
      </c>
      <c r="P662" s="624">
        <f t="shared" si="13"/>
        <v>5400</v>
      </c>
      <c r="Q662" s="625"/>
      <c r="R662" s="625">
        <v>6000</v>
      </c>
      <c r="S662" s="626">
        <v>54000</v>
      </c>
      <c r="T662" s="626"/>
      <c r="U662" s="614"/>
      <c r="V662" s="614"/>
      <c r="AM662"/>
      <c r="AN662"/>
      <c r="AO662"/>
      <c r="AP662"/>
    </row>
    <row r="663" spans="2:42" ht="12.75">
      <c r="B663" s="97"/>
      <c r="C663" s="75"/>
      <c r="D663" s="663"/>
      <c r="E663" s="615">
        <v>3702</v>
      </c>
      <c r="F663" s="622">
        <v>6570</v>
      </c>
      <c r="G663" s="612" t="s">
        <v>232</v>
      </c>
      <c r="H663" s="96"/>
      <c r="I663" s="451"/>
      <c r="O663" s="624">
        <f t="shared" si="12"/>
        <v>657</v>
      </c>
      <c r="P663" s="624">
        <f t="shared" si="13"/>
        <v>5913</v>
      </c>
      <c r="Q663" s="625"/>
      <c r="R663" s="625">
        <v>6570</v>
      </c>
      <c r="S663" s="626">
        <v>59130</v>
      </c>
      <c r="T663" s="626"/>
      <c r="U663" s="614"/>
      <c r="V663" s="614"/>
      <c r="AM663"/>
      <c r="AN663"/>
      <c r="AO663"/>
      <c r="AP663"/>
    </row>
    <row r="664" spans="2:42" ht="12.75">
      <c r="B664" s="97"/>
      <c r="C664" s="75"/>
      <c r="D664" s="663"/>
      <c r="E664" s="615">
        <v>3703</v>
      </c>
      <c r="F664" s="622">
        <v>2730</v>
      </c>
      <c r="G664" s="612"/>
      <c r="H664" s="96"/>
      <c r="I664" s="451"/>
      <c r="O664" s="624">
        <f t="shared" si="12"/>
        <v>273</v>
      </c>
      <c r="P664" s="624">
        <f t="shared" si="13"/>
        <v>2457</v>
      </c>
      <c r="Q664" s="625"/>
      <c r="R664" s="625">
        <v>2730</v>
      </c>
      <c r="S664" s="626">
        <v>24570</v>
      </c>
      <c r="T664" s="626"/>
      <c r="U664" s="614"/>
      <c r="V664" s="614"/>
      <c r="AM664"/>
      <c r="AN664"/>
      <c r="AO664"/>
      <c r="AP664"/>
    </row>
    <row r="665" spans="1:38" s="41" customFormat="1" ht="25.5">
      <c r="A665" s="41">
        <v>17</v>
      </c>
      <c r="B665" s="97">
        <v>75</v>
      </c>
      <c r="C665" s="178" t="s">
        <v>247</v>
      </c>
      <c r="D665" s="663">
        <f>+F665+F670</f>
        <v>597190</v>
      </c>
      <c r="E665" s="627">
        <v>2000</v>
      </c>
      <c r="F665" s="628">
        <f>SUM(F666:F669)</f>
        <v>433130</v>
      </c>
      <c r="G665" s="612"/>
      <c r="H665" s="98"/>
      <c r="I665" s="452"/>
      <c r="J665" s="39"/>
      <c r="K665" s="39"/>
      <c r="L665" s="39"/>
      <c r="M665" s="39"/>
      <c r="N665" s="39"/>
      <c r="O665" s="623"/>
      <c r="P665" s="623"/>
      <c r="Q665" s="613"/>
      <c r="R665" s="613"/>
      <c r="S665" s="614"/>
      <c r="T665" s="614"/>
      <c r="U665" s="614"/>
      <c r="V665" s="614"/>
      <c r="W665" s="39"/>
      <c r="X665" s="39"/>
      <c r="Y665" s="39"/>
      <c r="Z665" s="39"/>
      <c r="AA665" s="39"/>
      <c r="AB665" s="39"/>
      <c r="AC665" s="39"/>
      <c r="AD665" s="39"/>
      <c r="AE665" s="39"/>
      <c r="AF665" s="39"/>
      <c r="AG665" s="39"/>
      <c r="AH665" s="39"/>
      <c r="AI665" s="39"/>
      <c r="AJ665" s="39"/>
      <c r="AK665" s="39"/>
      <c r="AL665" s="39"/>
    </row>
    <row r="666" spans="2:38" s="41" customFormat="1" ht="12.75">
      <c r="B666" s="97"/>
      <c r="C666" s="75"/>
      <c r="D666" s="663"/>
      <c r="E666" s="615">
        <v>2106</v>
      </c>
      <c r="F666" s="629">
        <v>87050</v>
      </c>
      <c r="G666" s="612"/>
      <c r="H666" s="98"/>
      <c r="I666" s="452"/>
      <c r="J666" s="39"/>
      <c r="K666" s="39"/>
      <c r="L666" s="39"/>
      <c r="M666" s="39"/>
      <c r="N666" s="39"/>
      <c r="O666" s="623">
        <f t="shared" si="12"/>
        <v>8705</v>
      </c>
      <c r="P666" s="623">
        <f t="shared" si="13"/>
        <v>78345</v>
      </c>
      <c r="Q666" s="613"/>
      <c r="R666" s="613">
        <v>87050</v>
      </c>
      <c r="S666" s="614">
        <v>783450</v>
      </c>
      <c r="T666" s="614"/>
      <c r="U666" s="614"/>
      <c r="V666" s="614"/>
      <c r="W666" s="39"/>
      <c r="X666" s="39"/>
      <c r="Y666" s="39"/>
      <c r="Z666" s="39"/>
      <c r="AA666" s="39"/>
      <c r="AB666" s="39"/>
      <c r="AC666" s="39"/>
      <c r="AD666" s="39"/>
      <c r="AE666" s="39"/>
      <c r="AF666" s="39"/>
      <c r="AG666" s="39"/>
      <c r="AH666" s="39"/>
      <c r="AI666" s="39"/>
      <c r="AJ666" s="39"/>
      <c r="AK666" s="39"/>
      <c r="AL666" s="39"/>
    </row>
    <row r="667" spans="2:38" s="41" customFormat="1" ht="12.75">
      <c r="B667" s="97"/>
      <c r="C667" s="75"/>
      <c r="D667" s="663"/>
      <c r="E667" s="615">
        <v>2501</v>
      </c>
      <c r="F667" s="629">
        <v>65000</v>
      </c>
      <c r="G667" s="612"/>
      <c r="H667" s="98"/>
      <c r="I667" s="452"/>
      <c r="J667" s="39"/>
      <c r="K667" s="39"/>
      <c r="L667" s="39"/>
      <c r="M667" s="39"/>
      <c r="N667" s="39"/>
      <c r="O667" s="623">
        <f t="shared" si="12"/>
        <v>6500</v>
      </c>
      <c r="P667" s="623">
        <f t="shared" si="13"/>
        <v>58500</v>
      </c>
      <c r="Q667" s="613"/>
      <c r="R667" s="613">
        <v>65000</v>
      </c>
      <c r="S667" s="614">
        <v>585000</v>
      </c>
      <c r="T667" s="614"/>
      <c r="U667" s="614"/>
      <c r="V667" s="614"/>
      <c r="W667" s="39"/>
      <c r="X667" s="39"/>
      <c r="Y667" s="39"/>
      <c r="Z667" s="39"/>
      <c r="AA667" s="39"/>
      <c r="AB667" s="39"/>
      <c r="AC667" s="39"/>
      <c r="AD667" s="39"/>
      <c r="AE667" s="39"/>
      <c r="AF667" s="39"/>
      <c r="AG667" s="39"/>
      <c r="AH667" s="39"/>
      <c r="AI667" s="39"/>
      <c r="AJ667" s="39"/>
      <c r="AK667" s="39"/>
      <c r="AL667" s="39"/>
    </row>
    <row r="668" spans="2:38" s="41" customFormat="1" ht="12.75">
      <c r="B668" s="97"/>
      <c r="C668" s="75"/>
      <c r="D668" s="663"/>
      <c r="E668" s="615">
        <v>2505</v>
      </c>
      <c r="F668" s="629">
        <v>280000</v>
      </c>
      <c r="G668" s="612"/>
      <c r="H668" s="98"/>
      <c r="I668" s="452"/>
      <c r="J668" s="39"/>
      <c r="K668" s="39"/>
      <c r="L668" s="39"/>
      <c r="M668" s="39"/>
      <c r="N668" s="39"/>
      <c r="O668" s="623">
        <f t="shared" si="12"/>
        <v>28000</v>
      </c>
      <c r="P668" s="623">
        <f t="shared" si="13"/>
        <v>252000</v>
      </c>
      <c r="Q668" s="613"/>
      <c r="R668" s="613">
        <v>280000</v>
      </c>
      <c r="S668" s="614">
        <v>2520000</v>
      </c>
      <c r="T668" s="614"/>
      <c r="U668" s="614"/>
      <c r="V668" s="614"/>
      <c r="W668" s="39"/>
      <c r="X668" s="39"/>
      <c r="Y668" s="39"/>
      <c r="Z668" s="39"/>
      <c r="AA668" s="39"/>
      <c r="AB668" s="39"/>
      <c r="AC668" s="39"/>
      <c r="AD668" s="39"/>
      <c r="AE668" s="39"/>
      <c r="AF668" s="39"/>
      <c r="AG668" s="39"/>
      <c r="AH668" s="39"/>
      <c r="AI668" s="39"/>
      <c r="AJ668" s="39"/>
      <c r="AK668" s="39"/>
      <c r="AL668" s="39"/>
    </row>
    <row r="669" spans="2:38" s="41" customFormat="1" ht="12.75">
      <c r="B669" s="97"/>
      <c r="C669" s="75"/>
      <c r="D669" s="663"/>
      <c r="E669" s="615">
        <v>2601</v>
      </c>
      <c r="F669" s="629">
        <v>1080</v>
      </c>
      <c r="G669" s="612" t="s">
        <v>154</v>
      </c>
      <c r="H669" s="98"/>
      <c r="I669" s="452"/>
      <c r="J669" s="39"/>
      <c r="K669" s="39"/>
      <c r="L669" s="39"/>
      <c r="M669" s="39"/>
      <c r="N669" s="39"/>
      <c r="O669" s="623">
        <f t="shared" si="12"/>
        <v>108</v>
      </c>
      <c r="P669" s="623">
        <f t="shared" si="13"/>
        <v>972</v>
      </c>
      <c r="Q669" s="613"/>
      <c r="R669" s="613">
        <v>1080</v>
      </c>
      <c r="S669" s="614">
        <v>9720</v>
      </c>
      <c r="T669" s="614"/>
      <c r="U669" s="614"/>
      <c r="V669" s="614"/>
      <c r="W669" s="39"/>
      <c r="X669" s="39"/>
      <c r="Y669" s="39"/>
      <c r="Z669" s="39"/>
      <c r="AA669" s="39"/>
      <c r="AB669" s="39"/>
      <c r="AC669" s="39"/>
      <c r="AD669" s="39"/>
      <c r="AE669" s="39"/>
      <c r="AF669" s="39"/>
      <c r="AG669" s="39"/>
      <c r="AH669" s="39"/>
      <c r="AI669" s="39"/>
      <c r="AJ669" s="39"/>
      <c r="AK669" s="39"/>
      <c r="AL669" s="39"/>
    </row>
    <row r="670" spans="2:38" s="41" customFormat="1" ht="12.75">
      <c r="B670" s="97"/>
      <c r="C670" s="75"/>
      <c r="D670" s="663"/>
      <c r="E670" s="627">
        <v>3000</v>
      </c>
      <c r="F670" s="628">
        <f>SUM(F671:F674)</f>
        <v>164060</v>
      </c>
      <c r="G670" s="612"/>
      <c r="H670" s="98"/>
      <c r="I670" s="452"/>
      <c r="J670" s="39"/>
      <c r="K670" s="39"/>
      <c r="L670" s="39"/>
      <c r="M670" s="39"/>
      <c r="N670" s="39"/>
      <c r="O670" s="623"/>
      <c r="P670" s="623"/>
      <c r="Q670" s="613"/>
      <c r="R670" s="613"/>
      <c r="S670" s="614"/>
      <c r="T670" s="614"/>
      <c r="U670" s="614"/>
      <c r="V670" s="614"/>
      <c r="W670" s="39"/>
      <c r="X670" s="39"/>
      <c r="Y670" s="39"/>
      <c r="Z670" s="39"/>
      <c r="AA670" s="39"/>
      <c r="AB670" s="39"/>
      <c r="AC670" s="39"/>
      <c r="AD670" s="39"/>
      <c r="AE670" s="39"/>
      <c r="AF670" s="39"/>
      <c r="AG670" s="39"/>
      <c r="AH670" s="39"/>
      <c r="AI670" s="39"/>
      <c r="AJ670" s="39"/>
      <c r="AK670" s="39"/>
      <c r="AL670" s="39"/>
    </row>
    <row r="671" spans="2:38" s="41" customFormat="1" ht="12.75">
      <c r="B671" s="97"/>
      <c r="C671" s="75"/>
      <c r="D671" s="663"/>
      <c r="E671" s="615">
        <v>3501</v>
      </c>
      <c r="F671" s="629">
        <v>160000</v>
      </c>
      <c r="G671" s="612"/>
      <c r="H671" s="98"/>
      <c r="I671" s="452"/>
      <c r="J671" s="39"/>
      <c r="K671" s="39"/>
      <c r="L671" s="39"/>
      <c r="M671" s="39"/>
      <c r="N671" s="39"/>
      <c r="O671" s="623">
        <f t="shared" si="12"/>
        <v>16000</v>
      </c>
      <c r="P671" s="623">
        <f t="shared" si="13"/>
        <v>144000</v>
      </c>
      <c r="Q671" s="613"/>
      <c r="R671" s="613">
        <v>160000</v>
      </c>
      <c r="S671" s="614">
        <v>1440000</v>
      </c>
      <c r="T671" s="614"/>
      <c r="U671" s="614"/>
      <c r="V671" s="614"/>
      <c r="W671" s="39"/>
      <c r="X671" s="39"/>
      <c r="Y671" s="39"/>
      <c r="Z671" s="39"/>
      <c r="AA671" s="39"/>
      <c r="AB671" s="39"/>
      <c r="AC671" s="39"/>
      <c r="AD671" s="39"/>
      <c r="AE671" s="39"/>
      <c r="AF671" s="39"/>
      <c r="AG671" s="39"/>
      <c r="AH671" s="39"/>
      <c r="AI671" s="39"/>
      <c r="AJ671" s="39"/>
      <c r="AK671" s="39"/>
      <c r="AL671" s="39"/>
    </row>
    <row r="672" spans="2:38" s="41" customFormat="1" ht="12.75">
      <c r="B672" s="97"/>
      <c r="C672" s="75"/>
      <c r="D672" s="663"/>
      <c r="E672" s="615">
        <v>3701</v>
      </c>
      <c r="F672" s="629">
        <v>400</v>
      </c>
      <c r="G672" s="612" t="s">
        <v>232</v>
      </c>
      <c r="H672" s="98"/>
      <c r="I672" s="452"/>
      <c r="J672" s="39"/>
      <c r="K672" s="39"/>
      <c r="L672" s="39"/>
      <c r="M672" s="39"/>
      <c r="N672" s="39"/>
      <c r="O672" s="623">
        <f t="shared" si="12"/>
        <v>40</v>
      </c>
      <c r="P672" s="623">
        <f t="shared" si="13"/>
        <v>360</v>
      </c>
      <c r="Q672" s="613"/>
      <c r="R672" s="613">
        <v>400</v>
      </c>
      <c r="S672" s="614">
        <v>3600</v>
      </c>
      <c r="T672" s="614"/>
      <c r="U672" s="614"/>
      <c r="V672" s="614"/>
      <c r="W672" s="39"/>
      <c r="X672" s="39"/>
      <c r="Y672" s="39"/>
      <c r="Z672" s="39"/>
      <c r="AA672" s="39"/>
      <c r="AB672" s="39"/>
      <c r="AC672" s="39"/>
      <c r="AD672" s="39"/>
      <c r="AE672" s="39"/>
      <c r="AF672" s="39"/>
      <c r="AG672" s="39"/>
      <c r="AH672" s="39"/>
      <c r="AI672" s="39"/>
      <c r="AJ672" s="39"/>
      <c r="AK672" s="39"/>
      <c r="AL672" s="39"/>
    </row>
    <row r="673" spans="2:38" s="41" customFormat="1" ht="12.75">
      <c r="B673" s="97"/>
      <c r="C673" s="75"/>
      <c r="D673" s="663"/>
      <c r="E673" s="615">
        <v>3702</v>
      </c>
      <c r="F673" s="629">
        <v>3450</v>
      </c>
      <c r="G673" s="612" t="s">
        <v>232</v>
      </c>
      <c r="H673" s="98"/>
      <c r="I673" s="452"/>
      <c r="J673" s="39"/>
      <c r="K673" s="39"/>
      <c r="L673" s="39"/>
      <c r="M673" s="39"/>
      <c r="N673" s="39"/>
      <c r="O673" s="623">
        <f t="shared" si="12"/>
        <v>345</v>
      </c>
      <c r="P673" s="623">
        <f t="shared" si="13"/>
        <v>3105</v>
      </c>
      <c r="Q673" s="613"/>
      <c r="R673" s="613">
        <v>3450</v>
      </c>
      <c r="S673" s="614">
        <v>31050</v>
      </c>
      <c r="T673" s="614"/>
      <c r="U673" s="614"/>
      <c r="V673" s="614"/>
      <c r="W673" s="39"/>
      <c r="X673" s="39"/>
      <c r="Y673" s="39"/>
      <c r="Z673" s="39"/>
      <c r="AA673" s="39"/>
      <c r="AB673" s="39"/>
      <c r="AC673" s="39"/>
      <c r="AD673" s="39"/>
      <c r="AE673" s="39"/>
      <c r="AF673" s="39"/>
      <c r="AG673" s="39"/>
      <c r="AH673" s="39"/>
      <c r="AI673" s="39"/>
      <c r="AJ673" s="39"/>
      <c r="AK673" s="39"/>
      <c r="AL673" s="39"/>
    </row>
    <row r="674" spans="2:38" s="41" customFormat="1" ht="12.75">
      <c r="B674" s="97"/>
      <c r="C674" s="76"/>
      <c r="D674" s="663"/>
      <c r="E674" s="615">
        <v>3703</v>
      </c>
      <c r="F674" s="629">
        <v>210</v>
      </c>
      <c r="G674" s="612"/>
      <c r="H674" s="98"/>
      <c r="I674" s="452"/>
      <c r="J674" s="39"/>
      <c r="K674" s="39"/>
      <c r="L674" s="39"/>
      <c r="M674" s="39"/>
      <c r="N674" s="39"/>
      <c r="O674" s="623">
        <f t="shared" si="12"/>
        <v>21</v>
      </c>
      <c r="P674" s="623">
        <f t="shared" si="13"/>
        <v>189</v>
      </c>
      <c r="Q674" s="613"/>
      <c r="R674" s="613">
        <v>210</v>
      </c>
      <c r="S674" s="614">
        <v>1890</v>
      </c>
      <c r="T674" s="614"/>
      <c r="U674" s="614"/>
      <c r="V674" s="614"/>
      <c r="W674" s="39"/>
      <c r="X674" s="39"/>
      <c r="Y674" s="39"/>
      <c r="Z674" s="39"/>
      <c r="AA674" s="39"/>
      <c r="AB674" s="39"/>
      <c r="AC674" s="39"/>
      <c r="AD674" s="39"/>
      <c r="AE674" s="39"/>
      <c r="AF674" s="39"/>
      <c r="AG674" s="39"/>
      <c r="AH674" s="39"/>
      <c r="AI674" s="39"/>
      <c r="AJ674" s="39"/>
      <c r="AK674" s="39"/>
      <c r="AL674" s="39"/>
    </row>
    <row r="675" spans="1:38" s="41" customFormat="1" ht="25.5">
      <c r="A675" s="41">
        <v>18</v>
      </c>
      <c r="B675" s="97">
        <v>76</v>
      </c>
      <c r="C675" s="178" t="s">
        <v>492</v>
      </c>
      <c r="D675" s="663">
        <f>+F675+F679</f>
        <v>17600</v>
      </c>
      <c r="E675" s="627">
        <v>2000</v>
      </c>
      <c r="F675" s="628">
        <f>SUM(F676:F678)</f>
        <v>3600</v>
      </c>
      <c r="G675" s="630"/>
      <c r="H675" s="98"/>
      <c r="I675" s="452"/>
      <c r="J675" s="39"/>
      <c r="K675" s="39"/>
      <c r="L675" s="39"/>
      <c r="M675" s="39"/>
      <c r="N675" s="39"/>
      <c r="O675" s="623"/>
      <c r="P675" s="623"/>
      <c r="Q675" s="613"/>
      <c r="R675" s="613"/>
      <c r="S675" s="614"/>
      <c r="T675" s="614"/>
      <c r="U675" s="614"/>
      <c r="V675" s="614"/>
      <c r="W675" s="39"/>
      <c r="X675" s="39"/>
      <c r="Y675" s="39"/>
      <c r="Z675" s="39"/>
      <c r="AA675" s="39"/>
      <c r="AB675" s="39"/>
      <c r="AC675" s="39"/>
      <c r="AD675" s="39"/>
      <c r="AE675" s="39"/>
      <c r="AF675" s="39"/>
      <c r="AG675" s="39"/>
      <c r="AH675" s="39"/>
      <c r="AI675" s="39"/>
      <c r="AJ675" s="39"/>
      <c r="AK675" s="39"/>
      <c r="AL675" s="39"/>
    </row>
    <row r="676" spans="2:38" s="41" customFormat="1" ht="12.75">
      <c r="B676" s="97"/>
      <c r="C676" s="75"/>
      <c r="D676" s="663"/>
      <c r="E676" s="615">
        <v>2101</v>
      </c>
      <c r="F676" s="629">
        <v>1400</v>
      </c>
      <c r="G676" s="612"/>
      <c r="H676" s="98"/>
      <c r="I676" s="452"/>
      <c r="J676" s="39"/>
      <c r="K676" s="39"/>
      <c r="L676" s="39"/>
      <c r="M676" s="39"/>
      <c r="N676" s="39"/>
      <c r="O676" s="623">
        <f t="shared" si="12"/>
        <v>140</v>
      </c>
      <c r="P676" s="623">
        <f t="shared" si="13"/>
        <v>1260</v>
      </c>
      <c r="Q676" s="613"/>
      <c r="R676" s="613">
        <v>1400</v>
      </c>
      <c r="S676" s="614">
        <v>12600</v>
      </c>
      <c r="T676" s="614"/>
      <c r="U676" s="614"/>
      <c r="V676" s="614"/>
      <c r="W676" s="39"/>
      <c r="X676" s="39"/>
      <c r="Y676" s="39"/>
      <c r="Z676" s="39"/>
      <c r="AA676" s="39"/>
      <c r="AB676" s="39"/>
      <c r="AC676" s="39"/>
      <c r="AD676" s="39"/>
      <c r="AE676" s="39"/>
      <c r="AF676" s="39"/>
      <c r="AG676" s="39"/>
      <c r="AH676" s="39"/>
      <c r="AI676" s="39"/>
      <c r="AJ676" s="39"/>
      <c r="AK676" s="39"/>
      <c r="AL676" s="39"/>
    </row>
    <row r="677" spans="2:38" s="41" customFormat="1" ht="12.75">
      <c r="B677" s="97"/>
      <c r="C677" s="75"/>
      <c r="D677" s="663"/>
      <c r="E677" s="615">
        <v>2103</v>
      </c>
      <c r="F677" s="629">
        <v>400</v>
      </c>
      <c r="G677" s="612"/>
      <c r="H677" s="98"/>
      <c r="I677" s="452"/>
      <c r="J677" s="39"/>
      <c r="K677" s="39"/>
      <c r="L677" s="39"/>
      <c r="M677" s="39"/>
      <c r="N677" s="39"/>
      <c r="O677" s="623">
        <f t="shared" si="12"/>
        <v>40</v>
      </c>
      <c r="P677" s="623">
        <f t="shared" si="13"/>
        <v>360</v>
      </c>
      <c r="Q677" s="613"/>
      <c r="R677" s="613">
        <v>400</v>
      </c>
      <c r="S677" s="614">
        <v>3600</v>
      </c>
      <c r="T677" s="614"/>
      <c r="U677" s="614"/>
      <c r="V677" s="614"/>
      <c r="W677" s="39"/>
      <c r="X677" s="39"/>
      <c r="Y677" s="39"/>
      <c r="Z677" s="39"/>
      <c r="AA677" s="39"/>
      <c r="AB677" s="39"/>
      <c r="AC677" s="39"/>
      <c r="AD677" s="39"/>
      <c r="AE677" s="39"/>
      <c r="AF677" s="39"/>
      <c r="AG677" s="39"/>
      <c r="AH677" s="39"/>
      <c r="AI677" s="39"/>
      <c r="AJ677" s="39"/>
      <c r="AK677" s="39"/>
      <c r="AL677" s="39"/>
    </row>
    <row r="678" spans="2:38" s="41" customFormat="1" ht="12.75">
      <c r="B678" s="97"/>
      <c r="C678" s="75"/>
      <c r="D678" s="663"/>
      <c r="E678" s="615">
        <v>2104</v>
      </c>
      <c r="F678" s="629">
        <v>1800</v>
      </c>
      <c r="G678" s="612"/>
      <c r="H678" s="98"/>
      <c r="I678" s="452"/>
      <c r="J678" s="39"/>
      <c r="K678" s="39"/>
      <c r="L678" s="39"/>
      <c r="M678" s="39"/>
      <c r="N678" s="39"/>
      <c r="O678" s="623">
        <f t="shared" si="12"/>
        <v>180</v>
      </c>
      <c r="P678" s="623">
        <f t="shared" si="13"/>
        <v>1620</v>
      </c>
      <c r="Q678" s="613"/>
      <c r="R678" s="613">
        <v>1800</v>
      </c>
      <c r="S678" s="614">
        <v>16200</v>
      </c>
      <c r="T678" s="614"/>
      <c r="U678" s="614"/>
      <c r="V678" s="614"/>
      <c r="W678" s="39"/>
      <c r="X678" s="39"/>
      <c r="Y678" s="39"/>
      <c r="Z678" s="39"/>
      <c r="AA678" s="39"/>
      <c r="AB678" s="39"/>
      <c r="AC678" s="39"/>
      <c r="AD678" s="39"/>
      <c r="AE678" s="39"/>
      <c r="AF678" s="39"/>
      <c r="AG678" s="39"/>
      <c r="AH678" s="39"/>
      <c r="AI678" s="39"/>
      <c r="AJ678" s="39"/>
      <c r="AK678" s="39"/>
      <c r="AL678" s="39"/>
    </row>
    <row r="679" spans="2:38" s="41" customFormat="1" ht="12.75">
      <c r="B679" s="97"/>
      <c r="C679" s="75"/>
      <c r="D679" s="663"/>
      <c r="E679" s="610">
        <v>3000</v>
      </c>
      <c r="F679" s="611">
        <f>SUM(F680:F684)</f>
        <v>14000</v>
      </c>
      <c r="G679" s="612"/>
      <c r="H679" s="98"/>
      <c r="I679" s="452"/>
      <c r="J679" s="39"/>
      <c r="K679" s="39"/>
      <c r="L679" s="39"/>
      <c r="M679" s="39"/>
      <c r="N679" s="39"/>
      <c r="O679" s="623"/>
      <c r="P679" s="623"/>
      <c r="Q679" s="613"/>
      <c r="R679" s="613"/>
      <c r="S679" s="614"/>
      <c r="T679" s="614"/>
      <c r="U679" s="614"/>
      <c r="V679" s="614"/>
      <c r="W679" s="39"/>
      <c r="X679" s="39"/>
      <c r="Y679" s="39"/>
      <c r="Z679" s="39"/>
      <c r="AA679" s="39"/>
      <c r="AB679" s="39"/>
      <c r="AC679" s="39"/>
      <c r="AD679" s="39"/>
      <c r="AE679" s="39"/>
      <c r="AF679" s="39"/>
      <c r="AG679" s="39"/>
      <c r="AH679" s="39"/>
      <c r="AI679" s="39"/>
      <c r="AJ679" s="39"/>
      <c r="AK679" s="39"/>
      <c r="AL679" s="39"/>
    </row>
    <row r="680" spans="2:38" s="41" customFormat="1" ht="12.75">
      <c r="B680" s="97"/>
      <c r="C680" s="75"/>
      <c r="D680" s="663"/>
      <c r="E680" s="615">
        <v>3301</v>
      </c>
      <c r="F680" s="629">
        <v>3600</v>
      </c>
      <c r="G680" s="612"/>
      <c r="H680" s="98"/>
      <c r="I680" s="452"/>
      <c r="J680" s="39"/>
      <c r="K680" s="39"/>
      <c r="L680" s="39"/>
      <c r="M680" s="39"/>
      <c r="N680" s="39"/>
      <c r="O680" s="623">
        <f t="shared" si="12"/>
        <v>360</v>
      </c>
      <c r="P680" s="623">
        <f t="shared" si="13"/>
        <v>3240</v>
      </c>
      <c r="Q680" s="613"/>
      <c r="R680" s="613">
        <v>3600</v>
      </c>
      <c r="S680" s="614">
        <v>32400</v>
      </c>
      <c r="T680" s="614"/>
      <c r="U680" s="614"/>
      <c r="V680" s="614"/>
      <c r="W680" s="39"/>
      <c r="X680" s="39"/>
      <c r="Y680" s="39"/>
      <c r="Z680" s="39"/>
      <c r="AA680" s="39"/>
      <c r="AB680" s="39"/>
      <c r="AC680" s="39"/>
      <c r="AD680" s="39"/>
      <c r="AE680" s="39"/>
      <c r="AF680" s="39"/>
      <c r="AG680" s="39"/>
      <c r="AH680" s="39"/>
      <c r="AI680" s="39"/>
      <c r="AJ680" s="39"/>
      <c r="AK680" s="39"/>
      <c r="AL680" s="39"/>
    </row>
    <row r="681" spans="2:38" s="41" customFormat="1" ht="12.75">
      <c r="B681" s="97"/>
      <c r="C681" s="75"/>
      <c r="D681" s="663"/>
      <c r="E681" s="615">
        <v>3701</v>
      </c>
      <c r="F681" s="629">
        <v>2000</v>
      </c>
      <c r="G681" s="612"/>
      <c r="H681" s="98"/>
      <c r="I681" s="452"/>
      <c r="J681" s="39"/>
      <c r="K681" s="39"/>
      <c r="L681" s="39"/>
      <c r="M681" s="39"/>
      <c r="N681" s="39"/>
      <c r="O681" s="623">
        <f t="shared" si="12"/>
        <v>200</v>
      </c>
      <c r="P681" s="623">
        <f t="shared" si="13"/>
        <v>1800</v>
      </c>
      <c r="Q681" s="613"/>
      <c r="R681" s="613">
        <v>2000</v>
      </c>
      <c r="S681" s="614">
        <v>18000</v>
      </c>
      <c r="T681" s="614"/>
      <c r="U681" s="614"/>
      <c r="V681" s="614"/>
      <c r="W681" s="39"/>
      <c r="X681" s="39"/>
      <c r="Y681" s="39"/>
      <c r="Z681" s="39"/>
      <c r="AA681" s="39"/>
      <c r="AB681" s="39"/>
      <c r="AC681" s="39"/>
      <c r="AD681" s="39"/>
      <c r="AE681" s="39"/>
      <c r="AF681" s="39"/>
      <c r="AG681" s="39"/>
      <c r="AH681" s="39"/>
      <c r="AI681" s="39"/>
      <c r="AJ681" s="39"/>
      <c r="AK681" s="39"/>
      <c r="AL681" s="39"/>
    </row>
    <row r="682" spans="2:38" s="41" customFormat="1" ht="12.75">
      <c r="B682" s="97"/>
      <c r="C682" s="75"/>
      <c r="D682" s="663"/>
      <c r="E682" s="615">
        <v>3702</v>
      </c>
      <c r="F682" s="629">
        <v>4000</v>
      </c>
      <c r="G682" s="612"/>
      <c r="H682" s="98"/>
      <c r="I682" s="452"/>
      <c r="J682" s="39"/>
      <c r="K682" s="39"/>
      <c r="L682" s="39"/>
      <c r="M682" s="39"/>
      <c r="N682" s="39"/>
      <c r="O682" s="623">
        <f t="shared" si="12"/>
        <v>400</v>
      </c>
      <c r="P682" s="623">
        <f t="shared" si="13"/>
        <v>3600</v>
      </c>
      <c r="Q682" s="613"/>
      <c r="R682" s="613">
        <v>4000</v>
      </c>
      <c r="S682" s="614">
        <v>36000</v>
      </c>
      <c r="T682" s="614"/>
      <c r="U682" s="614"/>
      <c r="V682" s="614"/>
      <c r="W682" s="39"/>
      <c r="X682" s="39"/>
      <c r="Y682" s="39"/>
      <c r="Z682" s="39"/>
      <c r="AA682" s="39"/>
      <c r="AB682" s="39"/>
      <c r="AC682" s="39"/>
      <c r="AD682" s="39"/>
      <c r="AE682" s="39"/>
      <c r="AF682" s="39"/>
      <c r="AG682" s="39"/>
      <c r="AH682" s="39"/>
      <c r="AI682" s="39"/>
      <c r="AJ682" s="39"/>
      <c r="AK682" s="39"/>
      <c r="AL682" s="39"/>
    </row>
    <row r="683" spans="2:38" s="41" customFormat="1" ht="12.75">
      <c r="B683" s="97"/>
      <c r="C683" s="75"/>
      <c r="D683" s="663"/>
      <c r="E683" s="615">
        <v>3703</v>
      </c>
      <c r="F683" s="629">
        <v>2400</v>
      </c>
      <c r="G683" s="612"/>
      <c r="H683" s="98"/>
      <c r="I683" s="452"/>
      <c r="J683" s="39"/>
      <c r="K683" s="39"/>
      <c r="L683" s="39"/>
      <c r="M683" s="39"/>
      <c r="N683" s="39"/>
      <c r="O683" s="623">
        <f t="shared" si="12"/>
        <v>240</v>
      </c>
      <c r="P683" s="623">
        <f t="shared" si="13"/>
        <v>2160</v>
      </c>
      <c r="Q683" s="613"/>
      <c r="R683" s="613">
        <v>2400</v>
      </c>
      <c r="S683" s="614">
        <v>21600</v>
      </c>
      <c r="T683" s="614"/>
      <c r="U683" s="614"/>
      <c r="V683" s="614"/>
      <c r="W683" s="39"/>
      <c r="X683" s="39"/>
      <c r="Y683" s="39"/>
      <c r="Z683" s="39"/>
      <c r="AA683" s="39"/>
      <c r="AB683" s="39"/>
      <c r="AC683" s="39"/>
      <c r="AD683" s="39"/>
      <c r="AE683" s="39"/>
      <c r="AF683" s="39"/>
      <c r="AG683" s="39"/>
      <c r="AH683" s="39"/>
      <c r="AI683" s="39"/>
      <c r="AJ683" s="39"/>
      <c r="AK683" s="39"/>
      <c r="AL683" s="39"/>
    </row>
    <row r="684" spans="2:38" s="41" customFormat="1" ht="12.75">
      <c r="B684" s="97"/>
      <c r="C684" s="75"/>
      <c r="D684" s="663"/>
      <c r="E684" s="615">
        <v>3802</v>
      </c>
      <c r="F684" s="629">
        <v>2000</v>
      </c>
      <c r="G684" s="612"/>
      <c r="H684" s="98"/>
      <c r="I684" s="452"/>
      <c r="J684" s="39"/>
      <c r="K684" s="39"/>
      <c r="L684" s="39"/>
      <c r="M684" s="39"/>
      <c r="N684" s="39"/>
      <c r="O684" s="623">
        <f t="shared" si="12"/>
        <v>200</v>
      </c>
      <c r="P684" s="623">
        <f t="shared" si="13"/>
        <v>1800</v>
      </c>
      <c r="Q684" s="613"/>
      <c r="R684" s="613">
        <v>2000</v>
      </c>
      <c r="S684" s="614">
        <v>18000</v>
      </c>
      <c r="T684" s="614"/>
      <c r="U684" s="614"/>
      <c r="V684" s="614"/>
      <c r="W684" s="39"/>
      <c r="X684" s="39"/>
      <c r="Y684" s="39"/>
      <c r="Z684" s="39"/>
      <c r="AA684" s="39"/>
      <c r="AB684" s="39"/>
      <c r="AC684" s="39"/>
      <c r="AD684" s="39"/>
      <c r="AE684" s="39"/>
      <c r="AF684" s="39"/>
      <c r="AG684" s="39"/>
      <c r="AH684" s="39"/>
      <c r="AI684" s="39"/>
      <c r="AJ684" s="39"/>
      <c r="AK684" s="39"/>
      <c r="AL684" s="39"/>
    </row>
    <row r="685" spans="1:38" s="41" customFormat="1" ht="12.75">
      <c r="A685" s="41">
        <v>19</v>
      </c>
      <c r="B685" s="97">
        <v>77</v>
      </c>
      <c r="C685" s="178" t="s">
        <v>494</v>
      </c>
      <c r="D685" s="663">
        <f>+F685+F687</f>
        <v>32700</v>
      </c>
      <c r="E685" s="627">
        <v>2000</v>
      </c>
      <c r="F685" s="628">
        <f>SUM(F686)</f>
        <v>6600</v>
      </c>
      <c r="G685" s="612"/>
      <c r="H685" s="98"/>
      <c r="I685" s="452"/>
      <c r="J685" s="39"/>
      <c r="K685" s="39"/>
      <c r="L685" s="39"/>
      <c r="M685" s="39"/>
      <c r="N685" s="39"/>
      <c r="O685" s="623"/>
      <c r="P685" s="623"/>
      <c r="Q685" s="613"/>
      <c r="R685" s="613"/>
      <c r="S685" s="614"/>
      <c r="T685" s="614"/>
      <c r="U685" s="614"/>
      <c r="V685" s="614"/>
      <c r="W685" s="39"/>
      <c r="X685" s="39"/>
      <c r="Y685" s="39"/>
      <c r="Z685" s="39"/>
      <c r="AA685" s="39"/>
      <c r="AB685" s="39"/>
      <c r="AC685" s="39"/>
      <c r="AD685" s="39"/>
      <c r="AE685" s="39"/>
      <c r="AF685" s="39"/>
      <c r="AG685" s="39"/>
      <c r="AH685" s="39"/>
      <c r="AI685" s="39"/>
      <c r="AJ685" s="39"/>
      <c r="AK685" s="39"/>
      <c r="AL685" s="39"/>
    </row>
    <row r="686" spans="2:38" s="41" customFormat="1" ht="12.75" customHeight="1">
      <c r="B686" s="97"/>
      <c r="C686" s="75"/>
      <c r="D686" s="663"/>
      <c r="E686" s="615">
        <v>2304</v>
      </c>
      <c r="F686" s="629">
        <v>6600</v>
      </c>
      <c r="G686" s="612"/>
      <c r="H686" s="98"/>
      <c r="I686" s="452"/>
      <c r="J686" s="39"/>
      <c r="K686" s="39"/>
      <c r="L686" s="39"/>
      <c r="M686" s="39"/>
      <c r="N686" s="39"/>
      <c r="O686" s="623">
        <f t="shared" si="12"/>
        <v>660</v>
      </c>
      <c r="P686" s="623">
        <f t="shared" si="13"/>
        <v>5940</v>
      </c>
      <c r="Q686" s="613"/>
      <c r="R686" s="613">
        <v>6600</v>
      </c>
      <c r="S686" s="614">
        <v>59400</v>
      </c>
      <c r="T686" s="614"/>
      <c r="U686" s="614"/>
      <c r="V686" s="614"/>
      <c r="W686" s="39"/>
      <c r="X686" s="39"/>
      <c r="Y686" s="39"/>
      <c r="Z686" s="39"/>
      <c r="AA686" s="39"/>
      <c r="AB686" s="39"/>
      <c r="AC686" s="39"/>
      <c r="AD686" s="39"/>
      <c r="AE686" s="39"/>
      <c r="AF686" s="39"/>
      <c r="AG686" s="39"/>
      <c r="AH686" s="39"/>
      <c r="AI686" s="39"/>
      <c r="AJ686" s="39"/>
      <c r="AK686" s="39"/>
      <c r="AL686" s="39"/>
    </row>
    <row r="687" spans="2:38" s="41" customFormat="1" ht="12.75">
      <c r="B687" s="97"/>
      <c r="C687" s="75"/>
      <c r="D687" s="663"/>
      <c r="E687" s="627">
        <v>3000</v>
      </c>
      <c r="F687" s="628">
        <f>SUM(F688:F690)</f>
        <v>26100</v>
      </c>
      <c r="G687" s="612"/>
      <c r="H687" s="98"/>
      <c r="I687" s="452"/>
      <c r="J687" s="39"/>
      <c r="K687" s="39"/>
      <c r="L687" s="39"/>
      <c r="M687" s="39"/>
      <c r="N687" s="39"/>
      <c r="O687" s="623"/>
      <c r="P687" s="623"/>
      <c r="Q687" s="613"/>
      <c r="R687" s="613"/>
      <c r="S687" s="614"/>
      <c r="T687" s="614"/>
      <c r="U687" s="614"/>
      <c r="V687" s="614"/>
      <c r="W687" s="39"/>
      <c r="X687" s="39"/>
      <c r="Y687" s="39"/>
      <c r="Z687" s="39"/>
      <c r="AA687" s="39"/>
      <c r="AB687" s="39"/>
      <c r="AC687" s="39"/>
      <c r="AD687" s="39"/>
      <c r="AE687" s="39"/>
      <c r="AF687" s="39"/>
      <c r="AG687" s="39"/>
      <c r="AH687" s="39"/>
      <c r="AI687" s="39"/>
      <c r="AJ687" s="39"/>
      <c r="AK687" s="39"/>
      <c r="AL687" s="39"/>
    </row>
    <row r="688" spans="2:38" s="41" customFormat="1" ht="12.75">
      <c r="B688" s="97"/>
      <c r="C688" s="75"/>
      <c r="D688" s="663"/>
      <c r="E688" s="615">
        <v>3301</v>
      </c>
      <c r="F688" s="629">
        <v>7200</v>
      </c>
      <c r="G688" s="631"/>
      <c r="H688" s="98"/>
      <c r="I688" s="452"/>
      <c r="J688" s="39"/>
      <c r="K688" s="39"/>
      <c r="L688" s="39"/>
      <c r="M688" s="39"/>
      <c r="N688" s="39"/>
      <c r="O688" s="623">
        <f t="shared" si="12"/>
        <v>720</v>
      </c>
      <c r="P688" s="623">
        <f t="shared" si="13"/>
        <v>6480</v>
      </c>
      <c r="Q688" s="613"/>
      <c r="R688" s="613">
        <v>7200</v>
      </c>
      <c r="S688" s="614">
        <v>64800</v>
      </c>
      <c r="T688" s="614"/>
      <c r="U688" s="614"/>
      <c r="V688" s="614"/>
      <c r="W688" s="39"/>
      <c r="X688" s="39"/>
      <c r="Y688" s="39"/>
      <c r="Z688" s="39"/>
      <c r="AA688" s="39"/>
      <c r="AB688" s="39"/>
      <c r="AC688" s="39"/>
      <c r="AD688" s="39"/>
      <c r="AE688" s="39"/>
      <c r="AF688" s="39"/>
      <c r="AG688" s="39"/>
      <c r="AH688" s="39"/>
      <c r="AI688" s="39"/>
      <c r="AJ688" s="39"/>
      <c r="AK688" s="39"/>
      <c r="AL688" s="39"/>
    </row>
    <row r="689" spans="2:38" s="41" customFormat="1" ht="12.75">
      <c r="B689" s="97"/>
      <c r="C689" s="75"/>
      <c r="D689" s="663"/>
      <c r="E689" s="615">
        <v>3702</v>
      </c>
      <c r="F689" s="629">
        <v>13500</v>
      </c>
      <c r="G689" s="631" t="s">
        <v>232</v>
      </c>
      <c r="H689" s="98"/>
      <c r="I689" s="452"/>
      <c r="J689" s="39"/>
      <c r="K689" s="39"/>
      <c r="L689" s="39"/>
      <c r="M689" s="39"/>
      <c r="N689" s="39"/>
      <c r="O689" s="623">
        <f t="shared" si="12"/>
        <v>1350</v>
      </c>
      <c r="P689" s="623">
        <f t="shared" si="13"/>
        <v>12150</v>
      </c>
      <c r="Q689" s="613"/>
      <c r="R689" s="613">
        <v>13500</v>
      </c>
      <c r="S689" s="614">
        <v>121500</v>
      </c>
      <c r="T689" s="614"/>
      <c r="U689" s="614"/>
      <c r="V689" s="614"/>
      <c r="W689" s="39"/>
      <c r="X689" s="39"/>
      <c r="Y689" s="39"/>
      <c r="Z689" s="39"/>
      <c r="AA689" s="39"/>
      <c r="AB689" s="39"/>
      <c r="AC689" s="39"/>
      <c r="AD689" s="39"/>
      <c r="AE689" s="39"/>
      <c r="AF689" s="39"/>
      <c r="AG689" s="39"/>
      <c r="AH689" s="39"/>
      <c r="AI689" s="39"/>
      <c r="AJ689" s="39"/>
      <c r="AK689" s="39"/>
      <c r="AL689" s="39"/>
    </row>
    <row r="690" spans="2:38" s="41" customFormat="1" ht="12.75">
      <c r="B690" s="97"/>
      <c r="C690" s="76"/>
      <c r="D690" s="663"/>
      <c r="E690" s="615">
        <v>3703</v>
      </c>
      <c r="F690" s="629">
        <v>5400</v>
      </c>
      <c r="G690" s="612"/>
      <c r="H690" s="98"/>
      <c r="I690" s="452"/>
      <c r="J690" s="39"/>
      <c r="K690" s="39"/>
      <c r="L690" s="39"/>
      <c r="M690" s="39"/>
      <c r="N690" s="39"/>
      <c r="O690" s="623">
        <f t="shared" si="12"/>
        <v>540</v>
      </c>
      <c r="P690" s="623">
        <f t="shared" si="13"/>
        <v>4860</v>
      </c>
      <c r="Q690" s="613"/>
      <c r="R690" s="613">
        <v>5400</v>
      </c>
      <c r="S690" s="614">
        <v>48600</v>
      </c>
      <c r="T690" s="614"/>
      <c r="U690" s="614"/>
      <c r="V690" s="614"/>
      <c r="W690" s="39"/>
      <c r="X690" s="39"/>
      <c r="Y690" s="39"/>
      <c r="Z690" s="39"/>
      <c r="AA690" s="39"/>
      <c r="AB690" s="39"/>
      <c r="AC690" s="39"/>
      <c r="AD690" s="39"/>
      <c r="AE690" s="39"/>
      <c r="AF690" s="39"/>
      <c r="AG690" s="39"/>
      <c r="AH690" s="39"/>
      <c r="AI690" s="39"/>
      <c r="AJ690" s="39"/>
      <c r="AK690" s="39"/>
      <c r="AL690" s="39"/>
    </row>
    <row r="691" spans="1:38" s="41" customFormat="1" ht="25.5">
      <c r="A691" s="41">
        <v>20</v>
      </c>
      <c r="B691" s="97">
        <v>78</v>
      </c>
      <c r="C691" s="178" t="s">
        <v>255</v>
      </c>
      <c r="D691" s="663">
        <f>+F691+F696+F703</f>
        <v>155920</v>
      </c>
      <c r="E691" s="627">
        <v>2000</v>
      </c>
      <c r="F691" s="628">
        <f>SUM(F692:F695)</f>
        <v>27720</v>
      </c>
      <c r="G691" s="612"/>
      <c r="H691" s="98"/>
      <c r="I691" s="452"/>
      <c r="J691" s="39"/>
      <c r="K691" s="39"/>
      <c r="L691" s="39"/>
      <c r="M691" s="39"/>
      <c r="N691" s="39"/>
      <c r="O691" s="623"/>
      <c r="P691" s="623"/>
      <c r="Q691" s="613"/>
      <c r="R691" s="613"/>
      <c r="S691" s="614"/>
      <c r="T691" s="614"/>
      <c r="U691" s="614"/>
      <c r="V691" s="614"/>
      <c r="W691" s="39"/>
      <c r="X691" s="39"/>
      <c r="Y691" s="39"/>
      <c r="Z691" s="39"/>
      <c r="AA691" s="39"/>
      <c r="AB691" s="39"/>
      <c r="AC691" s="39"/>
      <c r="AD691" s="39"/>
      <c r="AE691" s="39"/>
      <c r="AF691" s="39"/>
      <c r="AG691" s="39"/>
      <c r="AH691" s="39"/>
      <c r="AI691" s="39"/>
      <c r="AJ691" s="39"/>
      <c r="AK691" s="39"/>
      <c r="AL691" s="39"/>
    </row>
    <row r="692" spans="2:38" s="41" customFormat="1" ht="12.75">
      <c r="B692" s="97"/>
      <c r="C692" s="75"/>
      <c r="D692" s="663"/>
      <c r="E692" s="615">
        <v>2101</v>
      </c>
      <c r="F692" s="629">
        <v>1920</v>
      </c>
      <c r="G692" s="612"/>
      <c r="H692" s="98"/>
      <c r="I692" s="452"/>
      <c r="J692" s="39"/>
      <c r="K692" s="39"/>
      <c r="L692" s="39"/>
      <c r="M692" s="39"/>
      <c r="N692" s="39"/>
      <c r="O692" s="623">
        <f t="shared" si="12"/>
        <v>192</v>
      </c>
      <c r="P692" s="623">
        <f t="shared" si="13"/>
        <v>1728</v>
      </c>
      <c r="Q692" s="613"/>
      <c r="R692" s="613">
        <v>1920</v>
      </c>
      <c r="S692" s="614">
        <v>17280</v>
      </c>
      <c r="T692" s="614"/>
      <c r="U692" s="614"/>
      <c r="V692" s="614"/>
      <c r="W692" s="39"/>
      <c r="X692" s="39"/>
      <c r="Y692" s="39"/>
      <c r="Z692" s="39"/>
      <c r="AA692" s="39"/>
      <c r="AB692" s="39"/>
      <c r="AC692" s="39"/>
      <c r="AD692" s="39"/>
      <c r="AE692" s="39"/>
      <c r="AF692" s="39"/>
      <c r="AG692" s="39"/>
      <c r="AH692" s="39"/>
      <c r="AI692" s="39"/>
      <c r="AJ692" s="39"/>
      <c r="AK692" s="39"/>
      <c r="AL692" s="39"/>
    </row>
    <row r="693" spans="2:38" s="41" customFormat="1" ht="12.75">
      <c r="B693" s="97"/>
      <c r="C693" s="75"/>
      <c r="D693" s="663"/>
      <c r="E693" s="615">
        <v>2103</v>
      </c>
      <c r="F693" s="629">
        <v>25000</v>
      </c>
      <c r="G693" s="612"/>
      <c r="H693" s="98"/>
      <c r="I693" s="452"/>
      <c r="J693" s="39"/>
      <c r="K693" s="39"/>
      <c r="L693" s="39"/>
      <c r="M693" s="39"/>
      <c r="N693" s="39"/>
      <c r="O693" s="623">
        <f t="shared" si="12"/>
        <v>2500</v>
      </c>
      <c r="P693" s="623">
        <f t="shared" si="13"/>
        <v>22500</v>
      </c>
      <c r="Q693" s="613"/>
      <c r="R693" s="613">
        <v>25000</v>
      </c>
      <c r="S693" s="614">
        <v>225000</v>
      </c>
      <c r="T693" s="614"/>
      <c r="U693" s="614"/>
      <c r="V693" s="614"/>
      <c r="W693" s="39"/>
      <c r="X693" s="39"/>
      <c r="Y693" s="39"/>
      <c r="Z693" s="39"/>
      <c r="AA693" s="39"/>
      <c r="AB693" s="39"/>
      <c r="AC693" s="39"/>
      <c r="AD693" s="39"/>
      <c r="AE693" s="39"/>
      <c r="AF693" s="39"/>
      <c r="AG693" s="39"/>
      <c r="AH693" s="39"/>
      <c r="AI693" s="39"/>
      <c r="AJ693" s="39"/>
      <c r="AK693" s="39"/>
      <c r="AL693" s="39"/>
    </row>
    <row r="694" spans="2:38" s="41" customFormat="1" ht="12.75">
      <c r="B694" s="97"/>
      <c r="C694" s="75"/>
      <c r="D694" s="663"/>
      <c r="E694" s="615">
        <v>2201</v>
      </c>
      <c r="F694" s="629">
        <v>300</v>
      </c>
      <c r="G694" s="612"/>
      <c r="H694" s="98"/>
      <c r="I694" s="452"/>
      <c r="J694" s="39"/>
      <c r="K694" s="39"/>
      <c r="L694" s="39"/>
      <c r="M694" s="39"/>
      <c r="N694" s="39"/>
      <c r="O694" s="623">
        <f t="shared" si="12"/>
        <v>30</v>
      </c>
      <c r="P694" s="623">
        <f t="shared" si="13"/>
        <v>270</v>
      </c>
      <c r="Q694" s="613"/>
      <c r="R694" s="613">
        <v>300</v>
      </c>
      <c r="S694" s="614">
        <v>2700</v>
      </c>
      <c r="T694" s="614"/>
      <c r="U694" s="614"/>
      <c r="V694" s="614"/>
      <c r="W694" s="39"/>
      <c r="X694" s="39"/>
      <c r="Y694" s="39"/>
      <c r="Z694" s="39"/>
      <c r="AA694" s="39"/>
      <c r="AB694" s="39"/>
      <c r="AC694" s="39"/>
      <c r="AD694" s="39"/>
      <c r="AE694" s="39"/>
      <c r="AF694" s="39"/>
      <c r="AG694" s="39"/>
      <c r="AH694" s="39"/>
      <c r="AI694" s="39"/>
      <c r="AJ694" s="39"/>
      <c r="AK694" s="39"/>
      <c r="AL694" s="39"/>
    </row>
    <row r="695" spans="2:38" s="41" customFormat="1" ht="12.75">
      <c r="B695" s="97"/>
      <c r="C695" s="75"/>
      <c r="D695" s="663"/>
      <c r="E695" s="615">
        <v>2601</v>
      </c>
      <c r="F695" s="629">
        <v>500</v>
      </c>
      <c r="G695" s="612"/>
      <c r="H695" s="98"/>
      <c r="I695" s="452"/>
      <c r="J695" s="39"/>
      <c r="K695" s="39"/>
      <c r="L695" s="39"/>
      <c r="M695" s="39"/>
      <c r="N695" s="39"/>
      <c r="O695" s="623">
        <f t="shared" si="12"/>
        <v>50</v>
      </c>
      <c r="P695" s="623">
        <f t="shared" si="13"/>
        <v>450</v>
      </c>
      <c r="Q695" s="613"/>
      <c r="R695" s="613">
        <v>500</v>
      </c>
      <c r="S695" s="614">
        <v>4500</v>
      </c>
      <c r="T695" s="614"/>
      <c r="U695" s="614"/>
      <c r="V695" s="614"/>
      <c r="W695" s="39"/>
      <c r="X695" s="39"/>
      <c r="Y695" s="39"/>
      <c r="Z695" s="39"/>
      <c r="AA695" s="39"/>
      <c r="AB695" s="39"/>
      <c r="AC695" s="39"/>
      <c r="AD695" s="39"/>
      <c r="AE695" s="39"/>
      <c r="AF695" s="39"/>
      <c r="AG695" s="39"/>
      <c r="AH695" s="39"/>
      <c r="AI695" s="39"/>
      <c r="AJ695" s="39"/>
      <c r="AK695" s="39"/>
      <c r="AL695" s="39"/>
    </row>
    <row r="696" spans="2:38" s="41" customFormat="1" ht="12.75">
      <c r="B696" s="97"/>
      <c r="C696" s="75"/>
      <c r="D696" s="663"/>
      <c r="E696" s="627">
        <v>3000</v>
      </c>
      <c r="F696" s="628">
        <f>SUM(F697:F702)</f>
        <v>25200</v>
      </c>
      <c r="G696" s="612"/>
      <c r="H696" s="98"/>
      <c r="I696" s="452"/>
      <c r="J696" s="39"/>
      <c r="K696" s="39"/>
      <c r="L696" s="39"/>
      <c r="M696" s="39"/>
      <c r="N696" s="39"/>
      <c r="O696" s="623"/>
      <c r="P696" s="623"/>
      <c r="Q696" s="613"/>
      <c r="R696" s="613"/>
      <c r="S696" s="614"/>
      <c r="T696" s="614"/>
      <c r="U696" s="614"/>
      <c r="V696" s="614"/>
      <c r="W696" s="39"/>
      <c r="X696" s="39"/>
      <c r="Y696" s="39"/>
      <c r="Z696" s="39"/>
      <c r="AA696" s="39"/>
      <c r="AB696" s="39"/>
      <c r="AC696" s="39"/>
      <c r="AD696" s="39"/>
      <c r="AE696" s="39"/>
      <c r="AF696" s="39"/>
      <c r="AG696" s="39"/>
      <c r="AH696" s="39"/>
      <c r="AI696" s="39"/>
      <c r="AJ696" s="39"/>
      <c r="AK696" s="39"/>
      <c r="AL696" s="39"/>
    </row>
    <row r="697" spans="2:38" s="41" customFormat="1" ht="12.75">
      <c r="B697" s="97"/>
      <c r="C697" s="75"/>
      <c r="D697" s="663"/>
      <c r="E697" s="615">
        <v>3301</v>
      </c>
      <c r="F697" s="629">
        <v>1600</v>
      </c>
      <c r="G697" s="612"/>
      <c r="H697" s="98"/>
      <c r="I697" s="452"/>
      <c r="J697" s="39"/>
      <c r="K697" s="39"/>
      <c r="L697" s="39"/>
      <c r="M697" s="39"/>
      <c r="N697" s="39"/>
      <c r="O697" s="623">
        <f t="shared" si="12"/>
        <v>160</v>
      </c>
      <c r="P697" s="623">
        <f t="shared" si="13"/>
        <v>1440</v>
      </c>
      <c r="Q697" s="613"/>
      <c r="R697" s="613">
        <v>1600</v>
      </c>
      <c r="S697" s="614">
        <v>14400</v>
      </c>
      <c r="T697" s="614"/>
      <c r="U697" s="614"/>
      <c r="V697" s="614"/>
      <c r="W697" s="39"/>
      <c r="X697" s="39"/>
      <c r="Y697" s="39"/>
      <c r="Z697" s="39"/>
      <c r="AA697" s="39"/>
      <c r="AB697" s="39"/>
      <c r="AC697" s="39"/>
      <c r="AD697" s="39"/>
      <c r="AE697" s="39"/>
      <c r="AF697" s="39"/>
      <c r="AG697" s="39"/>
      <c r="AH697" s="39"/>
      <c r="AI697" s="39"/>
      <c r="AJ697" s="39"/>
      <c r="AK697" s="39"/>
      <c r="AL697" s="39"/>
    </row>
    <row r="698" spans="2:38" s="41" customFormat="1" ht="12.75">
      <c r="B698" s="97"/>
      <c r="C698" s="75"/>
      <c r="D698" s="663"/>
      <c r="E698" s="615">
        <v>3701</v>
      </c>
      <c r="F698" s="629">
        <v>650</v>
      </c>
      <c r="G698" s="631" t="s">
        <v>232</v>
      </c>
      <c r="H698" s="98"/>
      <c r="I698" s="452"/>
      <c r="J698" s="39"/>
      <c r="K698" s="39"/>
      <c r="L698" s="39"/>
      <c r="M698" s="39"/>
      <c r="N698" s="39"/>
      <c r="O698" s="623">
        <f t="shared" si="12"/>
        <v>65</v>
      </c>
      <c r="P698" s="623">
        <f t="shared" si="13"/>
        <v>585</v>
      </c>
      <c r="Q698" s="613"/>
      <c r="R698" s="613">
        <v>650</v>
      </c>
      <c r="S698" s="614">
        <v>5850</v>
      </c>
      <c r="T698" s="614"/>
      <c r="U698" s="614"/>
      <c r="V698" s="614"/>
      <c r="W698" s="39"/>
      <c r="X698" s="39"/>
      <c r="Y698" s="39"/>
      <c r="Z698" s="39"/>
      <c r="AA698" s="39"/>
      <c r="AB698" s="39"/>
      <c r="AC698" s="39"/>
      <c r="AD698" s="39"/>
      <c r="AE698" s="39"/>
      <c r="AF698" s="39"/>
      <c r="AG698" s="39"/>
      <c r="AH698" s="39"/>
      <c r="AI698" s="39"/>
      <c r="AJ698" s="39"/>
      <c r="AK698" s="39"/>
      <c r="AL698" s="39"/>
    </row>
    <row r="699" spans="2:38" s="41" customFormat="1" ht="12.75">
      <c r="B699" s="97"/>
      <c r="C699" s="75"/>
      <c r="D699" s="663"/>
      <c r="E699" s="615">
        <v>3702</v>
      </c>
      <c r="F699" s="629">
        <v>14100</v>
      </c>
      <c r="G699" s="631" t="s">
        <v>232</v>
      </c>
      <c r="H699" s="98"/>
      <c r="I699" s="452"/>
      <c r="J699" s="39"/>
      <c r="K699" s="39"/>
      <c r="L699" s="39"/>
      <c r="M699" s="39"/>
      <c r="N699" s="39"/>
      <c r="O699" s="623">
        <f t="shared" si="12"/>
        <v>1410</v>
      </c>
      <c r="P699" s="623">
        <f t="shared" si="13"/>
        <v>12690</v>
      </c>
      <c r="Q699" s="613"/>
      <c r="R699" s="613">
        <v>14100</v>
      </c>
      <c r="S699" s="614">
        <v>126900</v>
      </c>
      <c r="T699" s="614"/>
      <c r="U699" s="614"/>
      <c r="V699" s="614"/>
      <c r="W699" s="39"/>
      <c r="X699" s="39"/>
      <c r="Y699" s="39"/>
      <c r="Z699" s="39"/>
      <c r="AA699" s="39"/>
      <c r="AB699" s="39"/>
      <c r="AC699" s="39"/>
      <c r="AD699" s="39"/>
      <c r="AE699" s="39"/>
      <c r="AF699" s="39"/>
      <c r="AG699" s="39"/>
      <c r="AH699" s="39"/>
      <c r="AI699" s="39"/>
      <c r="AJ699" s="39"/>
      <c r="AK699" s="39"/>
      <c r="AL699" s="39"/>
    </row>
    <row r="700" spans="2:38" s="41" customFormat="1" ht="12.75">
      <c r="B700" s="97"/>
      <c r="C700" s="75"/>
      <c r="D700" s="663"/>
      <c r="E700" s="615">
        <v>3703</v>
      </c>
      <c r="F700" s="629">
        <v>1350</v>
      </c>
      <c r="G700" s="631"/>
      <c r="H700" s="98"/>
      <c r="I700" s="452"/>
      <c r="J700" s="39"/>
      <c r="K700" s="39"/>
      <c r="L700" s="39"/>
      <c r="M700" s="39"/>
      <c r="N700" s="39"/>
      <c r="O700" s="623">
        <f t="shared" si="12"/>
        <v>135</v>
      </c>
      <c r="P700" s="623">
        <f t="shared" si="13"/>
        <v>1215</v>
      </c>
      <c r="Q700" s="613"/>
      <c r="R700" s="613">
        <v>1350</v>
      </c>
      <c r="S700" s="614">
        <v>12150</v>
      </c>
      <c r="T700" s="614"/>
      <c r="U700" s="614"/>
      <c r="V700" s="614"/>
      <c r="W700" s="39"/>
      <c r="X700" s="39"/>
      <c r="Y700" s="39"/>
      <c r="Z700" s="39"/>
      <c r="AA700" s="39"/>
      <c r="AB700" s="39"/>
      <c r="AC700" s="39"/>
      <c r="AD700" s="39"/>
      <c r="AE700" s="39"/>
      <c r="AF700" s="39"/>
      <c r="AG700" s="39"/>
      <c r="AH700" s="39"/>
      <c r="AI700" s="39"/>
      <c r="AJ700" s="39"/>
      <c r="AK700" s="39"/>
      <c r="AL700" s="39"/>
    </row>
    <row r="701" spans="2:38" s="41" customFormat="1" ht="12.75">
      <c r="B701" s="97"/>
      <c r="C701" s="75"/>
      <c r="D701" s="663"/>
      <c r="E701" s="615">
        <v>3802</v>
      </c>
      <c r="F701" s="629">
        <v>2000</v>
      </c>
      <c r="G701" s="631"/>
      <c r="H701" s="98"/>
      <c r="I701" s="452"/>
      <c r="J701" s="39"/>
      <c r="K701" s="39"/>
      <c r="L701" s="39"/>
      <c r="M701" s="39"/>
      <c r="N701" s="39"/>
      <c r="O701" s="623">
        <f t="shared" si="12"/>
        <v>200</v>
      </c>
      <c r="P701" s="623">
        <f t="shared" si="13"/>
        <v>1800</v>
      </c>
      <c r="Q701" s="613"/>
      <c r="R701" s="613">
        <v>2000</v>
      </c>
      <c r="S701" s="614">
        <v>18000</v>
      </c>
      <c r="T701" s="614"/>
      <c r="U701" s="614"/>
      <c r="V701" s="614"/>
      <c r="W701" s="39"/>
      <c r="X701" s="39"/>
      <c r="Y701" s="39"/>
      <c r="Z701" s="39"/>
      <c r="AA701" s="39"/>
      <c r="AB701" s="39"/>
      <c r="AC701" s="39"/>
      <c r="AD701" s="39"/>
      <c r="AE701" s="39"/>
      <c r="AF701" s="39"/>
      <c r="AG701" s="39"/>
      <c r="AH701" s="39"/>
      <c r="AI701" s="39"/>
      <c r="AJ701" s="39"/>
      <c r="AK701" s="39"/>
      <c r="AL701" s="39"/>
    </row>
    <row r="702" spans="2:38" s="41" customFormat="1" ht="12.75">
      <c r="B702" s="97"/>
      <c r="C702" s="75"/>
      <c r="D702" s="663"/>
      <c r="E702" s="615">
        <v>3903</v>
      </c>
      <c r="F702" s="629">
        <v>5500</v>
      </c>
      <c r="G702" s="631"/>
      <c r="H702" s="98"/>
      <c r="I702" s="452"/>
      <c r="J702" s="39"/>
      <c r="K702" s="39"/>
      <c r="L702" s="39"/>
      <c r="M702" s="39"/>
      <c r="N702" s="39"/>
      <c r="O702" s="623">
        <f t="shared" si="12"/>
        <v>550</v>
      </c>
      <c r="P702" s="623">
        <f t="shared" si="13"/>
        <v>4950</v>
      </c>
      <c r="Q702" s="613"/>
      <c r="R702" s="613">
        <v>5500</v>
      </c>
      <c r="S702" s="614">
        <v>49500</v>
      </c>
      <c r="T702" s="614"/>
      <c r="U702" s="614"/>
      <c r="V702" s="614"/>
      <c r="W702" s="39"/>
      <c r="X702" s="39"/>
      <c r="Y702" s="39"/>
      <c r="Z702" s="39"/>
      <c r="AA702" s="39"/>
      <c r="AB702" s="39"/>
      <c r="AC702" s="39"/>
      <c r="AD702" s="39"/>
      <c r="AE702" s="39"/>
      <c r="AF702" s="39"/>
      <c r="AG702" s="39"/>
      <c r="AH702" s="39"/>
      <c r="AI702" s="39"/>
      <c r="AJ702" s="39"/>
      <c r="AK702" s="39"/>
      <c r="AL702" s="39"/>
    </row>
    <row r="703" spans="2:38" s="41" customFormat="1" ht="12.75">
      <c r="B703" s="97"/>
      <c r="C703" s="75"/>
      <c r="D703" s="663"/>
      <c r="E703" s="627">
        <v>5000</v>
      </c>
      <c r="F703" s="628">
        <f>F704+F705</f>
        <v>103000</v>
      </c>
      <c r="G703" s="631"/>
      <c r="H703" s="98"/>
      <c r="I703" s="452"/>
      <c r="J703" s="39"/>
      <c r="K703" s="39"/>
      <c r="L703" s="39"/>
      <c r="M703" s="39"/>
      <c r="N703" s="39"/>
      <c r="O703" s="623"/>
      <c r="P703" s="623"/>
      <c r="Q703" s="613"/>
      <c r="R703" s="613"/>
      <c r="S703" s="614"/>
      <c r="T703" s="614"/>
      <c r="U703" s="614"/>
      <c r="V703" s="614"/>
      <c r="W703" s="39"/>
      <c r="X703" s="39"/>
      <c r="Y703" s="39"/>
      <c r="Z703" s="39"/>
      <c r="AA703" s="39"/>
      <c r="AB703" s="39"/>
      <c r="AC703" s="39"/>
      <c r="AD703" s="39"/>
      <c r="AE703" s="39"/>
      <c r="AF703" s="39"/>
      <c r="AG703" s="39"/>
      <c r="AH703" s="39"/>
      <c r="AI703" s="39"/>
      <c r="AJ703" s="39"/>
      <c r="AK703" s="39"/>
      <c r="AL703" s="39"/>
    </row>
    <row r="704" spans="2:38" s="41" customFormat="1" ht="12.75">
      <c r="B704" s="97"/>
      <c r="C704" s="75"/>
      <c r="D704" s="663"/>
      <c r="E704" s="615">
        <v>5206</v>
      </c>
      <c r="F704" s="629">
        <v>3000</v>
      </c>
      <c r="G704" s="631"/>
      <c r="H704" s="98"/>
      <c r="I704" s="452"/>
      <c r="J704" s="39"/>
      <c r="K704" s="39"/>
      <c r="L704" s="39"/>
      <c r="M704" s="39"/>
      <c r="N704" s="39"/>
      <c r="O704" s="623">
        <f t="shared" si="12"/>
        <v>300</v>
      </c>
      <c r="P704" s="623">
        <f t="shared" si="13"/>
        <v>2700</v>
      </c>
      <c r="Q704" s="613"/>
      <c r="R704" s="613">
        <v>3000</v>
      </c>
      <c r="S704" s="614">
        <v>27000</v>
      </c>
      <c r="T704" s="614"/>
      <c r="U704" s="614"/>
      <c r="V704" s="614"/>
      <c r="W704" s="39"/>
      <c r="X704" s="39"/>
      <c r="Y704" s="39"/>
      <c r="Z704" s="39"/>
      <c r="AA704" s="39"/>
      <c r="AB704" s="39"/>
      <c r="AC704" s="39"/>
      <c r="AD704" s="39"/>
      <c r="AE704" s="39"/>
      <c r="AF704" s="39"/>
      <c r="AG704" s="39"/>
      <c r="AH704" s="39"/>
      <c r="AI704" s="39"/>
      <c r="AJ704" s="39"/>
      <c r="AK704" s="39"/>
      <c r="AL704" s="39"/>
    </row>
    <row r="705" spans="2:38" s="41" customFormat="1" ht="12.75">
      <c r="B705" s="97"/>
      <c r="C705" s="76"/>
      <c r="D705" s="663"/>
      <c r="E705" s="615">
        <v>5101</v>
      </c>
      <c r="F705" s="629">
        <v>100000</v>
      </c>
      <c r="G705" s="612"/>
      <c r="H705" s="98"/>
      <c r="I705" s="452"/>
      <c r="J705" s="39"/>
      <c r="K705" s="39"/>
      <c r="L705" s="39"/>
      <c r="M705" s="39"/>
      <c r="N705" s="39"/>
      <c r="O705" s="623">
        <f t="shared" si="12"/>
        <v>10000</v>
      </c>
      <c r="P705" s="623">
        <f t="shared" si="13"/>
        <v>90000</v>
      </c>
      <c r="Q705" s="613"/>
      <c r="R705" s="613">
        <v>100000</v>
      </c>
      <c r="S705" s="614">
        <v>900000</v>
      </c>
      <c r="T705" s="614"/>
      <c r="U705" s="614"/>
      <c r="V705" s="614"/>
      <c r="W705" s="39"/>
      <c r="X705" s="39"/>
      <c r="Y705" s="39"/>
      <c r="Z705" s="39"/>
      <c r="AA705" s="39"/>
      <c r="AB705" s="39"/>
      <c r="AC705" s="39"/>
      <c r="AD705" s="39"/>
      <c r="AE705" s="39"/>
      <c r="AF705" s="39"/>
      <c r="AG705" s="39"/>
      <c r="AH705" s="39"/>
      <c r="AI705" s="39"/>
      <c r="AJ705" s="39"/>
      <c r="AK705" s="39"/>
      <c r="AL705" s="39"/>
    </row>
    <row r="706" spans="1:38" s="41" customFormat="1" ht="12.75">
      <c r="A706" s="41">
        <v>21</v>
      </c>
      <c r="B706" s="97">
        <v>79</v>
      </c>
      <c r="C706" s="178" t="s">
        <v>34</v>
      </c>
      <c r="D706" s="663">
        <f>+F706+F711</f>
        <v>185585.3</v>
      </c>
      <c r="E706" s="627">
        <v>2000</v>
      </c>
      <c r="F706" s="628">
        <f>SUM(F707:F710)</f>
        <v>18865.3</v>
      </c>
      <c r="G706" s="612"/>
      <c r="H706" s="98"/>
      <c r="I706" s="452"/>
      <c r="J706" s="39"/>
      <c r="K706" s="39"/>
      <c r="L706" s="39"/>
      <c r="M706" s="39"/>
      <c r="N706" s="39"/>
      <c r="O706" s="623"/>
      <c r="P706" s="623"/>
      <c r="Q706" s="613"/>
      <c r="R706" s="613"/>
      <c r="S706" s="614"/>
      <c r="T706" s="614"/>
      <c r="U706" s="614"/>
      <c r="V706" s="614"/>
      <c r="W706" s="39"/>
      <c r="X706" s="39"/>
      <c r="Y706" s="39"/>
      <c r="Z706" s="39"/>
      <c r="AA706" s="39"/>
      <c r="AB706" s="39"/>
      <c r="AC706" s="39"/>
      <c r="AD706" s="39"/>
      <c r="AE706" s="39"/>
      <c r="AF706" s="39"/>
      <c r="AG706" s="39"/>
      <c r="AH706" s="39"/>
      <c r="AI706" s="39"/>
      <c r="AJ706" s="39"/>
      <c r="AK706" s="39"/>
      <c r="AL706" s="39"/>
    </row>
    <row r="707" spans="2:38" s="41" customFormat="1" ht="12.75">
      <c r="B707" s="97"/>
      <c r="C707" s="75"/>
      <c r="D707" s="663"/>
      <c r="E707" s="615">
        <v>2101</v>
      </c>
      <c r="F707" s="629">
        <v>230.8</v>
      </c>
      <c r="G707" s="612"/>
      <c r="H707" s="98"/>
      <c r="I707" s="452"/>
      <c r="J707" s="39"/>
      <c r="K707" s="39"/>
      <c r="L707" s="39"/>
      <c r="M707" s="39"/>
      <c r="N707" s="39"/>
      <c r="O707" s="623">
        <f aca="true" t="shared" si="14" ref="O707:O729">F707*0.1</f>
        <v>23.080000000000002</v>
      </c>
      <c r="P707" s="623">
        <f aca="true" t="shared" si="15" ref="P707:P729">F707*0.9</f>
        <v>207.72000000000003</v>
      </c>
      <c r="Q707" s="613"/>
      <c r="R707" s="613">
        <v>230.8</v>
      </c>
      <c r="S707" s="614">
        <v>2077.2000000000003</v>
      </c>
      <c r="T707" s="614"/>
      <c r="U707" s="614"/>
      <c r="V707" s="614"/>
      <c r="W707" s="39"/>
      <c r="X707" s="39"/>
      <c r="Y707" s="39"/>
      <c r="Z707" s="39"/>
      <c r="AA707" s="39"/>
      <c r="AB707" s="39"/>
      <c r="AC707" s="39"/>
      <c r="AD707" s="39"/>
      <c r="AE707" s="39"/>
      <c r="AF707" s="39"/>
      <c r="AG707" s="39"/>
      <c r="AH707" s="39"/>
      <c r="AI707" s="39"/>
      <c r="AJ707" s="39"/>
      <c r="AK707" s="39"/>
      <c r="AL707" s="39"/>
    </row>
    <row r="708" spans="2:38" s="41" customFormat="1" ht="12.75">
      <c r="B708" s="97"/>
      <c r="C708" s="75"/>
      <c r="D708" s="663"/>
      <c r="E708" s="615">
        <v>2104</v>
      </c>
      <c r="F708" s="629">
        <v>13804.5</v>
      </c>
      <c r="G708" s="612"/>
      <c r="H708" s="98"/>
      <c r="I708" s="452"/>
      <c r="J708" s="39"/>
      <c r="K708" s="39"/>
      <c r="L708" s="39"/>
      <c r="M708" s="39"/>
      <c r="N708" s="39"/>
      <c r="O708" s="623">
        <f t="shared" si="14"/>
        <v>1380.45</v>
      </c>
      <c r="P708" s="623">
        <f t="shared" si="15"/>
        <v>12424.050000000001</v>
      </c>
      <c r="Q708" s="613"/>
      <c r="R708" s="613">
        <v>13804.5</v>
      </c>
      <c r="S708" s="614">
        <v>124240.5</v>
      </c>
      <c r="T708" s="614"/>
      <c r="U708" s="614"/>
      <c r="V708" s="614"/>
      <c r="W708" s="39"/>
      <c r="X708" s="39"/>
      <c r="Y708" s="39"/>
      <c r="Z708" s="39"/>
      <c r="AA708" s="39"/>
      <c r="AB708" s="39"/>
      <c r="AC708" s="39"/>
      <c r="AD708" s="39"/>
      <c r="AE708" s="39"/>
      <c r="AF708" s="39"/>
      <c r="AG708" s="39"/>
      <c r="AH708" s="39"/>
      <c r="AI708" s="39"/>
      <c r="AJ708" s="39"/>
      <c r="AK708" s="39"/>
      <c r="AL708" s="39"/>
    </row>
    <row r="709" spans="2:38" s="41" customFormat="1" ht="12.75">
      <c r="B709" s="97"/>
      <c r="C709" s="75"/>
      <c r="D709" s="663"/>
      <c r="E709" s="615">
        <v>2105</v>
      </c>
      <c r="F709" s="629">
        <v>1330</v>
      </c>
      <c r="G709" s="612"/>
      <c r="H709" s="98"/>
      <c r="I709" s="452"/>
      <c r="J709" s="39"/>
      <c r="K709" s="39"/>
      <c r="L709" s="39"/>
      <c r="M709" s="39"/>
      <c r="N709" s="39"/>
      <c r="O709" s="623">
        <f t="shared" si="14"/>
        <v>133</v>
      </c>
      <c r="P709" s="623">
        <f t="shared" si="15"/>
        <v>1197</v>
      </c>
      <c r="Q709" s="613"/>
      <c r="R709" s="613">
        <v>1330</v>
      </c>
      <c r="S709" s="614">
        <v>11970</v>
      </c>
      <c r="T709" s="614"/>
      <c r="U709" s="614"/>
      <c r="V709" s="614"/>
      <c r="W709" s="39"/>
      <c r="X709" s="39"/>
      <c r="Y709" s="39"/>
      <c r="Z709" s="39"/>
      <c r="AA709" s="39"/>
      <c r="AB709" s="39"/>
      <c r="AC709" s="39"/>
      <c r="AD709" s="39"/>
      <c r="AE709" s="39"/>
      <c r="AF709" s="39"/>
      <c r="AG709" s="39"/>
      <c r="AH709" s="39"/>
      <c r="AI709" s="39"/>
      <c r="AJ709" s="39"/>
      <c r="AK709" s="39"/>
      <c r="AL709" s="39"/>
    </row>
    <row r="710" spans="2:38" s="41" customFormat="1" ht="12.75">
      <c r="B710" s="97"/>
      <c r="C710" s="75"/>
      <c r="D710" s="663"/>
      <c r="E710" s="615">
        <v>2201</v>
      </c>
      <c r="F710" s="629">
        <v>3500</v>
      </c>
      <c r="G710" s="612"/>
      <c r="H710" s="98"/>
      <c r="I710" s="452"/>
      <c r="J710" s="39"/>
      <c r="K710" s="39"/>
      <c r="L710" s="39"/>
      <c r="M710" s="39"/>
      <c r="N710" s="39"/>
      <c r="O710" s="623">
        <f t="shared" si="14"/>
        <v>350</v>
      </c>
      <c r="P710" s="623">
        <f t="shared" si="15"/>
        <v>3150</v>
      </c>
      <c r="Q710" s="613"/>
      <c r="R710" s="613">
        <v>3500</v>
      </c>
      <c r="S710" s="614">
        <v>31500</v>
      </c>
      <c r="T710" s="614"/>
      <c r="U710" s="614"/>
      <c r="V710" s="614"/>
      <c r="W710" s="39"/>
      <c r="X710" s="39"/>
      <c r="Y710" s="39"/>
      <c r="Z710" s="39"/>
      <c r="AA710" s="39"/>
      <c r="AB710" s="39"/>
      <c r="AC710" s="39"/>
      <c r="AD710" s="39"/>
      <c r="AE710" s="39"/>
      <c r="AF710" s="39"/>
      <c r="AG710" s="39"/>
      <c r="AH710" s="39"/>
      <c r="AI710" s="39"/>
      <c r="AJ710" s="39"/>
      <c r="AK710" s="39"/>
      <c r="AL710" s="39"/>
    </row>
    <row r="711" spans="2:38" s="41" customFormat="1" ht="12.75">
      <c r="B711" s="97"/>
      <c r="C711" s="75"/>
      <c r="D711" s="663"/>
      <c r="E711" s="627">
        <v>3000</v>
      </c>
      <c r="F711" s="628">
        <f>SUM(F712:F720)</f>
        <v>166720</v>
      </c>
      <c r="G711" s="612"/>
      <c r="H711" s="98"/>
      <c r="I711" s="452"/>
      <c r="J711" s="39"/>
      <c r="K711" s="39"/>
      <c r="L711" s="39"/>
      <c r="M711" s="39"/>
      <c r="N711" s="39"/>
      <c r="O711" s="623"/>
      <c r="P711" s="623"/>
      <c r="Q711" s="613"/>
      <c r="R711" s="613"/>
      <c r="S711" s="614"/>
      <c r="T711" s="614"/>
      <c r="U711" s="614"/>
      <c r="V711" s="614"/>
      <c r="W711" s="39"/>
      <c r="X711" s="39"/>
      <c r="Y711" s="39"/>
      <c r="Z711" s="39"/>
      <c r="AA711" s="39"/>
      <c r="AB711" s="39"/>
      <c r="AC711" s="39"/>
      <c r="AD711" s="39"/>
      <c r="AE711" s="39"/>
      <c r="AF711" s="39"/>
      <c r="AG711" s="39"/>
      <c r="AH711" s="39"/>
      <c r="AI711" s="39"/>
      <c r="AJ711" s="39"/>
      <c r="AK711" s="39"/>
      <c r="AL711" s="39"/>
    </row>
    <row r="712" spans="2:38" s="41" customFormat="1" ht="12.75">
      <c r="B712" s="97"/>
      <c r="C712" s="75"/>
      <c r="D712" s="663"/>
      <c r="E712" s="615">
        <v>3204</v>
      </c>
      <c r="F712" s="629">
        <v>1200</v>
      </c>
      <c r="G712" s="612"/>
      <c r="H712" s="98"/>
      <c r="I712" s="452"/>
      <c r="J712" s="39"/>
      <c r="K712" s="39"/>
      <c r="L712" s="39"/>
      <c r="M712" s="39"/>
      <c r="N712" s="39"/>
      <c r="O712" s="623">
        <f t="shared" si="14"/>
        <v>120</v>
      </c>
      <c r="P712" s="623">
        <f t="shared" si="15"/>
        <v>1080</v>
      </c>
      <c r="Q712" s="613"/>
      <c r="R712" s="613">
        <v>1200</v>
      </c>
      <c r="S712" s="614">
        <v>10800</v>
      </c>
      <c r="T712" s="614"/>
      <c r="U712" s="614"/>
      <c r="V712" s="614"/>
      <c r="W712" s="39"/>
      <c r="X712" s="39"/>
      <c r="Y712" s="39"/>
      <c r="Z712" s="39"/>
      <c r="AA712" s="39"/>
      <c r="AB712" s="39"/>
      <c r="AC712" s="39"/>
      <c r="AD712" s="39"/>
      <c r="AE712" s="39"/>
      <c r="AF712" s="39"/>
      <c r="AG712" s="39"/>
      <c r="AH712" s="39"/>
      <c r="AI712" s="39"/>
      <c r="AJ712" s="39"/>
      <c r="AK712" s="39"/>
      <c r="AL712" s="39"/>
    </row>
    <row r="713" spans="2:38" s="41" customFormat="1" ht="12.75">
      <c r="B713" s="97"/>
      <c r="C713" s="75"/>
      <c r="D713" s="663"/>
      <c r="E713" s="615">
        <v>3301</v>
      </c>
      <c r="F713" s="629">
        <v>32130</v>
      </c>
      <c r="G713" s="612"/>
      <c r="H713" s="98"/>
      <c r="I713" s="452"/>
      <c r="J713" s="39"/>
      <c r="K713" s="39"/>
      <c r="L713" s="39"/>
      <c r="M713" s="39"/>
      <c r="N713" s="39"/>
      <c r="O713" s="623">
        <f t="shared" si="14"/>
        <v>3213</v>
      </c>
      <c r="P713" s="623">
        <f t="shared" si="15"/>
        <v>28917</v>
      </c>
      <c r="Q713" s="613"/>
      <c r="R713" s="613">
        <v>32130</v>
      </c>
      <c r="S713" s="614">
        <v>289170</v>
      </c>
      <c r="T713" s="614"/>
      <c r="U713" s="614"/>
      <c r="V713" s="614"/>
      <c r="W713" s="39"/>
      <c r="X713" s="39"/>
      <c r="Y713" s="39"/>
      <c r="Z713" s="39"/>
      <c r="AA713" s="39"/>
      <c r="AB713" s="39"/>
      <c r="AC713" s="39"/>
      <c r="AD713" s="39"/>
      <c r="AE713" s="39"/>
      <c r="AF713" s="39"/>
      <c r="AG713" s="39"/>
      <c r="AH713" s="39"/>
      <c r="AI713" s="39"/>
      <c r="AJ713" s="39"/>
      <c r="AK713" s="39"/>
      <c r="AL713" s="39"/>
    </row>
    <row r="714" spans="2:38" s="41" customFormat="1" ht="12.75">
      <c r="B714" s="97"/>
      <c r="C714" s="75"/>
      <c r="D714" s="663"/>
      <c r="E714" s="615">
        <v>3401</v>
      </c>
      <c r="F714" s="629">
        <v>990</v>
      </c>
      <c r="G714" s="612"/>
      <c r="H714" s="98"/>
      <c r="I714" s="452"/>
      <c r="J714" s="39"/>
      <c r="K714" s="39"/>
      <c r="L714" s="39"/>
      <c r="M714" s="39"/>
      <c r="N714" s="39"/>
      <c r="O714" s="623">
        <f t="shared" si="14"/>
        <v>99</v>
      </c>
      <c r="P714" s="623">
        <f t="shared" si="15"/>
        <v>891</v>
      </c>
      <c r="Q714" s="613"/>
      <c r="R714" s="613">
        <v>990</v>
      </c>
      <c r="S714" s="614">
        <v>8910</v>
      </c>
      <c r="T714" s="614"/>
      <c r="U714" s="614"/>
      <c r="V714" s="614"/>
      <c r="W714" s="39"/>
      <c r="X714" s="39"/>
      <c r="Y714" s="39"/>
      <c r="Z714" s="39"/>
      <c r="AA714" s="39"/>
      <c r="AB714" s="39"/>
      <c r="AC714" s="39"/>
      <c r="AD714" s="39"/>
      <c r="AE714" s="39"/>
      <c r="AF714" s="39"/>
      <c r="AG714" s="39"/>
      <c r="AH714" s="39"/>
      <c r="AI714" s="39"/>
      <c r="AJ714" s="39"/>
      <c r="AK714" s="39"/>
      <c r="AL714" s="39"/>
    </row>
    <row r="715" spans="2:38" s="41" customFormat="1" ht="12.75">
      <c r="B715" s="97"/>
      <c r="C715" s="75"/>
      <c r="D715" s="663"/>
      <c r="E715" s="615">
        <v>3701</v>
      </c>
      <c r="F715" s="629">
        <v>19200</v>
      </c>
      <c r="G715" s="612"/>
      <c r="H715" s="98"/>
      <c r="I715" s="452"/>
      <c r="J715" s="39"/>
      <c r="K715" s="39"/>
      <c r="L715" s="39"/>
      <c r="M715" s="39"/>
      <c r="N715" s="39"/>
      <c r="O715" s="623">
        <f t="shared" si="14"/>
        <v>1920</v>
      </c>
      <c r="P715" s="623">
        <f t="shared" si="15"/>
        <v>17280</v>
      </c>
      <c r="Q715" s="613"/>
      <c r="R715" s="613">
        <v>19200</v>
      </c>
      <c r="S715" s="614">
        <v>172800</v>
      </c>
      <c r="T715" s="614"/>
      <c r="U715" s="614"/>
      <c r="V715" s="614"/>
      <c r="W715" s="39"/>
      <c r="X715" s="39"/>
      <c r="Y715" s="39"/>
      <c r="Z715" s="39"/>
      <c r="AA715" s="39"/>
      <c r="AB715" s="39"/>
      <c r="AC715" s="39"/>
      <c r="AD715" s="39"/>
      <c r="AE715" s="39"/>
      <c r="AF715" s="39"/>
      <c r="AG715" s="39"/>
      <c r="AH715" s="39"/>
      <c r="AI715" s="39"/>
      <c r="AJ715" s="39"/>
      <c r="AK715" s="39"/>
      <c r="AL715" s="39"/>
    </row>
    <row r="716" spans="2:38" s="41" customFormat="1" ht="12.75">
      <c r="B716" s="97"/>
      <c r="C716" s="75"/>
      <c r="D716" s="663"/>
      <c r="E716" s="615">
        <v>3702</v>
      </c>
      <c r="F716" s="629">
        <v>59200</v>
      </c>
      <c r="G716" s="631" t="s">
        <v>232</v>
      </c>
      <c r="H716" s="98"/>
      <c r="I716" s="452"/>
      <c r="J716" s="39"/>
      <c r="K716" s="39"/>
      <c r="L716" s="39"/>
      <c r="M716" s="39"/>
      <c r="N716" s="39"/>
      <c r="O716" s="623">
        <f t="shared" si="14"/>
        <v>5920</v>
      </c>
      <c r="P716" s="623">
        <f t="shared" si="15"/>
        <v>53280</v>
      </c>
      <c r="Q716" s="613"/>
      <c r="R716" s="613">
        <v>59200</v>
      </c>
      <c r="S716" s="614">
        <v>532800</v>
      </c>
      <c r="T716" s="614"/>
      <c r="U716" s="614"/>
      <c r="V716" s="614"/>
      <c r="W716" s="39"/>
      <c r="X716" s="39"/>
      <c r="Y716" s="39"/>
      <c r="Z716" s="39"/>
      <c r="AA716" s="39"/>
      <c r="AB716" s="39"/>
      <c r="AC716" s="39"/>
      <c r="AD716" s="39"/>
      <c r="AE716" s="39"/>
      <c r="AF716" s="39"/>
      <c r="AG716" s="39"/>
      <c r="AH716" s="39"/>
      <c r="AI716" s="39"/>
      <c r="AJ716" s="39"/>
      <c r="AK716" s="39"/>
      <c r="AL716" s="39"/>
    </row>
    <row r="717" spans="2:38" s="41" customFormat="1" ht="12.75">
      <c r="B717" s="97"/>
      <c r="C717" s="75"/>
      <c r="D717" s="663"/>
      <c r="E717" s="615">
        <v>3703</v>
      </c>
      <c r="F717" s="629">
        <v>15840</v>
      </c>
      <c r="G717" s="612"/>
      <c r="H717" s="98"/>
      <c r="I717" s="452"/>
      <c r="J717" s="39"/>
      <c r="K717" s="39"/>
      <c r="L717" s="39"/>
      <c r="M717" s="39"/>
      <c r="N717" s="39"/>
      <c r="O717" s="623">
        <f t="shared" si="14"/>
        <v>1584</v>
      </c>
      <c r="P717" s="623">
        <f t="shared" si="15"/>
        <v>14256</v>
      </c>
      <c r="Q717" s="613"/>
      <c r="R717" s="613">
        <v>15840</v>
      </c>
      <c r="S717" s="614">
        <v>142560</v>
      </c>
      <c r="T717" s="614"/>
      <c r="U717" s="614"/>
      <c r="V717" s="614"/>
      <c r="W717" s="39"/>
      <c r="X717" s="39"/>
      <c r="Y717" s="39"/>
      <c r="Z717" s="39"/>
      <c r="AA717" s="39"/>
      <c r="AB717" s="39"/>
      <c r="AC717" s="39"/>
      <c r="AD717" s="39"/>
      <c r="AE717" s="39"/>
      <c r="AF717" s="39"/>
      <c r="AG717" s="39"/>
      <c r="AH717" s="39"/>
      <c r="AI717" s="39"/>
      <c r="AJ717" s="39"/>
      <c r="AK717" s="39"/>
      <c r="AL717" s="39"/>
    </row>
    <row r="718" spans="2:38" s="41" customFormat="1" ht="12.75">
      <c r="B718" s="97"/>
      <c r="C718" s="75"/>
      <c r="D718" s="663"/>
      <c r="E718" s="615">
        <v>3801</v>
      </c>
      <c r="F718" s="629">
        <v>6480</v>
      </c>
      <c r="G718" s="612"/>
      <c r="H718" s="98"/>
      <c r="I718" s="452"/>
      <c r="J718" s="39"/>
      <c r="K718" s="39"/>
      <c r="L718" s="39"/>
      <c r="M718" s="39"/>
      <c r="N718" s="39"/>
      <c r="O718" s="623">
        <f t="shared" si="14"/>
        <v>648</v>
      </c>
      <c r="P718" s="623">
        <f t="shared" si="15"/>
        <v>5832</v>
      </c>
      <c r="Q718" s="613"/>
      <c r="R718" s="613">
        <v>6480</v>
      </c>
      <c r="S718" s="614">
        <v>58320</v>
      </c>
      <c r="T718" s="614"/>
      <c r="U718" s="614"/>
      <c r="V718" s="614"/>
      <c r="W718" s="39"/>
      <c r="X718" s="39"/>
      <c r="Y718" s="39"/>
      <c r="Z718" s="39"/>
      <c r="AA718" s="39"/>
      <c r="AB718" s="39"/>
      <c r="AC718" s="39"/>
      <c r="AD718" s="39"/>
      <c r="AE718" s="39"/>
      <c r="AF718" s="39"/>
      <c r="AG718" s="39"/>
      <c r="AH718" s="39"/>
      <c r="AI718" s="39"/>
      <c r="AJ718" s="39"/>
      <c r="AK718" s="39"/>
      <c r="AL718" s="39"/>
    </row>
    <row r="719" spans="2:38" s="41" customFormat="1" ht="12.75">
      <c r="B719" s="97"/>
      <c r="C719" s="75"/>
      <c r="D719" s="663"/>
      <c r="E719" s="615">
        <v>3903</v>
      </c>
      <c r="F719" s="629">
        <v>1800</v>
      </c>
      <c r="G719" s="612"/>
      <c r="H719" s="98"/>
      <c r="I719" s="452"/>
      <c r="J719" s="39"/>
      <c r="K719" s="39"/>
      <c r="L719" s="39"/>
      <c r="M719" s="39"/>
      <c r="N719" s="39"/>
      <c r="O719" s="623">
        <f t="shared" si="14"/>
        <v>180</v>
      </c>
      <c r="P719" s="623">
        <f t="shared" si="15"/>
        <v>1620</v>
      </c>
      <c r="Q719" s="613"/>
      <c r="R719" s="613">
        <v>1800</v>
      </c>
      <c r="S719" s="614">
        <v>16200</v>
      </c>
      <c r="T719" s="614"/>
      <c r="U719" s="614"/>
      <c r="V719" s="614"/>
      <c r="W719" s="39"/>
      <c r="X719" s="39"/>
      <c r="Y719" s="39"/>
      <c r="Z719" s="39"/>
      <c r="AA719" s="39"/>
      <c r="AB719" s="39"/>
      <c r="AC719" s="39"/>
      <c r="AD719" s="39"/>
      <c r="AE719" s="39"/>
      <c r="AF719" s="39"/>
      <c r="AG719" s="39"/>
      <c r="AH719" s="39"/>
      <c r="AI719" s="39"/>
      <c r="AJ719" s="39"/>
      <c r="AK719" s="39"/>
      <c r="AL719" s="39"/>
    </row>
    <row r="720" spans="2:38" s="41" customFormat="1" ht="12.75">
      <c r="B720" s="97"/>
      <c r="C720" s="76"/>
      <c r="D720" s="663"/>
      <c r="E720" s="615">
        <v>3907</v>
      </c>
      <c r="F720" s="629">
        <v>29880</v>
      </c>
      <c r="G720" s="612"/>
      <c r="H720" s="98"/>
      <c r="I720" s="452"/>
      <c r="J720" s="39"/>
      <c r="K720" s="39"/>
      <c r="L720" s="39"/>
      <c r="M720" s="39"/>
      <c r="N720" s="39"/>
      <c r="O720" s="623">
        <f t="shared" si="14"/>
        <v>2988</v>
      </c>
      <c r="P720" s="623">
        <f t="shared" si="15"/>
        <v>26892</v>
      </c>
      <c r="Q720" s="613"/>
      <c r="R720" s="613">
        <v>29880</v>
      </c>
      <c r="S720" s="614">
        <v>268920</v>
      </c>
      <c r="T720" s="614"/>
      <c r="U720" s="614"/>
      <c r="V720" s="614"/>
      <c r="W720" s="39"/>
      <c r="X720" s="39"/>
      <c r="Y720" s="39"/>
      <c r="Z720" s="39"/>
      <c r="AA720" s="39"/>
      <c r="AB720" s="39"/>
      <c r="AC720" s="39"/>
      <c r="AD720" s="39"/>
      <c r="AE720" s="39"/>
      <c r="AF720" s="39"/>
      <c r="AG720" s="39"/>
      <c r="AH720" s="39"/>
      <c r="AI720" s="39"/>
      <c r="AJ720" s="39"/>
      <c r="AK720" s="39"/>
      <c r="AL720" s="39"/>
    </row>
    <row r="721" spans="1:38" s="41" customFormat="1" ht="12.75" customHeight="1">
      <c r="A721" s="41">
        <v>22</v>
      </c>
      <c r="B721" s="97">
        <v>80</v>
      </c>
      <c r="C721" s="178" t="s">
        <v>312</v>
      </c>
      <c r="D721" s="663">
        <f>F721+F726</f>
        <v>41157.2</v>
      </c>
      <c r="E721" s="632">
        <v>2000</v>
      </c>
      <c r="F721" s="611">
        <f>F722+F723+F724+F725</f>
        <v>5657.2</v>
      </c>
      <c r="H721" s="98"/>
      <c r="O721" s="623"/>
      <c r="P721" s="623"/>
      <c r="Q721" s="613"/>
      <c r="R721" s="613"/>
      <c r="S721" s="614"/>
      <c r="T721" s="614"/>
      <c r="U721" s="614"/>
      <c r="V721" s="614"/>
      <c r="W721" s="39"/>
      <c r="X721" s="39"/>
      <c r="Y721" s="39"/>
      <c r="Z721" s="39"/>
      <c r="AA721" s="39"/>
      <c r="AB721" s="39"/>
      <c r="AC721" s="39"/>
      <c r="AD721" s="39"/>
      <c r="AE721" s="39"/>
      <c r="AF721" s="39"/>
      <c r="AG721" s="39"/>
      <c r="AH721" s="39"/>
      <c r="AI721" s="39"/>
      <c r="AJ721" s="39"/>
      <c r="AK721" s="39"/>
      <c r="AL721" s="39"/>
    </row>
    <row r="722" spans="2:38" s="41" customFormat="1" ht="12.75">
      <c r="B722" s="97"/>
      <c r="C722" s="75"/>
      <c r="D722" s="663"/>
      <c r="E722" s="633">
        <v>2101</v>
      </c>
      <c r="F722" s="629">
        <v>222.70000000000002</v>
      </c>
      <c r="H722" s="98"/>
      <c r="O722" s="623">
        <f t="shared" si="14"/>
        <v>22.270000000000003</v>
      </c>
      <c r="P722" s="623">
        <f t="shared" si="15"/>
        <v>200.43</v>
      </c>
      <c r="Q722" s="613"/>
      <c r="R722" s="613">
        <v>222.70000000000002</v>
      </c>
      <c r="S722" s="614">
        <v>2004.3</v>
      </c>
      <c r="T722" s="614"/>
      <c r="U722" s="614"/>
      <c r="V722" s="614"/>
      <c r="W722" s="39"/>
      <c r="X722" s="39"/>
      <c r="Y722" s="39"/>
      <c r="Z722" s="39"/>
      <c r="AA722" s="39"/>
      <c r="AB722" s="39"/>
      <c r="AC722" s="39"/>
      <c r="AD722" s="39"/>
      <c r="AE722" s="39"/>
      <c r="AF722" s="39"/>
      <c r="AG722" s="39"/>
      <c r="AH722" s="39"/>
      <c r="AI722" s="39"/>
      <c r="AJ722" s="39"/>
      <c r="AK722" s="39"/>
      <c r="AL722" s="39"/>
    </row>
    <row r="723" spans="2:38" s="41" customFormat="1" ht="12.75">
      <c r="B723" s="97"/>
      <c r="C723" s="75"/>
      <c r="D723" s="663"/>
      <c r="E723" s="633">
        <v>2104</v>
      </c>
      <c r="F723" s="629">
        <v>2334.5</v>
      </c>
      <c r="H723" s="98"/>
      <c r="O723" s="623">
        <f t="shared" si="14"/>
        <v>233.45000000000002</v>
      </c>
      <c r="P723" s="623">
        <f t="shared" si="15"/>
        <v>2101.05</v>
      </c>
      <c r="Q723" s="613"/>
      <c r="R723" s="613">
        <v>2334.5</v>
      </c>
      <c r="S723" s="614">
        <v>21010.5</v>
      </c>
      <c r="T723" s="614"/>
      <c r="U723" s="614"/>
      <c r="V723" s="614"/>
      <c r="W723" s="39"/>
      <c r="X723" s="39"/>
      <c r="Y723" s="39"/>
      <c r="Z723" s="39"/>
      <c r="AA723" s="39"/>
      <c r="AB723" s="39"/>
      <c r="AC723" s="39"/>
      <c r="AD723" s="39"/>
      <c r="AE723" s="39"/>
      <c r="AF723" s="39"/>
      <c r="AG723" s="39"/>
      <c r="AH723" s="39"/>
      <c r="AI723" s="39"/>
      <c r="AJ723" s="39"/>
      <c r="AK723" s="39"/>
      <c r="AL723" s="39"/>
    </row>
    <row r="724" spans="2:38" s="41" customFormat="1" ht="12.75">
      <c r="B724" s="97"/>
      <c r="C724" s="75"/>
      <c r="D724" s="663"/>
      <c r="E724" s="633">
        <v>2105</v>
      </c>
      <c r="F724" s="629">
        <v>2000</v>
      </c>
      <c r="H724" s="98"/>
      <c r="O724" s="623">
        <f t="shared" si="14"/>
        <v>200</v>
      </c>
      <c r="P724" s="623">
        <f t="shared" si="15"/>
        <v>1800</v>
      </c>
      <c r="Q724" s="613"/>
      <c r="R724" s="613">
        <v>2000</v>
      </c>
      <c r="S724" s="614">
        <v>18000</v>
      </c>
      <c r="T724" s="614"/>
      <c r="U724" s="614"/>
      <c r="V724" s="614"/>
      <c r="W724" s="39"/>
      <c r="X724" s="39"/>
      <c r="Y724" s="39"/>
      <c r="Z724" s="39"/>
      <c r="AA724" s="39"/>
      <c r="AB724" s="39"/>
      <c r="AC724" s="39"/>
      <c r="AD724" s="39"/>
      <c r="AE724" s="39"/>
      <c r="AF724" s="39"/>
      <c r="AG724" s="39"/>
      <c r="AH724" s="39"/>
      <c r="AI724" s="39"/>
      <c r="AJ724" s="39"/>
      <c r="AK724" s="39"/>
      <c r="AL724" s="39"/>
    </row>
    <row r="725" spans="2:38" s="41" customFormat="1" ht="12.75">
      <c r="B725" s="97"/>
      <c r="C725" s="75"/>
      <c r="D725" s="663"/>
      <c r="E725" s="633">
        <v>2201</v>
      </c>
      <c r="F725" s="629">
        <v>1100</v>
      </c>
      <c r="H725" s="98"/>
      <c r="O725" s="623">
        <f t="shared" si="14"/>
        <v>110</v>
      </c>
      <c r="P725" s="623">
        <f t="shared" si="15"/>
        <v>990</v>
      </c>
      <c r="Q725" s="613"/>
      <c r="R725" s="613">
        <v>1100</v>
      </c>
      <c r="S725" s="614">
        <v>9900</v>
      </c>
      <c r="T725" s="614"/>
      <c r="U725" s="614"/>
      <c r="V725" s="614"/>
      <c r="W725" s="39"/>
      <c r="X725" s="39"/>
      <c r="Y725" s="39"/>
      <c r="Z725" s="39"/>
      <c r="AA725" s="39"/>
      <c r="AB725" s="39"/>
      <c r="AC725" s="39"/>
      <c r="AD725" s="39"/>
      <c r="AE725" s="39"/>
      <c r="AF725" s="39"/>
      <c r="AG725" s="39"/>
      <c r="AH725" s="39"/>
      <c r="AI725" s="39"/>
      <c r="AJ725" s="39"/>
      <c r="AK725" s="39"/>
      <c r="AL725" s="39"/>
    </row>
    <row r="726" spans="2:38" s="41" customFormat="1" ht="12.75">
      <c r="B726" s="97"/>
      <c r="C726" s="75"/>
      <c r="D726" s="663"/>
      <c r="E726" s="627">
        <v>3000</v>
      </c>
      <c r="F726" s="628">
        <f>F727+F728+F729</f>
        <v>35500</v>
      </c>
      <c r="G726" s="612"/>
      <c r="H726" s="98"/>
      <c r="I726" s="452"/>
      <c r="J726" s="39"/>
      <c r="K726" s="39"/>
      <c r="L726" s="39"/>
      <c r="M726" s="39"/>
      <c r="N726" s="39"/>
      <c r="O726" s="623"/>
      <c r="P726" s="623"/>
      <c r="Q726" s="613"/>
      <c r="R726" s="613"/>
      <c r="S726" s="614"/>
      <c r="T726" s="614"/>
      <c r="U726" s="614"/>
      <c r="V726" s="614"/>
      <c r="W726" s="39"/>
      <c r="X726" s="39"/>
      <c r="Y726" s="39"/>
      <c r="Z726" s="39"/>
      <c r="AA726" s="39"/>
      <c r="AB726" s="39"/>
      <c r="AC726" s="39"/>
      <c r="AD726" s="39"/>
      <c r="AE726" s="39"/>
      <c r="AF726" s="39"/>
      <c r="AG726" s="39"/>
      <c r="AH726" s="39"/>
      <c r="AI726" s="39"/>
      <c r="AJ726" s="39"/>
      <c r="AK726" s="39"/>
      <c r="AL726" s="39"/>
    </row>
    <row r="727" spans="2:38" s="41" customFormat="1" ht="12.75">
      <c r="B727" s="97"/>
      <c r="C727" s="75"/>
      <c r="D727" s="663"/>
      <c r="E727" s="634">
        <v>3301</v>
      </c>
      <c r="F727" s="629">
        <v>13500</v>
      </c>
      <c r="G727" s="238"/>
      <c r="H727" s="98"/>
      <c r="I727" s="452"/>
      <c r="J727" s="39"/>
      <c r="K727" s="39"/>
      <c r="L727" s="39"/>
      <c r="M727" s="39"/>
      <c r="N727" s="39"/>
      <c r="O727" s="623">
        <f t="shared" si="14"/>
        <v>1350</v>
      </c>
      <c r="P727" s="623">
        <f t="shared" si="15"/>
        <v>12150</v>
      </c>
      <c r="Q727" s="613"/>
      <c r="R727" s="613">
        <v>13500</v>
      </c>
      <c r="S727" s="614">
        <v>121500</v>
      </c>
      <c r="T727" s="614"/>
      <c r="U727" s="614"/>
      <c r="V727" s="614"/>
      <c r="W727" s="39"/>
      <c r="X727" s="39"/>
      <c r="Y727" s="39"/>
      <c r="Z727" s="39"/>
      <c r="AA727" s="39"/>
      <c r="AB727" s="39"/>
      <c r="AC727" s="39"/>
      <c r="AD727" s="39"/>
      <c r="AE727" s="39"/>
      <c r="AF727" s="39"/>
      <c r="AG727" s="39"/>
      <c r="AH727" s="39"/>
      <c r="AI727" s="39"/>
      <c r="AJ727" s="39"/>
      <c r="AK727" s="39"/>
      <c r="AL727" s="39"/>
    </row>
    <row r="728" spans="2:38" s="41" customFormat="1" ht="12.75" customHeight="1">
      <c r="B728" s="97"/>
      <c r="C728" s="75"/>
      <c r="D728" s="663"/>
      <c r="E728" s="634">
        <v>3702</v>
      </c>
      <c r="F728" s="629">
        <v>16000</v>
      </c>
      <c r="G728" s="238"/>
      <c r="H728" s="98"/>
      <c r="I728" s="452"/>
      <c r="J728" s="39"/>
      <c r="K728" s="39"/>
      <c r="L728" s="39"/>
      <c r="M728" s="39"/>
      <c r="N728" s="39"/>
      <c r="O728" s="623">
        <f t="shared" si="14"/>
        <v>1600</v>
      </c>
      <c r="P728" s="623">
        <f t="shared" si="15"/>
        <v>14400</v>
      </c>
      <c r="Q728" s="613"/>
      <c r="R728" s="613">
        <v>16000</v>
      </c>
      <c r="S728" s="614">
        <v>144000</v>
      </c>
      <c r="T728" s="614"/>
      <c r="U728" s="614"/>
      <c r="V728" s="614"/>
      <c r="W728" s="39"/>
      <c r="X728" s="39"/>
      <c r="Y728" s="39"/>
      <c r="Z728" s="39"/>
      <c r="AA728" s="39"/>
      <c r="AB728" s="39"/>
      <c r="AC728" s="39"/>
      <c r="AD728" s="39"/>
      <c r="AE728" s="39"/>
      <c r="AF728" s="39"/>
      <c r="AG728" s="39"/>
      <c r="AH728" s="39"/>
      <c r="AI728" s="39"/>
      <c r="AJ728" s="39"/>
      <c r="AK728" s="39"/>
      <c r="AL728" s="39"/>
    </row>
    <row r="729" spans="2:38" s="41" customFormat="1" ht="12.75">
      <c r="B729" s="97"/>
      <c r="C729" s="75"/>
      <c r="D729" s="663"/>
      <c r="E729" s="634">
        <v>3703</v>
      </c>
      <c r="F729" s="629">
        <v>6000</v>
      </c>
      <c r="G729" s="238"/>
      <c r="H729" s="98"/>
      <c r="I729" s="452"/>
      <c r="J729" s="39"/>
      <c r="K729" s="39"/>
      <c r="L729" s="39"/>
      <c r="M729" s="39"/>
      <c r="N729" s="39"/>
      <c r="O729" s="623">
        <f t="shared" si="14"/>
        <v>600</v>
      </c>
      <c r="P729" s="623">
        <f t="shared" si="15"/>
        <v>5400</v>
      </c>
      <c r="Q729" s="613"/>
      <c r="R729" s="613">
        <v>6000</v>
      </c>
      <c r="S729" s="614">
        <v>54000</v>
      </c>
      <c r="T729" s="614"/>
      <c r="U729" s="614"/>
      <c r="V729" s="614"/>
      <c r="W729" s="39"/>
      <c r="X729" s="39"/>
      <c r="Y729" s="39"/>
      <c r="Z729" s="39"/>
      <c r="AA729" s="39"/>
      <c r="AB729" s="39"/>
      <c r="AC729" s="39"/>
      <c r="AD729" s="39"/>
      <c r="AE729" s="39"/>
      <c r="AF729" s="39"/>
      <c r="AG729" s="39"/>
      <c r="AH729" s="39"/>
      <c r="AI729" s="39"/>
      <c r="AJ729" s="39"/>
      <c r="AK729" s="39"/>
      <c r="AL729" s="39"/>
    </row>
    <row r="730" spans="1:38" s="41" customFormat="1" ht="12.75" customHeight="1">
      <c r="A730" s="41">
        <v>23</v>
      </c>
      <c r="B730" s="97">
        <v>81</v>
      </c>
      <c r="C730" s="178" t="s">
        <v>256</v>
      </c>
      <c r="D730" s="663">
        <f>+F730+F737</f>
        <v>619242</v>
      </c>
      <c r="E730" s="627">
        <v>2000</v>
      </c>
      <c r="F730" s="628">
        <f>SUM(F731:F736)</f>
        <v>37250</v>
      </c>
      <c r="G730" s="612"/>
      <c r="H730" s="98"/>
      <c r="I730" s="452"/>
      <c r="J730" s="39"/>
      <c r="K730" s="39"/>
      <c r="L730" s="39"/>
      <c r="M730" s="39"/>
      <c r="N730" s="39"/>
      <c r="O730" s="613"/>
      <c r="P730" s="613"/>
      <c r="Q730" s="613"/>
      <c r="R730" s="613"/>
      <c r="S730" s="614"/>
      <c r="T730" s="614"/>
      <c r="U730" s="614"/>
      <c r="V730" s="614"/>
      <c r="W730" s="39"/>
      <c r="X730" s="39"/>
      <c r="Y730" s="39"/>
      <c r="Z730" s="39"/>
      <c r="AA730" s="39"/>
      <c r="AB730" s="39"/>
      <c r="AC730" s="39"/>
      <c r="AD730" s="39"/>
      <c r="AE730" s="39"/>
      <c r="AF730" s="39"/>
      <c r="AG730" s="39"/>
      <c r="AH730" s="39"/>
      <c r="AI730" s="39"/>
      <c r="AJ730" s="39"/>
      <c r="AK730" s="39"/>
      <c r="AL730" s="39"/>
    </row>
    <row r="731" spans="2:38" s="41" customFormat="1" ht="12.75" customHeight="1">
      <c r="B731" s="97"/>
      <c r="C731" s="75"/>
      <c r="D731" s="663"/>
      <c r="E731" s="615">
        <v>2101</v>
      </c>
      <c r="F731" s="616">
        <v>2936</v>
      </c>
      <c r="G731" s="612"/>
      <c r="H731" s="98"/>
      <c r="I731" s="452"/>
      <c r="J731" s="39"/>
      <c r="K731" s="39"/>
      <c r="L731" s="39"/>
      <c r="M731" s="39"/>
      <c r="N731" s="39"/>
      <c r="O731" s="619">
        <f>F731</f>
        <v>2936</v>
      </c>
      <c r="P731" s="613"/>
      <c r="Q731" s="613"/>
      <c r="R731" s="613">
        <v>2936</v>
      </c>
      <c r="S731" s="614"/>
      <c r="T731" s="614"/>
      <c r="U731" s="614"/>
      <c r="V731" s="614"/>
      <c r="W731" s="39"/>
      <c r="X731" s="39"/>
      <c r="Y731" s="39"/>
      <c r="Z731" s="39"/>
      <c r="AA731" s="39"/>
      <c r="AB731" s="39"/>
      <c r="AC731" s="39"/>
      <c r="AD731" s="39"/>
      <c r="AE731" s="39"/>
      <c r="AF731" s="39"/>
      <c r="AG731" s="39"/>
      <c r="AH731" s="39"/>
      <c r="AI731" s="39"/>
      <c r="AJ731" s="39"/>
      <c r="AK731" s="39"/>
      <c r="AL731" s="39"/>
    </row>
    <row r="732" spans="2:38" s="41" customFormat="1" ht="12.75" customHeight="1">
      <c r="B732" s="97"/>
      <c r="C732" s="75"/>
      <c r="D732" s="663"/>
      <c r="E732" s="615">
        <v>2103</v>
      </c>
      <c r="F732" s="616">
        <v>14</v>
      </c>
      <c r="G732" s="612"/>
      <c r="H732" s="98"/>
      <c r="I732" s="452"/>
      <c r="J732" s="39"/>
      <c r="K732" s="39"/>
      <c r="L732" s="39"/>
      <c r="M732" s="39"/>
      <c r="N732" s="39"/>
      <c r="O732" s="619">
        <f aca="true" t="shared" si="16" ref="O732:O747">F732</f>
        <v>14</v>
      </c>
      <c r="P732" s="613"/>
      <c r="Q732" s="613"/>
      <c r="R732" s="613">
        <v>14</v>
      </c>
      <c r="S732" s="614"/>
      <c r="T732" s="614"/>
      <c r="U732" s="614"/>
      <c r="V732" s="614"/>
      <c r="W732" s="39"/>
      <c r="X732" s="39"/>
      <c r="Y732" s="39"/>
      <c r="Z732" s="39"/>
      <c r="AA732" s="39"/>
      <c r="AB732" s="39"/>
      <c r="AC732" s="39"/>
      <c r="AD732" s="39"/>
      <c r="AE732" s="39"/>
      <c r="AF732" s="39"/>
      <c r="AG732" s="39"/>
      <c r="AH732" s="39"/>
      <c r="AI732" s="39"/>
      <c r="AJ732" s="39"/>
      <c r="AK732" s="39"/>
      <c r="AL732" s="39"/>
    </row>
    <row r="733" spans="2:38" s="41" customFormat="1" ht="12.75" customHeight="1">
      <c r="B733" s="97"/>
      <c r="C733" s="75"/>
      <c r="D733" s="663"/>
      <c r="E733" s="615">
        <v>2104</v>
      </c>
      <c r="F733" s="616">
        <v>0</v>
      </c>
      <c r="G733" s="612"/>
      <c r="H733" s="98"/>
      <c r="I733" s="452"/>
      <c r="J733" s="39"/>
      <c r="K733" s="39"/>
      <c r="L733" s="39"/>
      <c r="M733" s="39"/>
      <c r="N733" s="39"/>
      <c r="O733" s="619">
        <f t="shared" si="16"/>
        <v>0</v>
      </c>
      <c r="P733" s="613"/>
      <c r="Q733" s="613"/>
      <c r="R733" s="613">
        <v>0</v>
      </c>
      <c r="S733" s="614"/>
      <c r="T733" s="614"/>
      <c r="U733" s="614"/>
      <c r="V733" s="614"/>
      <c r="W733" s="39"/>
      <c r="X733" s="39"/>
      <c r="Y733" s="39"/>
      <c r="Z733" s="39"/>
      <c r="AA733" s="39"/>
      <c r="AB733" s="39"/>
      <c r="AC733" s="39"/>
      <c r="AD733" s="39"/>
      <c r="AE733" s="39"/>
      <c r="AF733" s="39"/>
      <c r="AG733" s="39"/>
      <c r="AH733" s="39"/>
      <c r="AI733" s="39"/>
      <c r="AJ733" s="39"/>
      <c r="AK733" s="39"/>
      <c r="AL733" s="39"/>
    </row>
    <row r="734" spans="2:38" s="41" customFormat="1" ht="12.75" customHeight="1">
      <c r="B734" s="97"/>
      <c r="C734" s="75"/>
      <c r="D734" s="663"/>
      <c r="E734" s="615">
        <v>2105</v>
      </c>
      <c r="F734" s="616">
        <v>10500</v>
      </c>
      <c r="G734" s="612"/>
      <c r="H734" s="98"/>
      <c r="I734" s="452"/>
      <c r="J734" s="39"/>
      <c r="K734" s="39"/>
      <c r="L734" s="39"/>
      <c r="M734" s="39"/>
      <c r="N734" s="39"/>
      <c r="O734" s="619">
        <f t="shared" si="16"/>
        <v>10500</v>
      </c>
      <c r="P734" s="613"/>
      <c r="Q734" s="613"/>
      <c r="R734" s="613">
        <v>10500</v>
      </c>
      <c r="S734" s="614"/>
      <c r="T734" s="614"/>
      <c r="U734" s="614"/>
      <c r="V734" s="614"/>
      <c r="W734" s="39"/>
      <c r="X734" s="39"/>
      <c r="Y734" s="39"/>
      <c r="Z734" s="39"/>
      <c r="AA734" s="39"/>
      <c r="AB734" s="39"/>
      <c r="AC734" s="39"/>
      <c r="AD734" s="39"/>
      <c r="AE734" s="39"/>
      <c r="AF734" s="39"/>
      <c r="AG734" s="39"/>
      <c r="AH734" s="39"/>
      <c r="AI734" s="39"/>
      <c r="AJ734" s="39"/>
      <c r="AK734" s="39"/>
      <c r="AL734" s="39"/>
    </row>
    <row r="735" spans="2:38" s="41" customFormat="1" ht="12.75" customHeight="1">
      <c r="B735" s="97"/>
      <c r="C735" s="75"/>
      <c r="D735" s="663"/>
      <c r="E735" s="615">
        <v>2201</v>
      </c>
      <c r="F735" s="616">
        <v>3800</v>
      </c>
      <c r="G735" s="612"/>
      <c r="H735" s="98"/>
      <c r="I735" s="452"/>
      <c r="J735" s="39"/>
      <c r="K735" s="39"/>
      <c r="L735" s="39"/>
      <c r="M735" s="39"/>
      <c r="N735" s="39"/>
      <c r="O735" s="619">
        <f t="shared" si="16"/>
        <v>3800</v>
      </c>
      <c r="P735" s="613"/>
      <c r="Q735" s="613"/>
      <c r="R735" s="613">
        <v>3800</v>
      </c>
      <c r="S735" s="614"/>
      <c r="T735" s="614"/>
      <c r="U735" s="614"/>
      <c r="V735" s="614"/>
      <c r="W735" s="39"/>
      <c r="X735" s="39"/>
      <c r="Y735" s="39"/>
      <c r="Z735" s="39"/>
      <c r="AA735" s="39"/>
      <c r="AB735" s="39"/>
      <c r="AC735" s="39"/>
      <c r="AD735" s="39"/>
      <c r="AE735" s="39"/>
      <c r="AF735" s="39"/>
      <c r="AG735" s="39"/>
      <c r="AH735" s="39"/>
      <c r="AI735" s="39"/>
      <c r="AJ735" s="39"/>
      <c r="AK735" s="39"/>
      <c r="AL735" s="39"/>
    </row>
    <row r="736" spans="2:38" s="41" customFormat="1" ht="12.75" customHeight="1">
      <c r="B736" s="97"/>
      <c r="C736" s="75"/>
      <c r="D736" s="663"/>
      <c r="E736" s="615">
        <v>2601</v>
      </c>
      <c r="F736" s="616">
        <v>20000</v>
      </c>
      <c r="G736" s="612"/>
      <c r="H736" s="98"/>
      <c r="I736" s="452"/>
      <c r="J736" s="39"/>
      <c r="K736" s="39"/>
      <c r="L736" s="39"/>
      <c r="M736" s="39"/>
      <c r="N736" s="39"/>
      <c r="O736" s="619">
        <f t="shared" si="16"/>
        <v>20000</v>
      </c>
      <c r="P736" s="613"/>
      <c r="Q736" s="613"/>
      <c r="R736" s="613">
        <v>20000</v>
      </c>
      <c r="S736" s="614"/>
      <c r="T736" s="614"/>
      <c r="U736" s="614"/>
      <c r="V736" s="614"/>
      <c r="W736" s="39"/>
      <c r="X736" s="39"/>
      <c r="Y736" s="39"/>
      <c r="Z736" s="39"/>
      <c r="AA736" s="39"/>
      <c r="AB736" s="39"/>
      <c r="AC736" s="39"/>
      <c r="AD736" s="39"/>
      <c r="AE736" s="39"/>
      <c r="AF736" s="39"/>
      <c r="AG736" s="39"/>
      <c r="AH736" s="39"/>
      <c r="AI736" s="39"/>
      <c r="AJ736" s="39"/>
      <c r="AK736" s="39"/>
      <c r="AL736" s="39"/>
    </row>
    <row r="737" spans="2:38" s="41" customFormat="1" ht="12.75" customHeight="1">
      <c r="B737" s="97"/>
      <c r="C737" s="75"/>
      <c r="D737" s="663"/>
      <c r="E737" s="627">
        <v>3000</v>
      </c>
      <c r="F737" s="628">
        <f>SUM(F738:F747)</f>
        <v>581992</v>
      </c>
      <c r="G737" s="612"/>
      <c r="H737" s="98"/>
      <c r="I737" s="452"/>
      <c r="J737" s="39"/>
      <c r="K737" s="39"/>
      <c r="L737" s="39"/>
      <c r="M737" s="39"/>
      <c r="N737" s="39"/>
      <c r="O737" s="619"/>
      <c r="P737" s="613"/>
      <c r="Q737" s="613"/>
      <c r="R737" s="613"/>
      <c r="S737" s="614"/>
      <c r="T737" s="614"/>
      <c r="U737" s="614"/>
      <c r="V737" s="614"/>
      <c r="W737" s="39"/>
      <c r="X737" s="39"/>
      <c r="Y737" s="39"/>
      <c r="Z737" s="39"/>
      <c r="AA737" s="39"/>
      <c r="AB737" s="39"/>
      <c r="AC737" s="39"/>
      <c r="AD737" s="39"/>
      <c r="AE737" s="39"/>
      <c r="AF737" s="39"/>
      <c r="AG737" s="39"/>
      <c r="AH737" s="39"/>
      <c r="AI737" s="39"/>
      <c r="AJ737" s="39"/>
      <c r="AK737" s="39"/>
      <c r="AL737" s="39"/>
    </row>
    <row r="738" spans="2:38" s="41" customFormat="1" ht="12.75" customHeight="1">
      <c r="B738" s="97"/>
      <c r="C738" s="75"/>
      <c r="D738" s="663"/>
      <c r="E738" s="615">
        <v>3301</v>
      </c>
      <c r="F738" s="616">
        <f>310000+86300</f>
        <v>396300</v>
      </c>
      <c r="G738" s="612"/>
      <c r="H738" s="98"/>
      <c r="I738" s="452"/>
      <c r="J738" s="39"/>
      <c r="K738" s="39"/>
      <c r="L738" s="39"/>
      <c r="M738" s="39"/>
      <c r="N738" s="39"/>
      <c r="O738" s="619">
        <f t="shared" si="16"/>
        <v>396300</v>
      </c>
      <c r="P738" s="613"/>
      <c r="Q738" s="613"/>
      <c r="R738" s="613">
        <v>396300</v>
      </c>
      <c r="S738" s="614"/>
      <c r="T738" s="614"/>
      <c r="U738" s="614"/>
      <c r="V738" s="614"/>
      <c r="W738" s="39"/>
      <c r="X738" s="39"/>
      <c r="Y738" s="39"/>
      <c r="Z738" s="39"/>
      <c r="AA738" s="39"/>
      <c r="AB738" s="39"/>
      <c r="AC738" s="39"/>
      <c r="AD738" s="39"/>
      <c r="AE738" s="39"/>
      <c r="AF738" s="39"/>
      <c r="AG738" s="39"/>
      <c r="AH738" s="39"/>
      <c r="AI738" s="39"/>
      <c r="AJ738" s="39"/>
      <c r="AK738" s="39"/>
      <c r="AL738" s="39"/>
    </row>
    <row r="739" spans="2:38" s="41" customFormat="1" ht="12.75" customHeight="1">
      <c r="B739" s="97"/>
      <c r="C739" s="75"/>
      <c r="D739" s="663"/>
      <c r="E739" s="615">
        <v>3401</v>
      </c>
      <c r="F739" s="616">
        <v>6992</v>
      </c>
      <c r="G739" s="612"/>
      <c r="H739" s="98"/>
      <c r="I739" s="452"/>
      <c r="J739" s="39"/>
      <c r="K739" s="39"/>
      <c r="L739" s="39"/>
      <c r="M739" s="39"/>
      <c r="N739" s="39"/>
      <c r="O739" s="619">
        <f t="shared" si="16"/>
        <v>6992</v>
      </c>
      <c r="P739" s="613"/>
      <c r="Q739" s="613"/>
      <c r="R739" s="613">
        <v>6992</v>
      </c>
      <c r="S739" s="614"/>
      <c r="T739" s="614"/>
      <c r="U739" s="614"/>
      <c r="V739" s="614"/>
      <c r="W739" s="39"/>
      <c r="X739" s="39"/>
      <c r="Y739" s="39"/>
      <c r="Z739" s="39"/>
      <c r="AA739" s="39"/>
      <c r="AB739" s="39"/>
      <c r="AC739" s="39"/>
      <c r="AD739" s="39"/>
      <c r="AE739" s="39"/>
      <c r="AF739" s="39"/>
      <c r="AG739" s="39"/>
      <c r="AH739" s="39"/>
      <c r="AI739" s="39"/>
      <c r="AJ739" s="39"/>
      <c r="AK739" s="39"/>
      <c r="AL739" s="39"/>
    </row>
    <row r="740" spans="2:38" s="41" customFormat="1" ht="12.75" customHeight="1">
      <c r="B740" s="97"/>
      <c r="C740" s="75"/>
      <c r="D740" s="663"/>
      <c r="E740" s="615">
        <v>3601</v>
      </c>
      <c r="F740" s="616">
        <v>14000</v>
      </c>
      <c r="G740" s="612"/>
      <c r="H740" s="98"/>
      <c r="I740" s="452"/>
      <c r="J740" s="39"/>
      <c r="K740" s="39"/>
      <c r="L740" s="39"/>
      <c r="M740" s="39"/>
      <c r="N740" s="39"/>
      <c r="O740" s="619">
        <f t="shared" si="16"/>
        <v>14000</v>
      </c>
      <c r="P740" s="613"/>
      <c r="Q740" s="613"/>
      <c r="R740" s="613">
        <v>14000</v>
      </c>
      <c r="S740" s="614"/>
      <c r="T740" s="614"/>
      <c r="U740" s="614"/>
      <c r="V740" s="614"/>
      <c r="W740" s="39"/>
      <c r="X740" s="39"/>
      <c r="Y740" s="39"/>
      <c r="Z740" s="39"/>
      <c r="AA740" s="39"/>
      <c r="AB740" s="39"/>
      <c r="AC740" s="39"/>
      <c r="AD740" s="39"/>
      <c r="AE740" s="39"/>
      <c r="AF740" s="39"/>
      <c r="AG740" s="39"/>
      <c r="AH740" s="39"/>
      <c r="AI740" s="39"/>
      <c r="AJ740" s="39"/>
      <c r="AK740" s="39"/>
      <c r="AL740" s="39"/>
    </row>
    <row r="741" spans="2:38" s="41" customFormat="1" ht="12.75" customHeight="1">
      <c r="B741" s="97"/>
      <c r="C741" s="75"/>
      <c r="D741" s="663"/>
      <c r="E741" s="615">
        <v>3604</v>
      </c>
      <c r="F741" s="616">
        <v>13200</v>
      </c>
      <c r="G741" s="612"/>
      <c r="H741" s="98"/>
      <c r="I741" s="452"/>
      <c r="J741" s="39"/>
      <c r="K741" s="39"/>
      <c r="L741" s="39"/>
      <c r="M741" s="39"/>
      <c r="N741" s="39"/>
      <c r="O741" s="619">
        <f t="shared" si="16"/>
        <v>13200</v>
      </c>
      <c r="P741" s="613"/>
      <c r="Q741" s="613"/>
      <c r="R741" s="613">
        <v>13200</v>
      </c>
      <c r="S741" s="614"/>
      <c r="T741" s="614"/>
      <c r="U741" s="614"/>
      <c r="V741" s="614"/>
      <c r="W741" s="39"/>
      <c r="X741" s="39"/>
      <c r="Y741" s="39"/>
      <c r="Z741" s="39"/>
      <c r="AA741" s="39"/>
      <c r="AB741" s="39"/>
      <c r="AC741" s="39"/>
      <c r="AD741" s="39"/>
      <c r="AE741" s="39"/>
      <c r="AF741" s="39"/>
      <c r="AG741" s="39"/>
      <c r="AH741" s="39"/>
      <c r="AI741" s="39"/>
      <c r="AJ741" s="39"/>
      <c r="AK741" s="39"/>
      <c r="AL741" s="39"/>
    </row>
    <row r="742" spans="2:38" s="41" customFormat="1" ht="12.75" customHeight="1">
      <c r="B742" s="97"/>
      <c r="C742" s="75"/>
      <c r="D742" s="663"/>
      <c r="E742" s="615">
        <v>3701</v>
      </c>
      <c r="F742" s="616">
        <v>48000</v>
      </c>
      <c r="G742" s="612"/>
      <c r="H742" s="98"/>
      <c r="I742" s="452"/>
      <c r="J742" s="39"/>
      <c r="K742" s="39"/>
      <c r="L742" s="39"/>
      <c r="M742" s="39"/>
      <c r="N742" s="39"/>
      <c r="O742" s="619">
        <f t="shared" si="16"/>
        <v>48000</v>
      </c>
      <c r="P742" s="613"/>
      <c r="Q742" s="613"/>
      <c r="R742" s="613">
        <v>48000</v>
      </c>
      <c r="S742" s="614"/>
      <c r="T742" s="614"/>
      <c r="U742" s="614"/>
      <c r="V742" s="614"/>
      <c r="W742" s="39"/>
      <c r="X742" s="39"/>
      <c r="Y742" s="39"/>
      <c r="Z742" s="39"/>
      <c r="AA742" s="39"/>
      <c r="AB742" s="39"/>
      <c r="AC742" s="39"/>
      <c r="AD742" s="39"/>
      <c r="AE742" s="39"/>
      <c r="AF742" s="39"/>
      <c r="AG742" s="39"/>
      <c r="AH742" s="39"/>
      <c r="AI742" s="39"/>
      <c r="AJ742" s="39"/>
      <c r="AK742" s="39"/>
      <c r="AL742" s="39"/>
    </row>
    <row r="743" spans="2:38" s="41" customFormat="1" ht="12.75" customHeight="1">
      <c r="B743" s="97"/>
      <c r="C743" s="75"/>
      <c r="D743" s="663"/>
      <c r="E743" s="615">
        <v>3702</v>
      </c>
      <c r="F743" s="616">
        <v>69000</v>
      </c>
      <c r="G743" s="612"/>
      <c r="H743" s="98"/>
      <c r="I743" s="452"/>
      <c r="J743" s="39"/>
      <c r="K743" s="39"/>
      <c r="L743" s="39"/>
      <c r="M743" s="39"/>
      <c r="N743" s="39"/>
      <c r="O743" s="619">
        <f t="shared" si="16"/>
        <v>69000</v>
      </c>
      <c r="P743" s="613"/>
      <c r="Q743" s="613"/>
      <c r="R743" s="613">
        <v>69000</v>
      </c>
      <c r="S743" s="614"/>
      <c r="T743" s="614"/>
      <c r="U743" s="614"/>
      <c r="V743" s="614"/>
      <c r="W743" s="39"/>
      <c r="X743" s="39"/>
      <c r="Y743" s="39"/>
      <c r="Z743" s="39"/>
      <c r="AA743" s="39"/>
      <c r="AB743" s="39"/>
      <c r="AC743" s="39"/>
      <c r="AD743" s="39"/>
      <c r="AE743" s="39"/>
      <c r="AF743" s="39"/>
      <c r="AG743" s="39"/>
      <c r="AH743" s="39"/>
      <c r="AI743" s="39"/>
      <c r="AJ743" s="39"/>
      <c r="AK743" s="39"/>
      <c r="AL743" s="39"/>
    </row>
    <row r="744" spans="2:38" s="41" customFormat="1" ht="12.75" customHeight="1">
      <c r="B744" s="97"/>
      <c r="C744" s="75"/>
      <c r="D744" s="663"/>
      <c r="E744" s="615">
        <v>3703</v>
      </c>
      <c r="F744" s="616">
        <v>6000</v>
      </c>
      <c r="G744" s="612"/>
      <c r="H744" s="98"/>
      <c r="I744" s="452"/>
      <c r="J744" s="39"/>
      <c r="K744" s="39"/>
      <c r="L744" s="39"/>
      <c r="M744" s="39"/>
      <c r="N744" s="39"/>
      <c r="O744" s="619">
        <f t="shared" si="16"/>
        <v>6000</v>
      </c>
      <c r="P744" s="613"/>
      <c r="Q744" s="613"/>
      <c r="R744" s="613">
        <v>6000</v>
      </c>
      <c r="S744" s="614"/>
      <c r="T744" s="614"/>
      <c r="U744" s="614"/>
      <c r="V744" s="614"/>
      <c r="W744" s="39"/>
      <c r="X744" s="39"/>
      <c r="Y744" s="39"/>
      <c r="Z744" s="39"/>
      <c r="AA744" s="39"/>
      <c r="AB744" s="39"/>
      <c r="AC744" s="39"/>
      <c r="AD744" s="39"/>
      <c r="AE744" s="39"/>
      <c r="AF744" s="39"/>
      <c r="AG744" s="39"/>
      <c r="AH744" s="39"/>
      <c r="AI744" s="39"/>
      <c r="AJ744" s="39"/>
      <c r="AK744" s="39"/>
      <c r="AL744" s="39"/>
    </row>
    <row r="745" spans="2:38" s="41" customFormat="1" ht="12.75" customHeight="1">
      <c r="B745" s="97"/>
      <c r="C745" s="75"/>
      <c r="D745" s="663"/>
      <c r="E745" s="615">
        <v>3801</v>
      </c>
      <c r="F745" s="616">
        <f>4000+8000</f>
        <v>12000</v>
      </c>
      <c r="G745" s="612"/>
      <c r="H745" s="98"/>
      <c r="I745" s="452"/>
      <c r="J745" s="39"/>
      <c r="K745" s="39"/>
      <c r="L745" s="39"/>
      <c r="M745" s="39"/>
      <c r="N745" s="39"/>
      <c r="O745" s="619">
        <f t="shared" si="16"/>
        <v>12000</v>
      </c>
      <c r="P745" s="613"/>
      <c r="Q745" s="613"/>
      <c r="R745" s="613">
        <v>12000</v>
      </c>
      <c r="S745" s="614"/>
      <c r="T745" s="614"/>
      <c r="U745" s="614"/>
      <c r="V745" s="614"/>
      <c r="W745" s="39"/>
      <c r="X745" s="39"/>
      <c r="Y745" s="39"/>
      <c r="Z745" s="39"/>
      <c r="AA745" s="39"/>
      <c r="AB745" s="39"/>
      <c r="AC745" s="39"/>
      <c r="AD745" s="39"/>
      <c r="AE745" s="39"/>
      <c r="AF745" s="39"/>
      <c r="AG745" s="39"/>
      <c r="AH745" s="39"/>
      <c r="AI745" s="39"/>
      <c r="AJ745" s="39"/>
      <c r="AK745" s="39"/>
      <c r="AL745" s="39"/>
    </row>
    <row r="746" spans="2:38" s="41" customFormat="1" ht="12.75" customHeight="1">
      <c r="B746" s="97"/>
      <c r="C746" s="75"/>
      <c r="D746" s="663"/>
      <c r="E746" s="615">
        <v>3802</v>
      </c>
      <c r="F746" s="616">
        <v>15000</v>
      </c>
      <c r="G746" s="612"/>
      <c r="H746" s="98"/>
      <c r="I746" s="452"/>
      <c r="J746" s="39"/>
      <c r="K746" s="39"/>
      <c r="L746" s="39"/>
      <c r="M746" s="39"/>
      <c r="N746" s="39"/>
      <c r="O746" s="619">
        <f t="shared" si="16"/>
        <v>15000</v>
      </c>
      <c r="P746" s="613"/>
      <c r="Q746" s="613"/>
      <c r="R746" s="613">
        <v>15000</v>
      </c>
      <c r="S746" s="614"/>
      <c r="T746" s="614"/>
      <c r="U746" s="614"/>
      <c r="V746" s="614"/>
      <c r="W746" s="39"/>
      <c r="X746" s="39"/>
      <c r="Y746" s="39"/>
      <c r="Z746" s="39"/>
      <c r="AA746" s="39"/>
      <c r="AB746" s="39"/>
      <c r="AC746" s="39"/>
      <c r="AD746" s="39"/>
      <c r="AE746" s="39"/>
      <c r="AF746" s="39"/>
      <c r="AG746" s="39"/>
      <c r="AH746" s="39"/>
      <c r="AI746" s="39"/>
      <c r="AJ746" s="39"/>
      <c r="AK746" s="39"/>
      <c r="AL746" s="39"/>
    </row>
    <row r="747" spans="2:38" s="41" customFormat="1" ht="12.75" customHeight="1">
      <c r="B747" s="97"/>
      <c r="C747" s="75"/>
      <c r="D747" s="663"/>
      <c r="E747" s="615">
        <v>3907</v>
      </c>
      <c r="F747" s="616">
        <v>1500</v>
      </c>
      <c r="G747" s="612"/>
      <c r="H747" s="98"/>
      <c r="I747" s="452"/>
      <c r="J747" s="39"/>
      <c r="K747" s="39"/>
      <c r="L747" s="39"/>
      <c r="M747" s="39"/>
      <c r="N747" s="39"/>
      <c r="O747" s="619">
        <f t="shared" si="16"/>
        <v>1500</v>
      </c>
      <c r="P747" s="613"/>
      <c r="Q747" s="613"/>
      <c r="R747" s="613">
        <v>1500</v>
      </c>
      <c r="S747" s="614"/>
      <c r="T747" s="614"/>
      <c r="U747" s="614"/>
      <c r="V747" s="614"/>
      <c r="W747" s="39"/>
      <c r="X747" s="39"/>
      <c r="Y747" s="39"/>
      <c r="Z747" s="39"/>
      <c r="AA747" s="39"/>
      <c r="AB747" s="39"/>
      <c r="AC747" s="39"/>
      <c r="AD747" s="39"/>
      <c r="AE747" s="39"/>
      <c r="AF747" s="39"/>
      <c r="AG747" s="39"/>
      <c r="AH747" s="39"/>
      <c r="AI747" s="39"/>
      <c r="AJ747" s="39"/>
      <c r="AK747" s="39"/>
      <c r="AL747" s="39"/>
    </row>
    <row r="748" spans="1:38" s="41" customFormat="1" ht="25.5">
      <c r="A748" s="41">
        <v>24</v>
      </c>
      <c r="B748" s="97">
        <v>82</v>
      </c>
      <c r="C748" s="178" t="s">
        <v>368</v>
      </c>
      <c r="D748" s="663">
        <f>+F748+F751</f>
        <v>25256</v>
      </c>
      <c r="E748" s="627">
        <v>2000</v>
      </c>
      <c r="F748" s="628">
        <f>SUM(F749:F750)</f>
        <v>2436</v>
      </c>
      <c r="G748" s="612"/>
      <c r="H748" s="98"/>
      <c r="I748" s="452"/>
      <c r="J748" s="39"/>
      <c r="K748" s="39"/>
      <c r="L748" s="39"/>
      <c r="M748" s="39"/>
      <c r="N748" s="39"/>
      <c r="O748" s="613"/>
      <c r="P748" s="613"/>
      <c r="Q748" s="613"/>
      <c r="R748" s="613"/>
      <c r="S748" s="614"/>
      <c r="T748" s="614"/>
      <c r="U748" s="614"/>
      <c r="V748" s="614"/>
      <c r="W748" s="39"/>
      <c r="X748" s="39"/>
      <c r="Y748" s="39"/>
      <c r="Z748" s="39"/>
      <c r="AA748" s="39"/>
      <c r="AB748" s="39"/>
      <c r="AC748" s="39"/>
      <c r="AD748" s="39"/>
      <c r="AE748" s="39"/>
      <c r="AF748" s="39"/>
      <c r="AG748" s="39"/>
      <c r="AH748" s="39"/>
      <c r="AI748" s="39"/>
      <c r="AJ748" s="39"/>
      <c r="AK748" s="39"/>
      <c r="AL748" s="39"/>
    </row>
    <row r="749" spans="2:38" s="41" customFormat="1" ht="12.75">
      <c r="B749" s="97"/>
      <c r="C749" s="75"/>
      <c r="D749" s="663"/>
      <c r="E749" s="598">
        <v>2101</v>
      </c>
      <c r="F749" s="629">
        <v>1536</v>
      </c>
      <c r="G749" s="612"/>
      <c r="H749" s="98"/>
      <c r="I749" s="452"/>
      <c r="J749" s="39"/>
      <c r="K749" s="39"/>
      <c r="L749" s="39"/>
      <c r="M749" s="39"/>
      <c r="N749" s="39"/>
      <c r="O749" s="623">
        <f>F749*0.1</f>
        <v>153.60000000000002</v>
      </c>
      <c r="P749" s="623">
        <f>F749*0.9</f>
        <v>1382.4</v>
      </c>
      <c r="Q749" s="613"/>
      <c r="R749" s="613">
        <v>1536</v>
      </c>
      <c r="S749" s="614">
        <v>13824</v>
      </c>
      <c r="T749" s="614"/>
      <c r="U749" s="614"/>
      <c r="V749" s="614"/>
      <c r="W749" s="39"/>
      <c r="X749" s="39"/>
      <c r="Y749" s="39"/>
      <c r="Z749" s="39"/>
      <c r="AA749" s="39"/>
      <c r="AB749" s="39"/>
      <c r="AC749" s="39"/>
      <c r="AD749" s="39"/>
      <c r="AE749" s="39"/>
      <c r="AF749" s="39"/>
      <c r="AG749" s="39"/>
      <c r="AH749" s="39"/>
      <c r="AI749" s="39"/>
      <c r="AJ749" s="39"/>
      <c r="AK749" s="39"/>
      <c r="AL749" s="39"/>
    </row>
    <row r="750" spans="2:38" s="41" customFormat="1" ht="12.75">
      <c r="B750" s="97"/>
      <c r="C750" s="75"/>
      <c r="D750" s="663"/>
      <c r="E750" s="598">
        <v>2201</v>
      </c>
      <c r="F750" s="629">
        <v>900</v>
      </c>
      <c r="G750" s="612"/>
      <c r="H750" s="98"/>
      <c r="I750" s="452"/>
      <c r="J750" s="39"/>
      <c r="K750" s="39"/>
      <c r="L750" s="39"/>
      <c r="M750" s="39"/>
      <c r="N750" s="39"/>
      <c r="O750" s="623">
        <f aca="true" t="shared" si="17" ref="O750:O813">F750*0.1</f>
        <v>90</v>
      </c>
      <c r="P750" s="623">
        <f aca="true" t="shared" si="18" ref="P750:P813">F750*0.9</f>
        <v>810</v>
      </c>
      <c r="Q750" s="613"/>
      <c r="R750" s="613">
        <v>900</v>
      </c>
      <c r="S750" s="614">
        <v>8100</v>
      </c>
      <c r="T750" s="614"/>
      <c r="U750" s="614"/>
      <c r="V750" s="614"/>
      <c r="W750" s="39"/>
      <c r="X750" s="39"/>
      <c r="Y750" s="39"/>
      <c r="Z750" s="39"/>
      <c r="AA750" s="39"/>
      <c r="AB750" s="39"/>
      <c r="AC750" s="39"/>
      <c r="AD750" s="39"/>
      <c r="AE750" s="39"/>
      <c r="AF750" s="39"/>
      <c r="AG750" s="39"/>
      <c r="AH750" s="39"/>
      <c r="AI750" s="39"/>
      <c r="AJ750" s="39"/>
      <c r="AK750" s="39"/>
      <c r="AL750" s="39"/>
    </row>
    <row r="751" spans="2:38" s="41" customFormat="1" ht="12.75">
      <c r="B751" s="97"/>
      <c r="C751" s="75"/>
      <c r="D751" s="663"/>
      <c r="E751" s="627">
        <v>3000</v>
      </c>
      <c r="F751" s="628">
        <f>SUM(F752:F754)</f>
        <v>22820</v>
      </c>
      <c r="G751" s="612"/>
      <c r="H751" s="98"/>
      <c r="I751" s="452"/>
      <c r="J751" s="39"/>
      <c r="K751" s="39"/>
      <c r="L751" s="39"/>
      <c r="M751" s="39"/>
      <c r="N751" s="39"/>
      <c r="O751" s="623"/>
      <c r="P751" s="623"/>
      <c r="Q751" s="613"/>
      <c r="R751" s="613"/>
      <c r="S751" s="614"/>
      <c r="T751" s="614"/>
      <c r="U751" s="614"/>
      <c r="V751" s="614"/>
      <c r="W751" s="39"/>
      <c r="X751" s="39"/>
      <c r="Y751" s="39"/>
      <c r="Z751" s="39"/>
      <c r="AA751" s="39"/>
      <c r="AB751" s="39"/>
      <c r="AC751" s="39"/>
      <c r="AD751" s="39"/>
      <c r="AE751" s="39"/>
      <c r="AF751" s="39"/>
      <c r="AG751" s="39"/>
      <c r="AH751" s="39"/>
      <c r="AI751" s="39"/>
      <c r="AJ751" s="39"/>
      <c r="AK751" s="39"/>
      <c r="AL751" s="39"/>
    </row>
    <row r="752" spans="2:38" s="41" customFormat="1" ht="12.75">
      <c r="B752" s="97"/>
      <c r="C752" s="75"/>
      <c r="D752" s="663"/>
      <c r="E752" s="598">
        <v>3601</v>
      </c>
      <c r="F752" s="629">
        <v>5400</v>
      </c>
      <c r="G752" s="612"/>
      <c r="H752" s="98"/>
      <c r="I752" s="452"/>
      <c r="J752" s="39"/>
      <c r="K752" s="39"/>
      <c r="L752" s="39"/>
      <c r="M752" s="39"/>
      <c r="N752" s="39"/>
      <c r="O752" s="623">
        <f t="shared" si="17"/>
        <v>540</v>
      </c>
      <c r="P752" s="623">
        <f t="shared" si="18"/>
        <v>4860</v>
      </c>
      <c r="Q752" s="613"/>
      <c r="R752" s="613">
        <v>5400</v>
      </c>
      <c r="S752" s="614">
        <v>48600</v>
      </c>
      <c r="T752" s="614"/>
      <c r="U752" s="614"/>
      <c r="V752" s="614"/>
      <c r="W752" s="39"/>
      <c r="X752" s="39"/>
      <c r="Y752" s="39"/>
      <c r="Z752" s="39"/>
      <c r="AA752" s="39"/>
      <c r="AB752" s="39"/>
      <c r="AC752" s="39"/>
      <c r="AD752" s="39"/>
      <c r="AE752" s="39"/>
      <c r="AF752" s="39"/>
      <c r="AG752" s="39"/>
      <c r="AH752" s="39"/>
      <c r="AI752" s="39"/>
      <c r="AJ752" s="39"/>
      <c r="AK752" s="39"/>
      <c r="AL752" s="39"/>
    </row>
    <row r="753" spans="2:38" s="41" customFormat="1" ht="12.75">
      <c r="B753" s="97"/>
      <c r="C753" s="75"/>
      <c r="D753" s="663"/>
      <c r="E753" s="598">
        <v>3701</v>
      </c>
      <c r="F753" s="629">
        <v>5380</v>
      </c>
      <c r="G753" s="612"/>
      <c r="H753" s="98"/>
      <c r="I753" s="452"/>
      <c r="J753" s="39"/>
      <c r="K753" s="39"/>
      <c r="L753" s="39"/>
      <c r="M753" s="39"/>
      <c r="N753" s="39"/>
      <c r="O753" s="623">
        <f t="shared" si="17"/>
        <v>538</v>
      </c>
      <c r="P753" s="623">
        <f t="shared" si="18"/>
        <v>4842</v>
      </c>
      <c r="Q753" s="613"/>
      <c r="R753" s="613">
        <v>5380</v>
      </c>
      <c r="S753" s="614">
        <v>48420</v>
      </c>
      <c r="T753" s="614"/>
      <c r="U753" s="614"/>
      <c r="V753" s="614"/>
      <c r="W753" s="39"/>
      <c r="X753" s="39"/>
      <c r="Y753" s="39"/>
      <c r="Z753" s="39"/>
      <c r="AA753" s="39"/>
      <c r="AB753" s="39"/>
      <c r="AC753" s="39"/>
      <c r="AD753" s="39"/>
      <c r="AE753" s="39"/>
      <c r="AF753" s="39"/>
      <c r="AG753" s="39"/>
      <c r="AH753" s="39"/>
      <c r="AI753" s="39"/>
      <c r="AJ753" s="39"/>
      <c r="AK753" s="39"/>
      <c r="AL753" s="39"/>
    </row>
    <row r="754" spans="2:38" s="41" customFormat="1" ht="12.75">
      <c r="B754" s="97"/>
      <c r="C754" s="76"/>
      <c r="D754" s="663"/>
      <c r="E754" s="598">
        <v>3702</v>
      </c>
      <c r="F754" s="629">
        <v>12040</v>
      </c>
      <c r="G754" s="612"/>
      <c r="H754" s="98"/>
      <c r="I754" s="452"/>
      <c r="J754" s="39"/>
      <c r="K754" s="39"/>
      <c r="L754" s="39"/>
      <c r="M754" s="39"/>
      <c r="N754" s="39"/>
      <c r="O754" s="623">
        <f t="shared" si="17"/>
        <v>1204</v>
      </c>
      <c r="P754" s="623">
        <f t="shared" si="18"/>
        <v>10836</v>
      </c>
      <c r="Q754" s="613"/>
      <c r="R754" s="613">
        <v>12040</v>
      </c>
      <c r="S754" s="614">
        <v>108360</v>
      </c>
      <c r="T754" s="614"/>
      <c r="U754" s="614"/>
      <c r="V754" s="614"/>
      <c r="W754" s="39"/>
      <c r="X754" s="39"/>
      <c r="Y754" s="39"/>
      <c r="Z754" s="39"/>
      <c r="AA754" s="39"/>
      <c r="AB754" s="39"/>
      <c r="AC754" s="39"/>
      <c r="AD754" s="39"/>
      <c r="AE754" s="39"/>
      <c r="AF754" s="39"/>
      <c r="AG754" s="39"/>
      <c r="AH754" s="39"/>
      <c r="AI754" s="39"/>
      <c r="AJ754" s="39"/>
      <c r="AK754" s="39"/>
      <c r="AL754" s="39"/>
    </row>
    <row r="755" spans="1:38" s="41" customFormat="1" ht="26.25" customHeight="1">
      <c r="A755" s="41">
        <v>25</v>
      </c>
      <c r="B755" s="97">
        <v>83</v>
      </c>
      <c r="C755" s="178" t="s">
        <v>370</v>
      </c>
      <c r="D755" s="663">
        <f>+F755+F758</f>
        <v>205093</v>
      </c>
      <c r="E755" s="627">
        <v>2000</v>
      </c>
      <c r="F755" s="628">
        <f>SUM(F756:F757)</f>
        <v>8608</v>
      </c>
      <c r="G755" s="173"/>
      <c r="H755" s="98"/>
      <c r="I755" s="452"/>
      <c r="J755" s="39"/>
      <c r="K755" s="39"/>
      <c r="L755" s="39"/>
      <c r="M755" s="39"/>
      <c r="N755" s="39"/>
      <c r="O755" s="623"/>
      <c r="P755" s="623"/>
      <c r="Q755" s="613"/>
      <c r="R755" s="613"/>
      <c r="S755" s="614"/>
      <c r="T755" s="614"/>
      <c r="U755" s="614"/>
      <c r="V755" s="614"/>
      <c r="W755" s="39"/>
      <c r="X755" s="39"/>
      <c r="Y755" s="39"/>
      <c r="Z755" s="39"/>
      <c r="AA755" s="39"/>
      <c r="AB755" s="39"/>
      <c r="AC755" s="39"/>
      <c r="AD755" s="39"/>
      <c r="AE755" s="39"/>
      <c r="AF755" s="39"/>
      <c r="AG755" s="39"/>
      <c r="AH755" s="39"/>
      <c r="AI755" s="39"/>
      <c r="AJ755" s="39"/>
      <c r="AK755" s="39"/>
      <c r="AL755" s="39"/>
    </row>
    <row r="756" spans="2:38" s="41" customFormat="1" ht="12.75">
      <c r="B756" s="97"/>
      <c r="C756" s="75"/>
      <c r="D756" s="663"/>
      <c r="E756" s="598">
        <v>2104</v>
      </c>
      <c r="F756" s="629">
        <v>760</v>
      </c>
      <c r="G756" s="173"/>
      <c r="H756" s="98"/>
      <c r="I756" s="452"/>
      <c r="J756" s="39"/>
      <c r="K756" s="39"/>
      <c r="L756" s="39"/>
      <c r="M756" s="39"/>
      <c r="N756" s="39"/>
      <c r="O756" s="623">
        <f t="shared" si="17"/>
        <v>76</v>
      </c>
      <c r="P756" s="623">
        <f t="shared" si="18"/>
        <v>684</v>
      </c>
      <c r="Q756" s="613"/>
      <c r="R756" s="613">
        <v>760</v>
      </c>
      <c r="S756" s="614">
        <v>6840</v>
      </c>
      <c r="T756" s="614"/>
      <c r="U756" s="614"/>
      <c r="V756" s="614"/>
      <c r="W756" s="39"/>
      <c r="X756" s="39"/>
      <c r="Y756" s="39"/>
      <c r="Z756" s="39"/>
      <c r="AA756" s="39"/>
      <c r="AB756" s="39"/>
      <c r="AC756" s="39"/>
      <c r="AD756" s="39"/>
      <c r="AE756" s="39"/>
      <c r="AF756" s="39"/>
      <c r="AG756" s="39"/>
      <c r="AH756" s="39"/>
      <c r="AI756" s="39"/>
      <c r="AJ756" s="39"/>
      <c r="AK756" s="39"/>
      <c r="AL756" s="39"/>
    </row>
    <row r="757" spans="2:38" s="41" customFormat="1" ht="12.75">
      <c r="B757" s="97"/>
      <c r="C757" s="75"/>
      <c r="D757" s="663"/>
      <c r="E757" s="598">
        <v>2201</v>
      </c>
      <c r="F757" s="629">
        <v>7848</v>
      </c>
      <c r="G757" s="173"/>
      <c r="H757" s="98"/>
      <c r="I757" s="452"/>
      <c r="J757" s="39"/>
      <c r="K757" s="39"/>
      <c r="L757" s="39"/>
      <c r="M757" s="39"/>
      <c r="N757" s="39"/>
      <c r="O757" s="623">
        <f t="shared" si="17"/>
        <v>784.8000000000001</v>
      </c>
      <c r="P757" s="623">
        <f t="shared" si="18"/>
        <v>7063.2</v>
      </c>
      <c r="Q757" s="613"/>
      <c r="R757" s="613">
        <v>7848</v>
      </c>
      <c r="S757" s="614">
        <v>70632</v>
      </c>
      <c r="T757" s="614"/>
      <c r="U757" s="614"/>
      <c r="V757" s="614"/>
      <c r="W757" s="39"/>
      <c r="X757" s="39"/>
      <c r="Y757" s="39"/>
      <c r="Z757" s="39"/>
      <c r="AA757" s="39"/>
      <c r="AB757" s="39"/>
      <c r="AC757" s="39"/>
      <c r="AD757" s="39"/>
      <c r="AE757" s="39"/>
      <c r="AF757" s="39"/>
      <c r="AG757" s="39"/>
      <c r="AH757" s="39"/>
      <c r="AI757" s="39"/>
      <c r="AJ757" s="39"/>
      <c r="AK757" s="39"/>
      <c r="AL757" s="39"/>
    </row>
    <row r="758" spans="2:38" s="41" customFormat="1" ht="12.75">
      <c r="B758" s="97"/>
      <c r="C758" s="75"/>
      <c r="D758" s="663"/>
      <c r="E758" s="627">
        <v>3000</v>
      </c>
      <c r="F758" s="628">
        <f>SUM(F759:F763)</f>
        <v>196485</v>
      </c>
      <c r="G758" s="173"/>
      <c r="H758" s="98"/>
      <c r="I758" s="452"/>
      <c r="J758" s="39"/>
      <c r="K758" s="39"/>
      <c r="L758" s="39"/>
      <c r="M758" s="39"/>
      <c r="N758" s="39"/>
      <c r="O758" s="623"/>
      <c r="P758" s="623"/>
      <c r="Q758" s="613"/>
      <c r="R758" s="613"/>
      <c r="S758" s="614"/>
      <c r="T758" s="614"/>
      <c r="U758" s="614"/>
      <c r="V758" s="614"/>
      <c r="W758" s="39"/>
      <c r="X758" s="39"/>
      <c r="Y758" s="39"/>
      <c r="Z758" s="39"/>
      <c r="AA758" s="39"/>
      <c r="AB758" s="39"/>
      <c r="AC758" s="39"/>
      <c r="AD758" s="39"/>
      <c r="AE758" s="39"/>
      <c r="AF758" s="39"/>
      <c r="AG758" s="39"/>
      <c r="AH758" s="39"/>
      <c r="AI758" s="39"/>
      <c r="AJ758" s="39"/>
      <c r="AK758" s="39"/>
      <c r="AL758" s="39"/>
    </row>
    <row r="759" spans="2:38" s="41" customFormat="1" ht="12.75">
      <c r="B759" s="97"/>
      <c r="C759" s="75"/>
      <c r="D759" s="663"/>
      <c r="E759" s="598">
        <v>3601</v>
      </c>
      <c r="F759" s="629">
        <v>2400</v>
      </c>
      <c r="G759" s="173"/>
      <c r="H759" s="98"/>
      <c r="I759" s="452"/>
      <c r="J759" s="39"/>
      <c r="K759" s="39"/>
      <c r="L759" s="39"/>
      <c r="M759" s="39"/>
      <c r="N759" s="39"/>
      <c r="O759" s="623">
        <f t="shared" si="17"/>
        <v>240</v>
      </c>
      <c r="P759" s="623">
        <f t="shared" si="18"/>
        <v>2160</v>
      </c>
      <c r="Q759" s="613"/>
      <c r="R759" s="613">
        <v>2400</v>
      </c>
      <c r="S759" s="614">
        <v>21600</v>
      </c>
      <c r="T759" s="614"/>
      <c r="U759" s="614"/>
      <c r="V759" s="614"/>
      <c r="W759" s="39"/>
      <c r="X759" s="39"/>
      <c r="Y759" s="39"/>
      <c r="Z759" s="39"/>
      <c r="AA759" s="39"/>
      <c r="AB759" s="39"/>
      <c r="AC759" s="39"/>
      <c r="AD759" s="39"/>
      <c r="AE759" s="39"/>
      <c r="AF759" s="39"/>
      <c r="AG759" s="39"/>
      <c r="AH759" s="39"/>
      <c r="AI759" s="39"/>
      <c r="AJ759" s="39"/>
      <c r="AK759" s="39"/>
      <c r="AL759" s="39"/>
    </row>
    <row r="760" spans="2:38" s="41" customFormat="1" ht="12.75">
      <c r="B760" s="97"/>
      <c r="C760" s="75"/>
      <c r="D760" s="663"/>
      <c r="E760" s="598">
        <v>3702</v>
      </c>
      <c r="F760" s="629">
        <v>95500</v>
      </c>
      <c r="G760" s="173"/>
      <c r="H760" s="98"/>
      <c r="I760" s="452"/>
      <c r="J760" s="39"/>
      <c r="K760" s="39"/>
      <c r="L760" s="39"/>
      <c r="M760" s="39"/>
      <c r="N760" s="39"/>
      <c r="O760" s="623">
        <f t="shared" si="17"/>
        <v>9550</v>
      </c>
      <c r="P760" s="623">
        <f t="shared" si="18"/>
        <v>85950</v>
      </c>
      <c r="Q760" s="613"/>
      <c r="R760" s="613">
        <v>95500</v>
      </c>
      <c r="S760" s="614">
        <v>859500</v>
      </c>
      <c r="T760" s="614"/>
      <c r="U760" s="614"/>
      <c r="V760" s="614"/>
      <c r="W760" s="39"/>
      <c r="X760" s="39"/>
      <c r="Y760" s="39"/>
      <c r="Z760" s="39"/>
      <c r="AA760" s="39"/>
      <c r="AB760" s="39"/>
      <c r="AC760" s="39"/>
      <c r="AD760" s="39"/>
      <c r="AE760" s="39"/>
      <c r="AF760" s="39"/>
      <c r="AG760" s="39"/>
      <c r="AH760" s="39"/>
      <c r="AI760" s="39"/>
      <c r="AJ760" s="39"/>
      <c r="AK760" s="39"/>
      <c r="AL760" s="39"/>
    </row>
    <row r="761" spans="2:38" s="41" customFormat="1" ht="12.75">
      <c r="B761" s="97"/>
      <c r="C761" s="75"/>
      <c r="D761" s="663"/>
      <c r="E761" s="598">
        <v>3701</v>
      </c>
      <c r="F761" s="629">
        <v>69650</v>
      </c>
      <c r="G761" s="173"/>
      <c r="H761" s="98"/>
      <c r="I761" s="452"/>
      <c r="J761" s="39"/>
      <c r="K761" s="39"/>
      <c r="L761" s="39"/>
      <c r="M761" s="39"/>
      <c r="N761" s="39"/>
      <c r="O761" s="623">
        <f t="shared" si="17"/>
        <v>6965</v>
      </c>
      <c r="P761" s="623">
        <f t="shared" si="18"/>
        <v>62685</v>
      </c>
      <c r="Q761" s="613"/>
      <c r="R761" s="613">
        <v>69650</v>
      </c>
      <c r="S761" s="614">
        <v>626850</v>
      </c>
      <c r="T761" s="614"/>
      <c r="U761" s="614"/>
      <c r="V761" s="614"/>
      <c r="W761" s="39"/>
      <c r="X761" s="39"/>
      <c r="Y761" s="39"/>
      <c r="Z761" s="39"/>
      <c r="AA761" s="39"/>
      <c r="AB761" s="39"/>
      <c r="AC761" s="39"/>
      <c r="AD761" s="39"/>
      <c r="AE761" s="39"/>
      <c r="AF761" s="39"/>
      <c r="AG761" s="39"/>
      <c r="AH761" s="39"/>
      <c r="AI761" s="39"/>
      <c r="AJ761" s="39"/>
      <c r="AK761" s="39"/>
      <c r="AL761" s="39"/>
    </row>
    <row r="762" spans="2:38" s="41" customFormat="1" ht="12.75">
      <c r="B762" s="97"/>
      <c r="C762" s="75"/>
      <c r="D762" s="663"/>
      <c r="E762" s="598">
        <v>3907</v>
      </c>
      <c r="F762" s="629">
        <v>28335</v>
      </c>
      <c r="G762" s="173"/>
      <c r="H762" s="98"/>
      <c r="I762" s="452"/>
      <c r="J762" s="39"/>
      <c r="K762" s="39"/>
      <c r="L762" s="39"/>
      <c r="M762" s="39"/>
      <c r="N762" s="39"/>
      <c r="O762" s="623">
        <f t="shared" si="17"/>
        <v>2833.5</v>
      </c>
      <c r="P762" s="623">
        <f t="shared" si="18"/>
        <v>25501.5</v>
      </c>
      <c r="Q762" s="613"/>
      <c r="R762" s="613">
        <v>28335</v>
      </c>
      <c r="S762" s="614">
        <v>255015</v>
      </c>
      <c r="T762" s="614"/>
      <c r="U762" s="614"/>
      <c r="V762" s="614"/>
      <c r="W762" s="39"/>
      <c r="X762" s="39"/>
      <c r="Y762" s="39"/>
      <c r="Z762" s="39"/>
      <c r="AA762" s="39"/>
      <c r="AB762" s="39"/>
      <c r="AC762" s="39"/>
      <c r="AD762" s="39"/>
      <c r="AE762" s="39"/>
      <c r="AF762" s="39"/>
      <c r="AG762" s="39"/>
      <c r="AH762" s="39"/>
      <c r="AI762" s="39"/>
      <c r="AJ762" s="39"/>
      <c r="AK762" s="39"/>
      <c r="AL762" s="39"/>
    </row>
    <row r="763" spans="2:38" s="41" customFormat="1" ht="12.75">
      <c r="B763" s="97"/>
      <c r="C763" s="76"/>
      <c r="D763" s="663"/>
      <c r="E763" s="598">
        <v>3205</v>
      </c>
      <c r="F763" s="629">
        <v>600</v>
      </c>
      <c r="G763" s="173"/>
      <c r="H763" s="98"/>
      <c r="I763" s="452"/>
      <c r="J763" s="39"/>
      <c r="K763" s="39"/>
      <c r="L763" s="39"/>
      <c r="M763" s="39"/>
      <c r="N763" s="39"/>
      <c r="O763" s="623">
        <f t="shared" si="17"/>
        <v>60</v>
      </c>
      <c r="P763" s="623">
        <f t="shared" si="18"/>
        <v>540</v>
      </c>
      <c r="Q763" s="613"/>
      <c r="R763" s="613">
        <v>600</v>
      </c>
      <c r="S763" s="614">
        <v>5400</v>
      </c>
      <c r="T763" s="614"/>
      <c r="U763" s="614"/>
      <c r="V763" s="614"/>
      <c r="W763" s="39"/>
      <c r="X763" s="39"/>
      <c r="Y763" s="39"/>
      <c r="Z763" s="39"/>
      <c r="AA763" s="39"/>
      <c r="AB763" s="39"/>
      <c r="AC763" s="39"/>
      <c r="AD763" s="39"/>
      <c r="AE763" s="39"/>
      <c r="AF763" s="39"/>
      <c r="AG763" s="39"/>
      <c r="AH763" s="39"/>
      <c r="AI763" s="39"/>
      <c r="AJ763" s="39"/>
      <c r="AK763" s="39"/>
      <c r="AL763" s="39"/>
    </row>
    <row r="764" spans="1:38" s="41" customFormat="1" ht="36.75" customHeight="1">
      <c r="A764" s="41">
        <v>26</v>
      </c>
      <c r="B764" s="97">
        <v>84</v>
      </c>
      <c r="C764" s="178" t="s">
        <v>372</v>
      </c>
      <c r="D764" s="663">
        <f>+F764+F767</f>
        <v>8198.3</v>
      </c>
      <c r="E764" s="610">
        <v>2000</v>
      </c>
      <c r="F764" s="611">
        <f>SUM(F765:F766)</f>
        <v>1754.3000000000002</v>
      </c>
      <c r="G764" s="612"/>
      <c r="H764" s="98"/>
      <c r="I764" s="452"/>
      <c r="J764" s="39"/>
      <c r="K764" s="39"/>
      <c r="L764" s="39"/>
      <c r="M764" s="39"/>
      <c r="N764" s="39"/>
      <c r="O764" s="623"/>
      <c r="P764" s="623"/>
      <c r="Q764" s="613"/>
      <c r="R764" s="613"/>
      <c r="S764" s="614"/>
      <c r="T764" s="614"/>
      <c r="U764" s="614"/>
      <c r="V764" s="614"/>
      <c r="W764" s="39"/>
      <c r="X764" s="39"/>
      <c r="Y764" s="39"/>
      <c r="Z764" s="39"/>
      <c r="AA764" s="39"/>
      <c r="AB764" s="39"/>
      <c r="AC764" s="39"/>
      <c r="AD764" s="39"/>
      <c r="AE764" s="39"/>
      <c r="AF764" s="39"/>
      <c r="AG764" s="39"/>
      <c r="AH764" s="39"/>
      <c r="AI764" s="39"/>
      <c r="AJ764" s="39"/>
      <c r="AK764" s="39"/>
      <c r="AL764" s="39"/>
    </row>
    <row r="765" spans="2:38" s="41" customFormat="1" ht="12.75" customHeight="1">
      <c r="B765" s="97"/>
      <c r="C765" s="75"/>
      <c r="D765" s="663"/>
      <c r="E765" s="615">
        <v>2101</v>
      </c>
      <c r="F765" s="629">
        <v>1554.3000000000002</v>
      </c>
      <c r="G765" s="612"/>
      <c r="H765" s="98"/>
      <c r="I765" s="452"/>
      <c r="J765" s="39"/>
      <c r="K765" s="39"/>
      <c r="L765" s="39"/>
      <c r="M765" s="39"/>
      <c r="N765" s="39"/>
      <c r="O765" s="623">
        <f t="shared" si="17"/>
        <v>155.43000000000004</v>
      </c>
      <c r="P765" s="623">
        <f t="shared" si="18"/>
        <v>1398.8700000000001</v>
      </c>
      <c r="Q765" s="613"/>
      <c r="R765" s="613">
        <v>1554.3000000000002</v>
      </c>
      <c r="S765" s="614">
        <v>13988.7</v>
      </c>
      <c r="T765" s="614"/>
      <c r="U765" s="614"/>
      <c r="V765" s="614"/>
      <c r="W765" s="39"/>
      <c r="X765" s="39"/>
      <c r="Y765" s="39"/>
      <c r="Z765" s="39"/>
      <c r="AA765" s="39"/>
      <c r="AB765" s="39"/>
      <c r="AC765" s="39"/>
      <c r="AD765" s="39"/>
      <c r="AE765" s="39"/>
      <c r="AF765" s="39"/>
      <c r="AG765" s="39"/>
      <c r="AH765" s="39"/>
      <c r="AI765" s="39"/>
      <c r="AJ765" s="39"/>
      <c r="AK765" s="39"/>
      <c r="AL765" s="39"/>
    </row>
    <row r="766" spans="2:38" s="41" customFormat="1" ht="12.75">
      <c r="B766" s="97"/>
      <c r="C766" s="75"/>
      <c r="D766" s="663"/>
      <c r="E766" s="615">
        <v>2201</v>
      </c>
      <c r="F766" s="629">
        <v>200</v>
      </c>
      <c r="G766" s="612"/>
      <c r="H766" s="98"/>
      <c r="I766" s="452"/>
      <c r="J766" s="39"/>
      <c r="K766" s="39"/>
      <c r="L766" s="39"/>
      <c r="M766" s="39"/>
      <c r="N766" s="39"/>
      <c r="O766" s="623">
        <f t="shared" si="17"/>
        <v>20</v>
      </c>
      <c r="P766" s="623">
        <f t="shared" si="18"/>
        <v>180</v>
      </c>
      <c r="Q766" s="613"/>
      <c r="R766" s="613">
        <v>200</v>
      </c>
      <c r="S766" s="614">
        <v>1800</v>
      </c>
      <c r="T766" s="614"/>
      <c r="U766" s="614"/>
      <c r="V766" s="614"/>
      <c r="W766" s="39"/>
      <c r="X766" s="39"/>
      <c r="Y766" s="39"/>
      <c r="Z766" s="39"/>
      <c r="AA766" s="39"/>
      <c r="AB766" s="39"/>
      <c r="AC766" s="39"/>
      <c r="AD766" s="39"/>
      <c r="AE766" s="39"/>
      <c r="AF766" s="39"/>
      <c r="AG766" s="39"/>
      <c r="AH766" s="39"/>
      <c r="AI766" s="39"/>
      <c r="AJ766" s="39"/>
      <c r="AK766" s="39"/>
      <c r="AL766" s="39"/>
    </row>
    <row r="767" spans="2:38" s="41" customFormat="1" ht="12.75">
      <c r="B767" s="97"/>
      <c r="C767" s="75"/>
      <c r="D767" s="663"/>
      <c r="E767" s="610">
        <v>3000</v>
      </c>
      <c r="F767" s="611">
        <f>SUM(F768:F769)</f>
        <v>6444</v>
      </c>
      <c r="G767" s="612"/>
      <c r="H767" s="98"/>
      <c r="I767" s="452"/>
      <c r="J767" s="39"/>
      <c r="K767" s="39"/>
      <c r="L767" s="39"/>
      <c r="M767" s="39"/>
      <c r="N767" s="39"/>
      <c r="O767" s="623"/>
      <c r="P767" s="623"/>
      <c r="Q767" s="613"/>
      <c r="R767" s="613"/>
      <c r="S767" s="614"/>
      <c r="T767" s="614"/>
      <c r="U767" s="614"/>
      <c r="V767" s="614"/>
      <c r="W767" s="39"/>
      <c r="X767" s="39"/>
      <c r="Y767" s="39"/>
      <c r="Z767" s="39"/>
      <c r="AA767" s="39"/>
      <c r="AB767" s="39"/>
      <c r="AC767" s="39"/>
      <c r="AD767" s="39"/>
      <c r="AE767" s="39"/>
      <c r="AF767" s="39"/>
      <c r="AG767" s="39"/>
      <c r="AH767" s="39"/>
      <c r="AI767" s="39"/>
      <c r="AJ767" s="39"/>
      <c r="AK767" s="39"/>
      <c r="AL767" s="39"/>
    </row>
    <row r="768" spans="2:38" s="41" customFormat="1" ht="12.75">
      <c r="B768" s="97"/>
      <c r="C768" s="75"/>
      <c r="D768" s="663"/>
      <c r="E768" s="615">
        <v>3701</v>
      </c>
      <c r="F768" s="629">
        <v>4344</v>
      </c>
      <c r="G768" s="612" t="s">
        <v>232</v>
      </c>
      <c r="H768" s="98"/>
      <c r="I768" s="452"/>
      <c r="J768" s="39"/>
      <c r="K768" s="39"/>
      <c r="L768" s="39"/>
      <c r="M768" s="39"/>
      <c r="N768" s="39"/>
      <c r="O768" s="623">
        <f t="shared" si="17"/>
        <v>434.40000000000003</v>
      </c>
      <c r="P768" s="623">
        <f t="shared" si="18"/>
        <v>3909.6</v>
      </c>
      <c r="Q768" s="613"/>
      <c r="R768" s="613">
        <v>4344</v>
      </c>
      <c r="S768" s="614">
        <v>39096</v>
      </c>
      <c r="T768" s="614"/>
      <c r="U768" s="614"/>
      <c r="V768" s="614"/>
      <c r="W768" s="39"/>
      <c r="X768" s="39"/>
      <c r="Y768" s="39"/>
      <c r="Z768" s="39"/>
      <c r="AA768" s="39"/>
      <c r="AB768" s="39"/>
      <c r="AC768" s="39"/>
      <c r="AD768" s="39"/>
      <c r="AE768" s="39"/>
      <c r="AF768" s="39"/>
      <c r="AG768" s="39"/>
      <c r="AH768" s="39"/>
      <c r="AI768" s="39"/>
      <c r="AJ768" s="39"/>
      <c r="AK768" s="39"/>
      <c r="AL768" s="39"/>
    </row>
    <row r="769" spans="2:38" s="41" customFormat="1" ht="12.75">
      <c r="B769" s="97"/>
      <c r="C769" s="75"/>
      <c r="D769" s="663"/>
      <c r="E769" s="615">
        <v>3702</v>
      </c>
      <c r="F769" s="629">
        <v>2100</v>
      </c>
      <c r="G769" s="612" t="s">
        <v>232</v>
      </c>
      <c r="H769" s="98"/>
      <c r="I769" s="452"/>
      <c r="J769" s="39"/>
      <c r="K769" s="39"/>
      <c r="L769" s="39"/>
      <c r="M769" s="39"/>
      <c r="N769" s="39"/>
      <c r="O769" s="623">
        <f t="shared" si="17"/>
        <v>210</v>
      </c>
      <c r="P769" s="623">
        <f t="shared" si="18"/>
        <v>1890</v>
      </c>
      <c r="Q769" s="613"/>
      <c r="R769" s="613">
        <v>2100</v>
      </c>
      <c r="S769" s="614">
        <v>18900</v>
      </c>
      <c r="T769" s="614"/>
      <c r="U769" s="614"/>
      <c r="V769" s="614"/>
      <c r="W769" s="39"/>
      <c r="X769" s="39"/>
      <c r="Y769" s="39"/>
      <c r="Z769" s="39"/>
      <c r="AA769" s="39"/>
      <c r="AB769" s="39"/>
      <c r="AC769" s="39"/>
      <c r="AD769" s="39"/>
      <c r="AE769" s="39"/>
      <c r="AF769" s="39"/>
      <c r="AG769" s="39"/>
      <c r="AH769" s="39"/>
      <c r="AI769" s="39"/>
      <c r="AJ769" s="39"/>
      <c r="AK769" s="39"/>
      <c r="AL769" s="39"/>
    </row>
    <row r="770" spans="1:38" s="41" customFormat="1" ht="39.75" customHeight="1">
      <c r="A770" s="41">
        <v>27</v>
      </c>
      <c r="B770" s="97">
        <v>85</v>
      </c>
      <c r="C770" s="178" t="s">
        <v>374</v>
      </c>
      <c r="D770" s="663">
        <f>+F770+F774</f>
        <v>10984.2</v>
      </c>
      <c r="E770" s="610">
        <v>2000</v>
      </c>
      <c r="F770" s="611">
        <f>SUM(F771:F773)</f>
        <v>1798.2</v>
      </c>
      <c r="G770" s="612"/>
      <c r="H770" s="98"/>
      <c r="I770" s="452"/>
      <c r="J770" s="39"/>
      <c r="K770" s="39"/>
      <c r="L770" s="39"/>
      <c r="M770" s="39"/>
      <c r="N770" s="39"/>
      <c r="O770" s="623"/>
      <c r="P770" s="623"/>
      <c r="Q770" s="613"/>
      <c r="R770" s="613"/>
      <c r="S770" s="614"/>
      <c r="T770" s="614"/>
      <c r="U770" s="614"/>
      <c r="V770" s="614"/>
      <c r="W770" s="39"/>
      <c r="X770" s="39"/>
      <c r="Y770" s="39"/>
      <c r="Z770" s="39"/>
      <c r="AA770" s="39"/>
      <c r="AB770" s="39"/>
      <c r="AC770" s="39"/>
      <c r="AD770" s="39"/>
      <c r="AE770" s="39"/>
      <c r="AF770" s="39"/>
      <c r="AG770" s="39"/>
      <c r="AH770" s="39"/>
      <c r="AI770" s="39"/>
      <c r="AJ770" s="39"/>
      <c r="AK770" s="39"/>
      <c r="AL770" s="39"/>
    </row>
    <row r="771" spans="2:38" s="41" customFormat="1" ht="12.75">
      <c r="B771" s="97"/>
      <c r="C771" s="75"/>
      <c r="D771" s="663"/>
      <c r="E771" s="615">
        <v>2101</v>
      </c>
      <c r="F771" s="629">
        <v>1448.2</v>
      </c>
      <c r="G771" s="612"/>
      <c r="H771" s="98"/>
      <c r="I771" s="452"/>
      <c r="J771" s="39"/>
      <c r="K771" s="39"/>
      <c r="L771" s="39"/>
      <c r="M771" s="39"/>
      <c r="N771" s="39"/>
      <c r="O771" s="623">
        <f t="shared" si="17"/>
        <v>144.82000000000002</v>
      </c>
      <c r="P771" s="623">
        <f t="shared" si="18"/>
        <v>1303.38</v>
      </c>
      <c r="Q771" s="613"/>
      <c r="R771" s="613">
        <v>1448.2</v>
      </c>
      <c r="S771" s="614">
        <v>13033.800000000001</v>
      </c>
      <c r="T771" s="614"/>
      <c r="U771" s="614"/>
      <c r="V771" s="614"/>
      <c r="W771" s="39"/>
      <c r="X771" s="39"/>
      <c r="Y771" s="39"/>
      <c r="Z771" s="39"/>
      <c r="AA771" s="39"/>
      <c r="AB771" s="39"/>
      <c r="AC771" s="39"/>
      <c r="AD771" s="39"/>
      <c r="AE771" s="39"/>
      <c r="AF771" s="39"/>
      <c r="AG771" s="39"/>
      <c r="AH771" s="39"/>
      <c r="AI771" s="39"/>
      <c r="AJ771" s="39"/>
      <c r="AK771" s="39"/>
      <c r="AL771" s="39"/>
    </row>
    <row r="772" spans="2:38" s="41" customFormat="1" ht="12.75">
      <c r="B772" s="97"/>
      <c r="C772" s="75"/>
      <c r="D772" s="663"/>
      <c r="E772" s="615">
        <v>2201</v>
      </c>
      <c r="F772" s="629">
        <v>200</v>
      </c>
      <c r="G772" s="612"/>
      <c r="H772" s="98"/>
      <c r="I772" s="452"/>
      <c r="J772" s="39"/>
      <c r="K772" s="39"/>
      <c r="L772" s="39"/>
      <c r="M772" s="39"/>
      <c r="N772" s="39"/>
      <c r="O772" s="623">
        <f t="shared" si="17"/>
        <v>20</v>
      </c>
      <c r="P772" s="623">
        <f t="shared" si="18"/>
        <v>180</v>
      </c>
      <c r="Q772" s="613"/>
      <c r="R772" s="613">
        <v>200</v>
      </c>
      <c r="S772" s="614">
        <v>1800</v>
      </c>
      <c r="T772" s="614"/>
      <c r="U772" s="614"/>
      <c r="V772" s="614"/>
      <c r="W772" s="39"/>
      <c r="X772" s="39"/>
      <c r="Y772" s="39"/>
      <c r="Z772" s="39"/>
      <c r="AA772" s="39"/>
      <c r="AB772" s="39"/>
      <c r="AC772" s="39"/>
      <c r="AD772" s="39"/>
      <c r="AE772" s="39"/>
      <c r="AF772" s="39"/>
      <c r="AG772" s="39"/>
      <c r="AH772" s="39"/>
      <c r="AI772" s="39"/>
      <c r="AJ772" s="39"/>
      <c r="AK772" s="39"/>
      <c r="AL772" s="39"/>
    </row>
    <row r="773" spans="2:38" s="41" customFormat="1" ht="12.75" customHeight="1">
      <c r="B773" s="97"/>
      <c r="C773" s="75"/>
      <c r="D773" s="663"/>
      <c r="E773" s="615">
        <v>2601</v>
      </c>
      <c r="F773" s="629">
        <v>150</v>
      </c>
      <c r="G773" s="612"/>
      <c r="H773" s="98"/>
      <c r="I773" s="452"/>
      <c r="J773" s="39"/>
      <c r="K773" s="39"/>
      <c r="L773" s="39"/>
      <c r="M773" s="39"/>
      <c r="N773" s="39"/>
      <c r="O773" s="623">
        <f t="shared" si="17"/>
        <v>15</v>
      </c>
      <c r="P773" s="623">
        <f t="shared" si="18"/>
        <v>135</v>
      </c>
      <c r="Q773" s="613"/>
      <c r="R773" s="613">
        <v>150</v>
      </c>
      <c r="S773" s="614">
        <v>1350</v>
      </c>
      <c r="T773" s="614"/>
      <c r="U773" s="614"/>
      <c r="V773" s="614"/>
      <c r="W773" s="39"/>
      <c r="X773" s="39"/>
      <c r="Y773" s="39"/>
      <c r="Z773" s="39"/>
      <c r="AA773" s="39"/>
      <c r="AB773" s="39"/>
      <c r="AC773" s="39"/>
      <c r="AD773" s="39"/>
      <c r="AE773" s="39"/>
      <c r="AF773" s="39"/>
      <c r="AG773" s="39"/>
      <c r="AH773" s="39"/>
      <c r="AI773" s="39"/>
      <c r="AJ773" s="39"/>
      <c r="AK773" s="39"/>
      <c r="AL773" s="39"/>
    </row>
    <row r="774" spans="2:38" s="41" customFormat="1" ht="12.75" customHeight="1">
      <c r="B774" s="97"/>
      <c r="C774" s="75"/>
      <c r="D774" s="663"/>
      <c r="E774" s="610">
        <v>3000</v>
      </c>
      <c r="F774" s="611">
        <f>SUM(F775:F779)</f>
        <v>9186</v>
      </c>
      <c r="G774" s="612"/>
      <c r="H774" s="98"/>
      <c r="I774" s="452"/>
      <c r="J774" s="39"/>
      <c r="K774" s="39"/>
      <c r="L774" s="39"/>
      <c r="M774" s="39"/>
      <c r="N774" s="39"/>
      <c r="O774" s="623"/>
      <c r="P774" s="623"/>
      <c r="Q774" s="613"/>
      <c r="R774" s="613"/>
      <c r="S774" s="614"/>
      <c r="T774" s="614"/>
      <c r="U774" s="614"/>
      <c r="V774" s="614"/>
      <c r="W774" s="39"/>
      <c r="X774" s="39"/>
      <c r="Y774" s="39"/>
      <c r="Z774" s="39"/>
      <c r="AA774" s="39"/>
      <c r="AB774" s="39"/>
      <c r="AC774" s="39"/>
      <c r="AD774" s="39"/>
      <c r="AE774" s="39"/>
      <c r="AF774" s="39"/>
      <c r="AG774" s="39"/>
      <c r="AH774" s="39"/>
      <c r="AI774" s="39"/>
      <c r="AJ774" s="39"/>
      <c r="AK774" s="39"/>
      <c r="AL774" s="39"/>
    </row>
    <row r="775" spans="2:38" s="41" customFormat="1" ht="12.75" customHeight="1">
      <c r="B775" s="97"/>
      <c r="C775" s="75"/>
      <c r="D775" s="663"/>
      <c r="E775" s="615">
        <v>3301</v>
      </c>
      <c r="F775" s="629">
        <v>1500</v>
      </c>
      <c r="G775" s="612"/>
      <c r="H775" s="98"/>
      <c r="I775" s="452"/>
      <c r="J775" s="39"/>
      <c r="K775" s="39"/>
      <c r="L775" s="39"/>
      <c r="M775" s="39"/>
      <c r="N775" s="39"/>
      <c r="O775" s="623">
        <f t="shared" si="17"/>
        <v>150</v>
      </c>
      <c r="P775" s="623">
        <f t="shared" si="18"/>
        <v>1350</v>
      </c>
      <c r="Q775" s="613"/>
      <c r="R775" s="613">
        <v>1500</v>
      </c>
      <c r="S775" s="614">
        <v>13500</v>
      </c>
      <c r="T775" s="614"/>
      <c r="U775" s="614"/>
      <c r="V775" s="614"/>
      <c r="W775" s="39"/>
      <c r="X775" s="39"/>
      <c r="Y775" s="39"/>
      <c r="Z775" s="39"/>
      <c r="AA775" s="39"/>
      <c r="AB775" s="39"/>
      <c r="AC775" s="39"/>
      <c r="AD775" s="39"/>
      <c r="AE775" s="39"/>
      <c r="AF775" s="39"/>
      <c r="AG775" s="39"/>
      <c r="AH775" s="39"/>
      <c r="AI775" s="39"/>
      <c r="AJ775" s="39"/>
      <c r="AK775" s="39"/>
      <c r="AL775" s="39"/>
    </row>
    <row r="776" spans="2:38" s="41" customFormat="1" ht="12.75" customHeight="1">
      <c r="B776" s="97"/>
      <c r="C776" s="75"/>
      <c r="D776" s="663"/>
      <c r="E776" s="615">
        <v>3701</v>
      </c>
      <c r="F776" s="629">
        <v>1200</v>
      </c>
      <c r="G776" s="612"/>
      <c r="H776" s="98"/>
      <c r="I776" s="452"/>
      <c r="J776" s="39"/>
      <c r="K776" s="39"/>
      <c r="L776" s="39"/>
      <c r="M776" s="39"/>
      <c r="N776" s="39"/>
      <c r="O776" s="623">
        <f t="shared" si="17"/>
        <v>120</v>
      </c>
      <c r="P776" s="623">
        <f t="shared" si="18"/>
        <v>1080</v>
      </c>
      <c r="Q776" s="613"/>
      <c r="R776" s="613">
        <v>1200</v>
      </c>
      <c r="S776" s="614">
        <v>10800</v>
      </c>
      <c r="T776" s="614"/>
      <c r="U776" s="614"/>
      <c r="V776" s="614"/>
      <c r="W776" s="39"/>
      <c r="X776" s="39"/>
      <c r="Y776" s="39"/>
      <c r="Z776" s="39"/>
      <c r="AA776" s="39"/>
      <c r="AB776" s="39"/>
      <c r="AC776" s="39"/>
      <c r="AD776" s="39"/>
      <c r="AE776" s="39"/>
      <c r="AF776" s="39"/>
      <c r="AG776" s="39"/>
      <c r="AH776" s="39"/>
      <c r="AI776" s="39"/>
      <c r="AJ776" s="39"/>
      <c r="AK776" s="39"/>
      <c r="AL776" s="39"/>
    </row>
    <row r="777" spans="2:38" s="41" customFormat="1" ht="12.75">
      <c r="B777" s="97"/>
      <c r="C777" s="75"/>
      <c r="D777" s="663"/>
      <c r="E777" s="615">
        <v>3702</v>
      </c>
      <c r="F777" s="629">
        <v>3486</v>
      </c>
      <c r="G777" s="612" t="s">
        <v>232</v>
      </c>
      <c r="H777" s="98"/>
      <c r="I777" s="452"/>
      <c r="J777" s="39"/>
      <c r="K777" s="39"/>
      <c r="L777" s="39"/>
      <c r="M777" s="39"/>
      <c r="N777" s="39"/>
      <c r="O777" s="623">
        <f t="shared" si="17"/>
        <v>348.6</v>
      </c>
      <c r="P777" s="623">
        <f t="shared" si="18"/>
        <v>3137.4</v>
      </c>
      <c r="Q777" s="613"/>
      <c r="R777" s="613">
        <v>3486</v>
      </c>
      <c r="S777" s="614">
        <v>31374</v>
      </c>
      <c r="T777" s="614"/>
      <c r="U777" s="614"/>
      <c r="V777" s="614"/>
      <c r="W777" s="39"/>
      <c r="X777" s="39"/>
      <c r="Y777" s="39"/>
      <c r="Z777" s="39"/>
      <c r="AA777" s="39"/>
      <c r="AB777" s="39"/>
      <c r="AC777" s="39"/>
      <c r="AD777" s="39"/>
      <c r="AE777" s="39"/>
      <c r="AF777" s="39"/>
      <c r="AG777" s="39"/>
      <c r="AH777" s="39"/>
      <c r="AI777" s="39"/>
      <c r="AJ777" s="39"/>
      <c r="AK777" s="39"/>
      <c r="AL777" s="39"/>
    </row>
    <row r="778" spans="2:38" s="41" customFormat="1" ht="12.75">
      <c r="B778" s="97"/>
      <c r="C778" s="75"/>
      <c r="D778" s="663"/>
      <c r="E778" s="615">
        <v>3802</v>
      </c>
      <c r="F778" s="629">
        <v>1500</v>
      </c>
      <c r="G778" s="612"/>
      <c r="H778" s="98"/>
      <c r="I778" s="452"/>
      <c r="J778" s="39"/>
      <c r="K778" s="39"/>
      <c r="L778" s="39"/>
      <c r="M778" s="39"/>
      <c r="N778" s="39"/>
      <c r="O778" s="623">
        <f t="shared" si="17"/>
        <v>150</v>
      </c>
      <c r="P778" s="623">
        <f t="shared" si="18"/>
        <v>1350</v>
      </c>
      <c r="Q778" s="613"/>
      <c r="R778" s="613">
        <v>1500</v>
      </c>
      <c r="S778" s="614">
        <v>13500</v>
      </c>
      <c r="T778" s="614"/>
      <c r="U778" s="614"/>
      <c r="V778" s="614"/>
      <c r="W778" s="39"/>
      <c r="X778" s="39"/>
      <c r="Y778" s="39"/>
      <c r="Z778" s="39"/>
      <c r="AA778" s="39"/>
      <c r="AB778" s="39"/>
      <c r="AC778" s="39"/>
      <c r="AD778" s="39"/>
      <c r="AE778" s="39"/>
      <c r="AF778" s="39"/>
      <c r="AG778" s="39"/>
      <c r="AH778" s="39"/>
      <c r="AI778" s="39"/>
      <c r="AJ778" s="39"/>
      <c r="AK778" s="39"/>
      <c r="AL778" s="39"/>
    </row>
    <row r="779" spans="2:38" s="41" customFormat="1" ht="12.75">
      <c r="B779" s="97"/>
      <c r="C779" s="76"/>
      <c r="D779" s="663"/>
      <c r="E779" s="615">
        <v>3903</v>
      </c>
      <c r="F779" s="629">
        <v>1500</v>
      </c>
      <c r="G779" s="612"/>
      <c r="H779" s="98"/>
      <c r="I779" s="452"/>
      <c r="J779" s="39"/>
      <c r="K779" s="39"/>
      <c r="L779" s="39"/>
      <c r="M779" s="39"/>
      <c r="N779" s="39"/>
      <c r="O779" s="623">
        <f t="shared" si="17"/>
        <v>150</v>
      </c>
      <c r="P779" s="623">
        <f t="shared" si="18"/>
        <v>1350</v>
      </c>
      <c r="Q779" s="613"/>
      <c r="R779" s="613">
        <v>1500</v>
      </c>
      <c r="S779" s="614">
        <v>13500</v>
      </c>
      <c r="T779" s="614"/>
      <c r="U779" s="614"/>
      <c r="V779" s="614"/>
      <c r="W779" s="39"/>
      <c r="X779" s="39"/>
      <c r="Y779" s="39"/>
      <c r="Z779" s="39"/>
      <c r="AA779" s="39"/>
      <c r="AB779" s="39"/>
      <c r="AC779" s="39"/>
      <c r="AD779" s="39"/>
      <c r="AE779" s="39"/>
      <c r="AF779" s="39"/>
      <c r="AG779" s="39"/>
      <c r="AH779" s="39"/>
      <c r="AI779" s="39"/>
      <c r="AJ779" s="39"/>
      <c r="AK779" s="39"/>
      <c r="AL779" s="39"/>
    </row>
    <row r="780" spans="1:42" ht="25.5">
      <c r="A780">
        <v>28</v>
      </c>
      <c r="B780" s="97">
        <v>86</v>
      </c>
      <c r="C780" s="178" t="s">
        <v>251</v>
      </c>
      <c r="D780" s="663">
        <f>+F780+F783:F783</f>
        <v>199193</v>
      </c>
      <c r="E780" s="610">
        <v>2000</v>
      </c>
      <c r="F780" s="611">
        <f>SUM(F781:F782)</f>
        <v>3369</v>
      </c>
      <c r="G780" s="173"/>
      <c r="H780" s="96"/>
      <c r="I780" s="451"/>
      <c r="O780" s="623"/>
      <c r="P780" s="623"/>
      <c r="Q780" s="613"/>
      <c r="R780" s="613"/>
      <c r="S780" s="614"/>
      <c r="T780" s="614"/>
      <c r="U780" s="614"/>
      <c r="V780" s="614"/>
      <c r="AM780"/>
      <c r="AN780"/>
      <c r="AO780"/>
      <c r="AP780"/>
    </row>
    <row r="781" spans="1:22" s="25" customFormat="1" ht="12.75">
      <c r="A781"/>
      <c r="B781" s="97"/>
      <c r="C781" s="75"/>
      <c r="D781" s="663"/>
      <c r="E781" s="615">
        <v>2101</v>
      </c>
      <c r="F781" s="622">
        <v>2989</v>
      </c>
      <c r="G781" s="173"/>
      <c r="H781" s="96"/>
      <c r="I781" s="451"/>
      <c r="O781" s="623">
        <f t="shared" si="17"/>
        <v>298.90000000000003</v>
      </c>
      <c r="P781" s="623">
        <f t="shared" si="18"/>
        <v>2690.1</v>
      </c>
      <c r="Q781" s="613"/>
      <c r="R781" s="613">
        <v>2989</v>
      </c>
      <c r="S781" s="614">
        <v>26901</v>
      </c>
      <c r="T781" s="614"/>
      <c r="U781" s="614"/>
      <c r="V781" s="614"/>
    </row>
    <row r="782" spans="1:22" s="25" customFormat="1" ht="12.75">
      <c r="A782"/>
      <c r="B782" s="97"/>
      <c r="C782" s="75"/>
      <c r="D782" s="663"/>
      <c r="E782" s="615">
        <v>2104</v>
      </c>
      <c r="F782" s="622">
        <v>380</v>
      </c>
      <c r="G782" s="173"/>
      <c r="H782" s="96"/>
      <c r="I782" s="451"/>
      <c r="O782" s="623">
        <f t="shared" si="17"/>
        <v>38</v>
      </c>
      <c r="P782" s="623">
        <f t="shared" si="18"/>
        <v>342</v>
      </c>
      <c r="Q782" s="613"/>
      <c r="R782" s="613">
        <v>380</v>
      </c>
      <c r="S782" s="614">
        <v>3420</v>
      </c>
      <c r="T782" s="614"/>
      <c r="U782" s="614"/>
      <c r="V782" s="614"/>
    </row>
    <row r="783" spans="1:22" s="25" customFormat="1" ht="12.75">
      <c r="A783"/>
      <c r="B783" s="97"/>
      <c r="C783" s="75"/>
      <c r="D783" s="663"/>
      <c r="E783" s="610">
        <v>3000</v>
      </c>
      <c r="F783" s="611">
        <f>SUM(F784:F788)</f>
        <v>195824</v>
      </c>
      <c r="G783" s="173"/>
      <c r="H783" s="96"/>
      <c r="I783" s="451"/>
      <c r="O783" s="623"/>
      <c r="P783" s="623"/>
      <c r="Q783" s="613"/>
      <c r="R783" s="613"/>
      <c r="S783" s="614"/>
      <c r="T783" s="614"/>
      <c r="U783" s="614"/>
      <c r="V783" s="614"/>
    </row>
    <row r="784" spans="1:22" s="25" customFormat="1" ht="12.75">
      <c r="A784"/>
      <c r="B784" s="97"/>
      <c r="C784" s="75"/>
      <c r="D784" s="663"/>
      <c r="E784" s="615">
        <v>3205</v>
      </c>
      <c r="F784" s="622">
        <v>200</v>
      </c>
      <c r="G784" s="173"/>
      <c r="H784" s="96"/>
      <c r="I784" s="451"/>
      <c r="O784" s="623">
        <f t="shared" si="17"/>
        <v>20</v>
      </c>
      <c r="P784" s="623">
        <f t="shared" si="18"/>
        <v>180</v>
      </c>
      <c r="Q784" s="613"/>
      <c r="R784" s="613">
        <v>200</v>
      </c>
      <c r="S784" s="614">
        <v>1800</v>
      </c>
      <c r="T784" s="614"/>
      <c r="U784" s="614"/>
      <c r="V784" s="614"/>
    </row>
    <row r="785" spans="1:22" s="25" customFormat="1" ht="12.75">
      <c r="A785"/>
      <c r="B785" s="97"/>
      <c r="C785" s="75"/>
      <c r="D785" s="663"/>
      <c r="E785" s="615">
        <v>3601</v>
      </c>
      <c r="F785" s="622">
        <v>3120</v>
      </c>
      <c r="G785" s="173"/>
      <c r="H785" s="96"/>
      <c r="I785" s="451"/>
      <c r="O785" s="623">
        <f t="shared" si="17"/>
        <v>312</v>
      </c>
      <c r="P785" s="623">
        <f t="shared" si="18"/>
        <v>2808</v>
      </c>
      <c r="Q785" s="613"/>
      <c r="R785" s="613">
        <v>3120</v>
      </c>
      <c r="S785" s="614">
        <v>28080</v>
      </c>
      <c r="T785" s="614"/>
      <c r="U785" s="614"/>
      <c r="V785" s="614"/>
    </row>
    <row r="786" spans="2:42" ht="12.75">
      <c r="B786" s="97"/>
      <c r="C786" s="75"/>
      <c r="D786" s="663"/>
      <c r="E786" s="615">
        <v>3701</v>
      </c>
      <c r="F786" s="622">
        <v>82134</v>
      </c>
      <c r="G786" s="173"/>
      <c r="H786" s="96"/>
      <c r="I786" s="451"/>
      <c r="O786" s="623">
        <f t="shared" si="17"/>
        <v>8213.4</v>
      </c>
      <c r="P786" s="623">
        <f t="shared" si="18"/>
        <v>73920.6</v>
      </c>
      <c r="Q786" s="613"/>
      <c r="R786" s="613">
        <v>82134</v>
      </c>
      <c r="S786" s="614">
        <v>739206</v>
      </c>
      <c r="T786" s="614"/>
      <c r="U786" s="614"/>
      <c r="V786" s="614"/>
      <c r="AM786"/>
      <c r="AN786"/>
      <c r="AO786"/>
      <c r="AP786"/>
    </row>
    <row r="787" spans="2:42" ht="12.75">
      <c r="B787" s="97"/>
      <c r="C787" s="75"/>
      <c r="D787" s="663"/>
      <c r="E787" s="615">
        <v>3702</v>
      </c>
      <c r="F787" s="622">
        <v>106470</v>
      </c>
      <c r="G787" s="173"/>
      <c r="H787" s="96"/>
      <c r="I787" s="451"/>
      <c r="O787" s="623">
        <f t="shared" si="17"/>
        <v>10647</v>
      </c>
      <c r="P787" s="623">
        <f t="shared" si="18"/>
        <v>95823</v>
      </c>
      <c r="Q787" s="613"/>
      <c r="R787" s="613">
        <v>106470</v>
      </c>
      <c r="S787" s="614">
        <v>958230</v>
      </c>
      <c r="T787" s="614"/>
      <c r="U787" s="614"/>
      <c r="V787" s="614"/>
      <c r="AM787"/>
      <c r="AN787"/>
      <c r="AO787"/>
      <c r="AP787"/>
    </row>
    <row r="788" spans="2:42" ht="12.75">
      <c r="B788" s="97"/>
      <c r="C788" s="76"/>
      <c r="D788" s="663"/>
      <c r="E788" s="615">
        <v>3907</v>
      </c>
      <c r="F788" s="622">
        <v>3900</v>
      </c>
      <c r="G788" s="173"/>
      <c r="H788" s="96"/>
      <c r="I788" s="451"/>
      <c r="O788" s="623">
        <f t="shared" si="17"/>
        <v>390</v>
      </c>
      <c r="P788" s="623">
        <f t="shared" si="18"/>
        <v>3510</v>
      </c>
      <c r="Q788" s="613"/>
      <c r="R788" s="613">
        <v>3900</v>
      </c>
      <c r="S788" s="614">
        <v>35100</v>
      </c>
      <c r="T788" s="614"/>
      <c r="U788" s="614"/>
      <c r="V788" s="614"/>
      <c r="AM788"/>
      <c r="AN788"/>
      <c r="AO788"/>
      <c r="AP788"/>
    </row>
    <row r="789" spans="1:42" ht="25.5">
      <c r="A789">
        <v>29</v>
      </c>
      <c r="B789" s="97">
        <v>87</v>
      </c>
      <c r="C789" s="178" t="s">
        <v>378</v>
      </c>
      <c r="D789" s="663">
        <f>+F789+F791</f>
        <v>31389.7</v>
      </c>
      <c r="E789" s="610">
        <v>2000</v>
      </c>
      <c r="F789" s="611">
        <f>+F790</f>
        <v>895.7</v>
      </c>
      <c r="G789" s="173"/>
      <c r="H789" s="96"/>
      <c r="I789" s="451"/>
      <c r="O789" s="623"/>
      <c r="P789" s="623"/>
      <c r="Q789" s="613"/>
      <c r="R789" s="613"/>
      <c r="S789" s="614"/>
      <c r="T789" s="614"/>
      <c r="U789" s="614"/>
      <c r="V789" s="614"/>
      <c r="AM789"/>
      <c r="AN789"/>
      <c r="AO789"/>
      <c r="AP789"/>
    </row>
    <row r="790" spans="2:42" ht="12.75">
      <c r="B790" s="97"/>
      <c r="C790" s="75"/>
      <c r="D790" s="663"/>
      <c r="E790" s="615">
        <v>2101</v>
      </c>
      <c r="F790" s="622">
        <v>895.7</v>
      </c>
      <c r="G790" s="173"/>
      <c r="H790" s="96"/>
      <c r="I790" s="451"/>
      <c r="O790" s="623">
        <f t="shared" si="17"/>
        <v>89.57000000000001</v>
      </c>
      <c r="P790" s="623">
        <f t="shared" si="18"/>
        <v>806.1300000000001</v>
      </c>
      <c r="Q790" s="613"/>
      <c r="R790" s="613">
        <v>895.7</v>
      </c>
      <c r="S790" s="614">
        <v>8061.3</v>
      </c>
      <c r="T790" s="614"/>
      <c r="U790" s="614"/>
      <c r="V790" s="614"/>
      <c r="AM790"/>
      <c r="AN790"/>
      <c r="AO790"/>
      <c r="AP790"/>
    </row>
    <row r="791" spans="2:42" ht="12.75">
      <c r="B791" s="97"/>
      <c r="C791" s="75"/>
      <c r="D791" s="663"/>
      <c r="E791" s="610">
        <v>3000</v>
      </c>
      <c r="F791" s="611">
        <f>+F792</f>
        <v>30494</v>
      </c>
      <c r="G791" s="173"/>
      <c r="H791" s="96"/>
      <c r="I791" s="451"/>
      <c r="O791" s="623"/>
      <c r="P791" s="623"/>
      <c r="Q791" s="613"/>
      <c r="R791" s="613"/>
      <c r="S791" s="614"/>
      <c r="T791" s="614"/>
      <c r="U791" s="614"/>
      <c r="V791" s="614"/>
      <c r="AM791"/>
      <c r="AN791"/>
      <c r="AO791"/>
      <c r="AP791"/>
    </row>
    <row r="792" spans="2:42" ht="12.75">
      <c r="B792" s="97"/>
      <c r="C792" s="76"/>
      <c r="D792" s="663"/>
      <c r="E792" s="615">
        <v>3408</v>
      </c>
      <c r="F792" s="622">
        <v>30494</v>
      </c>
      <c r="G792" s="173"/>
      <c r="H792" s="96"/>
      <c r="I792" s="451"/>
      <c r="O792" s="623">
        <f t="shared" si="17"/>
        <v>3049.4</v>
      </c>
      <c r="P792" s="623">
        <f t="shared" si="18"/>
        <v>27444.600000000002</v>
      </c>
      <c r="Q792" s="613"/>
      <c r="R792" s="613">
        <v>30494</v>
      </c>
      <c r="S792" s="614">
        <v>274446</v>
      </c>
      <c r="T792" s="614"/>
      <c r="U792" s="614"/>
      <c r="V792" s="614"/>
      <c r="AM792"/>
      <c r="AN792"/>
      <c r="AO792"/>
      <c r="AP792"/>
    </row>
    <row r="793" spans="1:42" ht="25.5">
      <c r="A793">
        <v>30</v>
      </c>
      <c r="B793" s="97">
        <v>88</v>
      </c>
      <c r="C793" s="178" t="s">
        <v>380</v>
      </c>
      <c r="D793" s="663">
        <f>+F793+F798</f>
        <v>60427.781</v>
      </c>
      <c r="E793" s="610">
        <v>2000</v>
      </c>
      <c r="F793" s="611">
        <f>SUM(F794:F797)</f>
        <v>2661.781</v>
      </c>
      <c r="G793" s="173"/>
      <c r="H793" s="96"/>
      <c r="I793" s="451"/>
      <c r="O793" s="623"/>
      <c r="P793" s="623"/>
      <c r="Q793" s="613"/>
      <c r="R793" s="613"/>
      <c r="S793" s="614"/>
      <c r="T793" s="614"/>
      <c r="U793" s="614"/>
      <c r="V793" s="614"/>
      <c r="AM793"/>
      <c r="AN793"/>
      <c r="AO793"/>
      <c r="AP793"/>
    </row>
    <row r="794" spans="2:42" ht="12.75">
      <c r="B794" s="97"/>
      <c r="C794" s="75"/>
      <c r="D794" s="663"/>
      <c r="E794" s="615">
        <v>2101</v>
      </c>
      <c r="F794" s="622">
        <v>331.781</v>
      </c>
      <c r="G794" s="173"/>
      <c r="H794" s="96"/>
      <c r="I794" s="451"/>
      <c r="O794" s="623">
        <f t="shared" si="17"/>
        <v>33.1781</v>
      </c>
      <c r="P794" s="623">
        <f t="shared" si="18"/>
        <v>298.60290000000003</v>
      </c>
      <c r="Q794" s="613"/>
      <c r="R794" s="613">
        <v>331.781</v>
      </c>
      <c r="S794" s="614">
        <v>2986.029</v>
      </c>
      <c r="T794" s="614"/>
      <c r="U794" s="614"/>
      <c r="V794" s="614"/>
      <c r="AM794"/>
      <c r="AN794"/>
      <c r="AO794"/>
      <c r="AP794"/>
    </row>
    <row r="795" spans="2:42" ht="12.75">
      <c r="B795" s="97"/>
      <c r="C795" s="75"/>
      <c r="D795" s="663"/>
      <c r="E795" s="615">
        <v>2201</v>
      </c>
      <c r="F795" s="622">
        <v>30</v>
      </c>
      <c r="G795" s="173"/>
      <c r="H795" s="96"/>
      <c r="I795" s="451"/>
      <c r="O795" s="623">
        <f t="shared" si="17"/>
        <v>3</v>
      </c>
      <c r="P795" s="623">
        <f t="shared" si="18"/>
        <v>27</v>
      </c>
      <c r="Q795" s="613"/>
      <c r="R795" s="613">
        <v>30</v>
      </c>
      <c r="S795" s="614">
        <v>270</v>
      </c>
      <c r="T795" s="614"/>
      <c r="U795" s="614"/>
      <c r="V795" s="614"/>
      <c r="AM795"/>
      <c r="AN795"/>
      <c r="AO795"/>
      <c r="AP795"/>
    </row>
    <row r="796" spans="2:42" ht="12.75">
      <c r="B796" s="97"/>
      <c r="C796" s="75"/>
      <c r="D796" s="663"/>
      <c r="E796" s="615">
        <v>2206</v>
      </c>
      <c r="F796" s="622">
        <v>1800</v>
      </c>
      <c r="G796" s="173"/>
      <c r="H796" s="96"/>
      <c r="I796" s="451"/>
      <c r="O796" s="623">
        <f t="shared" si="17"/>
        <v>180</v>
      </c>
      <c r="P796" s="623">
        <f t="shared" si="18"/>
        <v>1620</v>
      </c>
      <c r="Q796" s="613"/>
      <c r="R796" s="613">
        <v>1800</v>
      </c>
      <c r="S796" s="614">
        <v>16200</v>
      </c>
      <c r="T796" s="614"/>
      <c r="U796" s="614"/>
      <c r="V796" s="614"/>
      <c r="AM796"/>
      <c r="AN796"/>
      <c r="AO796"/>
      <c r="AP796"/>
    </row>
    <row r="797" spans="2:42" ht="12.75">
      <c r="B797" s="97"/>
      <c r="C797" s="75"/>
      <c r="D797" s="663"/>
      <c r="E797" s="615">
        <v>2601</v>
      </c>
      <c r="F797" s="622">
        <v>500</v>
      </c>
      <c r="G797" s="173"/>
      <c r="H797" s="96"/>
      <c r="I797" s="451"/>
      <c r="O797" s="623">
        <f t="shared" si="17"/>
        <v>50</v>
      </c>
      <c r="P797" s="623">
        <f t="shared" si="18"/>
        <v>450</v>
      </c>
      <c r="Q797" s="613"/>
      <c r="R797" s="613">
        <v>500</v>
      </c>
      <c r="S797" s="614">
        <v>4500</v>
      </c>
      <c r="T797" s="614"/>
      <c r="U797" s="614"/>
      <c r="V797" s="614"/>
      <c r="AM797"/>
      <c r="AN797"/>
      <c r="AO797"/>
      <c r="AP797"/>
    </row>
    <row r="798" spans="2:42" ht="12.75">
      <c r="B798" s="97"/>
      <c r="C798" s="75"/>
      <c r="D798" s="663"/>
      <c r="E798" s="610">
        <v>3000</v>
      </c>
      <c r="F798" s="611">
        <f>SUM(F799:F803)</f>
        <v>57766</v>
      </c>
      <c r="G798" s="173"/>
      <c r="H798" s="96"/>
      <c r="I798" s="451"/>
      <c r="O798" s="623"/>
      <c r="P798" s="623"/>
      <c r="Q798" s="613"/>
      <c r="R798" s="613"/>
      <c r="S798" s="614"/>
      <c r="T798" s="614"/>
      <c r="U798" s="614"/>
      <c r="V798" s="614"/>
      <c r="AM798"/>
      <c r="AN798"/>
      <c r="AO798"/>
      <c r="AP798"/>
    </row>
    <row r="799" spans="2:42" ht="12.75">
      <c r="B799" s="97"/>
      <c r="C799" s="75"/>
      <c r="D799" s="663"/>
      <c r="E799" s="615">
        <v>3604</v>
      </c>
      <c r="F799" s="622">
        <v>10800</v>
      </c>
      <c r="G799" s="173"/>
      <c r="H799" s="96"/>
      <c r="I799" s="451"/>
      <c r="O799" s="623">
        <f t="shared" si="17"/>
        <v>1080</v>
      </c>
      <c r="P799" s="623">
        <f t="shared" si="18"/>
        <v>9720</v>
      </c>
      <c r="Q799" s="613"/>
      <c r="R799" s="613">
        <v>10800</v>
      </c>
      <c r="S799" s="614">
        <v>97200</v>
      </c>
      <c r="T799" s="614"/>
      <c r="U799" s="614"/>
      <c r="V799" s="614"/>
      <c r="AM799"/>
      <c r="AN799"/>
      <c r="AO799"/>
      <c r="AP799"/>
    </row>
    <row r="800" spans="2:42" ht="12.75">
      <c r="B800" s="97"/>
      <c r="C800" s="75"/>
      <c r="D800" s="663"/>
      <c r="E800" s="615">
        <v>3701</v>
      </c>
      <c r="F800" s="622">
        <v>9520</v>
      </c>
      <c r="G800" s="173"/>
      <c r="H800" s="96"/>
      <c r="I800" s="451"/>
      <c r="O800" s="623">
        <f t="shared" si="17"/>
        <v>952</v>
      </c>
      <c r="P800" s="623">
        <f t="shared" si="18"/>
        <v>8568</v>
      </c>
      <c r="Q800" s="613"/>
      <c r="R800" s="613">
        <v>9520</v>
      </c>
      <c r="S800" s="614">
        <v>85680</v>
      </c>
      <c r="T800" s="614"/>
      <c r="U800" s="614"/>
      <c r="V800" s="614"/>
      <c r="AM800"/>
      <c r="AN800"/>
      <c r="AO800"/>
      <c r="AP800"/>
    </row>
    <row r="801" spans="2:42" ht="12.75">
      <c r="B801" s="97"/>
      <c r="C801" s="75"/>
      <c r="D801" s="663"/>
      <c r="E801" s="615">
        <v>3702</v>
      </c>
      <c r="F801" s="622">
        <v>30600</v>
      </c>
      <c r="G801" s="173"/>
      <c r="H801" s="96"/>
      <c r="I801" s="451"/>
      <c r="O801" s="623">
        <f t="shared" si="17"/>
        <v>3060</v>
      </c>
      <c r="P801" s="623">
        <f t="shared" si="18"/>
        <v>27540</v>
      </c>
      <c r="Q801" s="613"/>
      <c r="R801" s="613">
        <v>30600</v>
      </c>
      <c r="S801" s="614">
        <v>275400</v>
      </c>
      <c r="T801" s="614"/>
      <c r="U801" s="614"/>
      <c r="V801" s="614"/>
      <c r="AM801"/>
      <c r="AN801"/>
      <c r="AO801"/>
      <c r="AP801"/>
    </row>
    <row r="802" spans="2:42" ht="12.75">
      <c r="B802" s="97"/>
      <c r="C802" s="75"/>
      <c r="D802" s="663"/>
      <c r="E802" s="615">
        <v>3703</v>
      </c>
      <c r="F802" s="622">
        <v>2046</v>
      </c>
      <c r="G802" s="173"/>
      <c r="H802" s="96"/>
      <c r="I802" s="451"/>
      <c r="O802" s="623">
        <f t="shared" si="17"/>
        <v>204.60000000000002</v>
      </c>
      <c r="P802" s="623">
        <f t="shared" si="18"/>
        <v>1841.4</v>
      </c>
      <c r="Q802" s="613"/>
      <c r="R802" s="613">
        <v>2046</v>
      </c>
      <c r="S802" s="614">
        <v>18414</v>
      </c>
      <c r="T802" s="614"/>
      <c r="U802" s="614"/>
      <c r="V802" s="614"/>
      <c r="AM802"/>
      <c r="AN802"/>
      <c r="AO802"/>
      <c r="AP802"/>
    </row>
    <row r="803" spans="2:42" ht="12.75">
      <c r="B803" s="97"/>
      <c r="C803" s="76"/>
      <c r="D803" s="663"/>
      <c r="E803" s="615">
        <v>3802</v>
      </c>
      <c r="F803" s="622">
        <v>4800</v>
      </c>
      <c r="G803" s="173"/>
      <c r="H803" s="96"/>
      <c r="I803" s="451"/>
      <c r="O803" s="623">
        <f t="shared" si="17"/>
        <v>480</v>
      </c>
      <c r="P803" s="623">
        <f t="shared" si="18"/>
        <v>4320</v>
      </c>
      <c r="Q803" s="613"/>
      <c r="R803" s="613">
        <v>4800</v>
      </c>
      <c r="S803" s="614">
        <v>43200</v>
      </c>
      <c r="T803" s="614"/>
      <c r="U803" s="614"/>
      <c r="V803" s="614"/>
      <c r="AM803"/>
      <c r="AN803"/>
      <c r="AO803"/>
      <c r="AP803"/>
    </row>
    <row r="804" spans="1:42" ht="25.5">
      <c r="A804" t="s">
        <v>25</v>
      </c>
      <c r="B804" s="97">
        <v>89</v>
      </c>
      <c r="C804" s="178" t="s">
        <v>26</v>
      </c>
      <c r="D804" s="663">
        <f>+F804+F808</f>
        <v>484286.6</v>
      </c>
      <c r="E804" s="610">
        <v>2000</v>
      </c>
      <c r="F804" s="611">
        <f>SUM(F805:F807)</f>
        <v>25592.6</v>
      </c>
      <c r="G804" s="173"/>
      <c r="H804" s="96"/>
      <c r="I804" s="451"/>
      <c r="O804" s="623"/>
      <c r="P804" s="623"/>
      <c r="Q804" s="613"/>
      <c r="R804" s="613"/>
      <c r="S804" s="614"/>
      <c r="T804" s="614"/>
      <c r="U804" s="614"/>
      <c r="V804" s="614"/>
      <c r="AM804"/>
      <c r="AN804"/>
      <c r="AO804"/>
      <c r="AP804"/>
    </row>
    <row r="805" spans="2:42" ht="12.75">
      <c r="B805" s="97"/>
      <c r="C805" s="75"/>
      <c r="D805" s="663"/>
      <c r="E805" s="615">
        <v>2101</v>
      </c>
      <c r="F805" s="622">
        <v>9192.6</v>
      </c>
      <c r="G805" s="173"/>
      <c r="H805" s="96"/>
      <c r="I805" s="451"/>
      <c r="O805" s="623">
        <f t="shared" si="17"/>
        <v>919.2600000000001</v>
      </c>
      <c r="P805" s="623">
        <f t="shared" si="18"/>
        <v>8273.34</v>
      </c>
      <c r="Q805" s="613"/>
      <c r="R805" s="613">
        <v>9192.6</v>
      </c>
      <c r="S805" s="614">
        <v>82733.40000000001</v>
      </c>
      <c r="T805" s="614"/>
      <c r="U805" s="614"/>
      <c r="V805" s="614"/>
      <c r="AM805"/>
      <c r="AN805"/>
      <c r="AO805"/>
      <c r="AP805"/>
    </row>
    <row r="806" spans="2:42" ht="12.75">
      <c r="B806" s="97"/>
      <c r="C806" s="75"/>
      <c r="D806" s="663"/>
      <c r="E806" s="615">
        <v>2201</v>
      </c>
      <c r="F806" s="622">
        <v>5000</v>
      </c>
      <c r="G806" s="173"/>
      <c r="H806" s="96"/>
      <c r="I806" s="451"/>
      <c r="O806" s="623">
        <f t="shared" si="17"/>
        <v>500</v>
      </c>
      <c r="P806" s="623">
        <f t="shared" si="18"/>
        <v>4500</v>
      </c>
      <c r="Q806" s="613"/>
      <c r="R806" s="613">
        <v>5000</v>
      </c>
      <c r="S806" s="614">
        <v>45000</v>
      </c>
      <c r="T806" s="614"/>
      <c r="U806" s="614"/>
      <c r="V806" s="614"/>
      <c r="AM806"/>
      <c r="AN806"/>
      <c r="AO806"/>
      <c r="AP806"/>
    </row>
    <row r="807" spans="2:42" ht="12.75">
      <c r="B807" s="97"/>
      <c r="C807" s="75"/>
      <c r="D807" s="663"/>
      <c r="E807" s="615" t="s">
        <v>478</v>
      </c>
      <c r="F807" s="622">
        <v>11400</v>
      </c>
      <c r="G807" s="173" t="s">
        <v>154</v>
      </c>
      <c r="H807" s="96"/>
      <c r="I807" s="451"/>
      <c r="O807" s="623">
        <f t="shared" si="17"/>
        <v>1140</v>
      </c>
      <c r="P807" s="623">
        <f t="shared" si="18"/>
        <v>10260</v>
      </c>
      <c r="Q807" s="613"/>
      <c r="R807" s="613">
        <v>11400</v>
      </c>
      <c r="S807" s="614">
        <v>102600</v>
      </c>
      <c r="T807" s="614"/>
      <c r="U807" s="614"/>
      <c r="V807" s="614"/>
      <c r="AM807"/>
      <c r="AN807"/>
      <c r="AO807"/>
      <c r="AP807"/>
    </row>
    <row r="808" spans="2:42" ht="12.75">
      <c r="B808" s="97"/>
      <c r="C808" s="75"/>
      <c r="D808" s="663"/>
      <c r="E808" s="610">
        <v>3000</v>
      </c>
      <c r="F808" s="611">
        <f>SUM(F809:F813)</f>
        <v>458694</v>
      </c>
      <c r="G808" s="173"/>
      <c r="H808" s="96"/>
      <c r="I808" s="451"/>
      <c r="O808" s="623"/>
      <c r="P808" s="623"/>
      <c r="Q808" s="613"/>
      <c r="R808" s="613"/>
      <c r="S808" s="614"/>
      <c r="T808" s="614"/>
      <c r="U808" s="614"/>
      <c r="V808" s="614"/>
      <c r="AM808"/>
      <c r="AN808"/>
      <c r="AO808"/>
      <c r="AP808"/>
    </row>
    <row r="809" spans="2:42" ht="12.75">
      <c r="B809" s="97"/>
      <c r="C809" s="75"/>
      <c r="D809" s="663"/>
      <c r="E809" s="615">
        <v>3301</v>
      </c>
      <c r="F809" s="622">
        <v>56400</v>
      </c>
      <c r="G809" s="173"/>
      <c r="H809" s="96"/>
      <c r="I809" s="451"/>
      <c r="O809" s="623">
        <f t="shared" si="17"/>
        <v>5640</v>
      </c>
      <c r="P809" s="623">
        <f t="shared" si="18"/>
        <v>50760</v>
      </c>
      <c r="Q809" s="613"/>
      <c r="R809" s="613">
        <v>56400</v>
      </c>
      <c r="S809" s="614">
        <v>507600</v>
      </c>
      <c r="T809" s="614"/>
      <c r="U809" s="614"/>
      <c r="V809" s="614"/>
      <c r="AM809"/>
      <c r="AN809"/>
      <c r="AO809"/>
      <c r="AP809"/>
    </row>
    <row r="810" spans="2:42" ht="12.75">
      <c r="B810" s="97"/>
      <c r="C810" s="75"/>
      <c r="D810" s="663"/>
      <c r="E810" s="615">
        <v>3701</v>
      </c>
      <c r="F810" s="622">
        <v>146240</v>
      </c>
      <c r="G810" s="173" t="s">
        <v>232</v>
      </c>
      <c r="H810" s="96"/>
      <c r="I810" s="451"/>
      <c r="O810" s="623">
        <f t="shared" si="17"/>
        <v>14624</v>
      </c>
      <c r="P810" s="623">
        <f t="shared" si="18"/>
        <v>131616</v>
      </c>
      <c r="Q810" s="613"/>
      <c r="R810" s="613">
        <v>146240</v>
      </c>
      <c r="S810" s="614">
        <v>1316160</v>
      </c>
      <c r="T810" s="614"/>
      <c r="U810" s="614"/>
      <c r="V810" s="614"/>
      <c r="AM810"/>
      <c r="AN810"/>
      <c r="AO810"/>
      <c r="AP810"/>
    </row>
    <row r="811" spans="2:42" ht="12.75">
      <c r="B811" s="97"/>
      <c r="C811" s="75"/>
      <c r="D811" s="663"/>
      <c r="E811" s="615">
        <v>3702</v>
      </c>
      <c r="F811" s="622">
        <v>213350</v>
      </c>
      <c r="G811" s="173"/>
      <c r="H811" s="96"/>
      <c r="I811" s="451"/>
      <c r="O811" s="623">
        <f t="shared" si="17"/>
        <v>21335</v>
      </c>
      <c r="P811" s="623">
        <f t="shared" si="18"/>
        <v>192015</v>
      </c>
      <c r="Q811" s="613"/>
      <c r="R811" s="613">
        <v>213350</v>
      </c>
      <c r="S811" s="614">
        <v>1920150</v>
      </c>
      <c r="T811" s="614"/>
      <c r="U811" s="614"/>
      <c r="V811" s="614"/>
      <c r="AM811"/>
      <c r="AN811"/>
      <c r="AO811"/>
      <c r="AP811"/>
    </row>
    <row r="812" spans="2:42" ht="12.75">
      <c r="B812" s="97"/>
      <c r="C812" s="75"/>
      <c r="D812" s="663"/>
      <c r="E812" s="615">
        <v>3703</v>
      </c>
      <c r="F812" s="622">
        <v>39704</v>
      </c>
      <c r="G812" s="173"/>
      <c r="H812" s="96"/>
      <c r="I812" s="451"/>
      <c r="O812" s="623">
        <f t="shared" si="17"/>
        <v>3970.4</v>
      </c>
      <c r="P812" s="623">
        <f t="shared" si="18"/>
        <v>35733.6</v>
      </c>
      <c r="Q812" s="613"/>
      <c r="R812" s="613">
        <v>39704</v>
      </c>
      <c r="S812" s="614">
        <v>357336</v>
      </c>
      <c r="T812" s="614"/>
      <c r="U812" s="614"/>
      <c r="V812" s="614"/>
      <c r="AM812"/>
      <c r="AN812"/>
      <c r="AO812"/>
      <c r="AP812"/>
    </row>
    <row r="813" spans="2:42" ht="12.75">
      <c r="B813" s="97"/>
      <c r="C813" s="75"/>
      <c r="D813" s="663"/>
      <c r="E813" s="615">
        <v>3802</v>
      </c>
      <c r="F813" s="622">
        <v>3000</v>
      </c>
      <c r="G813" s="173"/>
      <c r="H813" s="96"/>
      <c r="I813" s="451"/>
      <c r="O813" s="623">
        <f t="shared" si="17"/>
        <v>300</v>
      </c>
      <c r="P813" s="623">
        <f t="shared" si="18"/>
        <v>2700</v>
      </c>
      <c r="Q813" s="613"/>
      <c r="R813" s="613">
        <v>3000</v>
      </c>
      <c r="S813" s="614">
        <v>27000</v>
      </c>
      <c r="T813" s="614"/>
      <c r="U813" s="614"/>
      <c r="V813" s="614"/>
      <c r="AM813"/>
      <c r="AN813"/>
      <c r="AO813"/>
      <c r="AP813"/>
    </row>
    <row r="814" spans="1:42" ht="12.75">
      <c r="A814">
        <v>32</v>
      </c>
      <c r="B814" s="97">
        <v>90</v>
      </c>
      <c r="C814" s="178" t="s">
        <v>384</v>
      </c>
      <c r="D814" s="663">
        <f>+F814+F818</f>
        <v>73940.818</v>
      </c>
      <c r="E814" s="635">
        <v>2000</v>
      </c>
      <c r="F814" s="611">
        <f>SUM(F815:F817)</f>
        <v>2980.818</v>
      </c>
      <c r="G814" s="173"/>
      <c r="H814" s="96"/>
      <c r="I814" s="451"/>
      <c r="O814" s="623"/>
      <c r="P814" s="623"/>
      <c r="Q814" s="613"/>
      <c r="R814" s="613"/>
      <c r="S814" s="614"/>
      <c r="T814" s="614"/>
      <c r="U814" s="614"/>
      <c r="V814" s="614"/>
      <c r="AM814"/>
      <c r="AN814"/>
      <c r="AO814"/>
      <c r="AP814"/>
    </row>
    <row r="815" spans="2:42" ht="12.75">
      <c r="B815" s="97"/>
      <c r="C815" s="75"/>
      <c r="D815" s="663"/>
      <c r="E815" s="636">
        <v>2101</v>
      </c>
      <c r="F815" s="622">
        <v>780.8180000000001</v>
      </c>
      <c r="G815" s="173"/>
      <c r="H815" s="96"/>
      <c r="I815" s="451"/>
      <c r="O815" s="623">
        <f aca="true" t="shared" si="19" ref="O815:O841">F815*0.1</f>
        <v>78.08180000000002</v>
      </c>
      <c r="P815" s="623">
        <f aca="true" t="shared" si="20" ref="P815:P841">F815*0.9</f>
        <v>702.7362</v>
      </c>
      <c r="Q815" s="613"/>
      <c r="R815" s="613">
        <v>780.8180000000001</v>
      </c>
      <c r="S815" s="614">
        <v>7027.362</v>
      </c>
      <c r="T815" s="614"/>
      <c r="U815" s="614"/>
      <c r="V815" s="614"/>
      <c r="AM815"/>
      <c r="AN815"/>
      <c r="AO815"/>
      <c r="AP815"/>
    </row>
    <row r="816" spans="2:42" ht="12.75">
      <c r="B816" s="97"/>
      <c r="C816" s="75"/>
      <c r="D816" s="663"/>
      <c r="E816" s="636">
        <v>2201</v>
      </c>
      <c r="F816" s="622">
        <v>600</v>
      </c>
      <c r="G816" s="173"/>
      <c r="H816" s="96"/>
      <c r="I816" s="451"/>
      <c r="O816" s="623">
        <f t="shared" si="19"/>
        <v>60</v>
      </c>
      <c r="P816" s="623">
        <f t="shared" si="20"/>
        <v>540</v>
      </c>
      <c r="Q816" s="613"/>
      <c r="R816" s="613">
        <v>600</v>
      </c>
      <c r="S816" s="614">
        <v>5400</v>
      </c>
      <c r="T816" s="614"/>
      <c r="U816" s="614"/>
      <c r="V816" s="614"/>
      <c r="AM816"/>
      <c r="AN816"/>
      <c r="AO816"/>
      <c r="AP816"/>
    </row>
    <row r="817" spans="2:42" ht="12.75">
      <c r="B817" s="97"/>
      <c r="C817" s="75"/>
      <c r="D817" s="663"/>
      <c r="E817" s="636">
        <v>2601</v>
      </c>
      <c r="F817" s="622">
        <v>1600</v>
      </c>
      <c r="G817" s="173"/>
      <c r="H817" s="96"/>
      <c r="I817" s="451"/>
      <c r="O817" s="623">
        <f t="shared" si="19"/>
        <v>160</v>
      </c>
      <c r="P817" s="623">
        <f t="shared" si="20"/>
        <v>1440</v>
      </c>
      <c r="Q817" s="613"/>
      <c r="R817" s="613">
        <v>1600</v>
      </c>
      <c r="S817" s="614">
        <v>14400</v>
      </c>
      <c r="T817" s="614"/>
      <c r="U817" s="614"/>
      <c r="V817" s="614"/>
      <c r="AM817"/>
      <c r="AN817"/>
      <c r="AO817"/>
      <c r="AP817"/>
    </row>
    <row r="818" spans="2:42" ht="12.75">
      <c r="B818" s="97"/>
      <c r="C818" s="75"/>
      <c r="D818" s="663"/>
      <c r="E818" s="637">
        <v>3000</v>
      </c>
      <c r="F818" s="611">
        <f>SUM(F819:F821)</f>
        <v>70960</v>
      </c>
      <c r="G818" s="173"/>
      <c r="H818" s="96"/>
      <c r="I818" s="451"/>
      <c r="O818" s="623"/>
      <c r="P818" s="623"/>
      <c r="Q818" s="613"/>
      <c r="R818" s="613"/>
      <c r="S818" s="614"/>
      <c r="T818" s="614"/>
      <c r="U818" s="614"/>
      <c r="V818" s="614"/>
      <c r="AM818"/>
      <c r="AN818"/>
      <c r="AO818"/>
      <c r="AP818"/>
    </row>
    <row r="819" spans="2:42" ht="12.75">
      <c r="B819" s="97"/>
      <c r="C819" s="75"/>
      <c r="D819" s="663"/>
      <c r="E819" s="636">
        <v>3701</v>
      </c>
      <c r="F819" s="622">
        <v>39200</v>
      </c>
      <c r="G819" s="173"/>
      <c r="H819" s="96"/>
      <c r="I819" s="451"/>
      <c r="O819" s="623">
        <f t="shared" si="19"/>
        <v>3920</v>
      </c>
      <c r="P819" s="623">
        <f t="shared" si="20"/>
        <v>35280</v>
      </c>
      <c r="Q819" s="613"/>
      <c r="R819" s="613">
        <v>39200</v>
      </c>
      <c r="S819" s="614">
        <v>352800</v>
      </c>
      <c r="T819" s="614"/>
      <c r="U819" s="614"/>
      <c r="V819" s="614"/>
      <c r="AM819"/>
      <c r="AN819"/>
      <c r="AO819"/>
      <c r="AP819"/>
    </row>
    <row r="820" spans="2:42" ht="12.75">
      <c r="B820" s="97"/>
      <c r="C820" s="75"/>
      <c r="D820" s="663"/>
      <c r="E820" s="636">
        <v>3702</v>
      </c>
      <c r="F820" s="622">
        <v>30000</v>
      </c>
      <c r="G820" s="173"/>
      <c r="H820" s="96"/>
      <c r="I820" s="451"/>
      <c r="O820" s="623">
        <f t="shared" si="19"/>
        <v>3000</v>
      </c>
      <c r="P820" s="623">
        <f t="shared" si="20"/>
        <v>27000</v>
      </c>
      <c r="Q820" s="613"/>
      <c r="R820" s="613">
        <v>30000</v>
      </c>
      <c r="S820" s="614">
        <v>270000</v>
      </c>
      <c r="T820" s="614"/>
      <c r="U820" s="614"/>
      <c r="V820" s="614"/>
      <c r="AM820"/>
      <c r="AN820"/>
      <c r="AO820"/>
      <c r="AP820"/>
    </row>
    <row r="821" spans="2:42" ht="12.75">
      <c r="B821" s="97"/>
      <c r="C821" s="76"/>
      <c r="D821" s="663"/>
      <c r="E821" s="636">
        <v>3703</v>
      </c>
      <c r="F821" s="622">
        <v>1760</v>
      </c>
      <c r="G821" s="173"/>
      <c r="H821" s="96"/>
      <c r="I821" s="451"/>
      <c r="O821" s="623">
        <f t="shared" si="19"/>
        <v>176</v>
      </c>
      <c r="P821" s="623">
        <f t="shared" si="20"/>
        <v>1584</v>
      </c>
      <c r="Q821" s="613"/>
      <c r="R821" s="613">
        <v>1760</v>
      </c>
      <c r="S821" s="614">
        <v>15840</v>
      </c>
      <c r="T821" s="614"/>
      <c r="U821" s="614"/>
      <c r="V821" s="614"/>
      <c r="AM821"/>
      <c r="AN821"/>
      <c r="AO821"/>
      <c r="AP821"/>
    </row>
    <row r="822" spans="1:42" ht="25.5">
      <c r="A822">
        <v>33</v>
      </c>
      <c r="B822" s="97">
        <v>91</v>
      </c>
      <c r="C822" s="178" t="s">
        <v>386</v>
      </c>
      <c r="D822" s="663">
        <f>+F822+F824</f>
        <v>54615</v>
      </c>
      <c r="E822" s="637">
        <v>2000</v>
      </c>
      <c r="F822" s="611">
        <f>SUM(F823)</f>
        <v>73</v>
      </c>
      <c r="G822" s="173"/>
      <c r="H822" s="96"/>
      <c r="I822" s="451"/>
      <c r="O822" s="623"/>
      <c r="P822" s="623"/>
      <c r="Q822" s="613"/>
      <c r="R822" s="613"/>
      <c r="S822" s="614"/>
      <c r="T822" s="614"/>
      <c r="U822" s="614"/>
      <c r="V822" s="614"/>
      <c r="AM822"/>
      <c r="AN822"/>
      <c r="AO822"/>
      <c r="AP822"/>
    </row>
    <row r="823" spans="2:42" ht="12.75">
      <c r="B823" s="97"/>
      <c r="C823" s="75"/>
      <c r="D823" s="663"/>
      <c r="E823" s="638">
        <v>2101</v>
      </c>
      <c r="F823" s="622">
        <v>73</v>
      </c>
      <c r="G823" s="173"/>
      <c r="H823" s="96"/>
      <c r="I823" s="451"/>
      <c r="O823" s="623">
        <f t="shared" si="19"/>
        <v>7.300000000000001</v>
      </c>
      <c r="P823" s="623">
        <f t="shared" si="20"/>
        <v>65.7</v>
      </c>
      <c r="Q823" s="613"/>
      <c r="R823" s="613">
        <v>73</v>
      </c>
      <c r="S823" s="614">
        <v>657</v>
      </c>
      <c r="T823" s="614"/>
      <c r="U823" s="614"/>
      <c r="V823" s="614"/>
      <c r="AM823"/>
      <c r="AN823"/>
      <c r="AO823"/>
      <c r="AP823"/>
    </row>
    <row r="824" spans="2:42" ht="12.75">
      <c r="B824" s="97"/>
      <c r="C824" s="75"/>
      <c r="D824" s="663"/>
      <c r="E824" s="610">
        <v>3000</v>
      </c>
      <c r="F824" s="611">
        <f>SUM(F825:F828)</f>
        <v>54542</v>
      </c>
      <c r="G824" s="173"/>
      <c r="H824" s="96"/>
      <c r="I824" s="451"/>
      <c r="O824" s="623"/>
      <c r="P824" s="623"/>
      <c r="Q824" s="613"/>
      <c r="R824" s="613"/>
      <c r="S824" s="614"/>
      <c r="T824" s="614"/>
      <c r="U824" s="614"/>
      <c r="V824" s="614"/>
      <c r="AM824"/>
      <c r="AN824"/>
      <c r="AO824"/>
      <c r="AP824"/>
    </row>
    <row r="825" spans="2:42" ht="12.75">
      <c r="B825" s="97"/>
      <c r="C825" s="75"/>
      <c r="D825" s="663"/>
      <c r="E825" s="615">
        <v>3701</v>
      </c>
      <c r="F825" s="622">
        <v>17220</v>
      </c>
      <c r="G825" s="173"/>
      <c r="H825" s="96"/>
      <c r="I825" s="451"/>
      <c r="O825" s="623">
        <f t="shared" si="19"/>
        <v>1722</v>
      </c>
      <c r="P825" s="623">
        <f t="shared" si="20"/>
        <v>15498</v>
      </c>
      <c r="Q825" s="613"/>
      <c r="R825" s="613">
        <v>17220</v>
      </c>
      <c r="S825" s="614">
        <v>154980</v>
      </c>
      <c r="T825" s="614"/>
      <c r="U825" s="614"/>
      <c r="V825" s="614"/>
      <c r="AM825"/>
      <c r="AN825"/>
      <c r="AO825"/>
      <c r="AP825"/>
    </row>
    <row r="826" spans="2:42" ht="12.75">
      <c r="B826" s="97"/>
      <c r="C826" s="75"/>
      <c r="D826" s="663"/>
      <c r="E826" s="615">
        <v>3702</v>
      </c>
      <c r="F826" s="622">
        <v>7950</v>
      </c>
      <c r="G826" s="173"/>
      <c r="H826" s="96"/>
      <c r="I826" s="451"/>
      <c r="O826" s="623">
        <f t="shared" si="19"/>
        <v>795</v>
      </c>
      <c r="P826" s="623">
        <f t="shared" si="20"/>
        <v>7155</v>
      </c>
      <c r="Q826" s="613"/>
      <c r="R826" s="613">
        <v>7950</v>
      </c>
      <c r="S826" s="614">
        <v>71550</v>
      </c>
      <c r="T826" s="614"/>
      <c r="U826" s="614"/>
      <c r="V826" s="614"/>
      <c r="AM826"/>
      <c r="AN826"/>
      <c r="AO826"/>
      <c r="AP826"/>
    </row>
    <row r="827" spans="2:42" ht="12.75">
      <c r="B827" s="97"/>
      <c r="C827" s="75"/>
      <c r="D827" s="663"/>
      <c r="E827" s="615">
        <v>3703</v>
      </c>
      <c r="F827" s="622">
        <v>572</v>
      </c>
      <c r="G827" s="173"/>
      <c r="H827" s="96"/>
      <c r="I827" s="451"/>
      <c r="O827" s="623">
        <f t="shared" si="19"/>
        <v>57.2</v>
      </c>
      <c r="P827" s="623">
        <f t="shared" si="20"/>
        <v>514.8000000000001</v>
      </c>
      <c r="Q827" s="613"/>
      <c r="R827" s="613">
        <v>572</v>
      </c>
      <c r="S827" s="614">
        <v>5148</v>
      </c>
      <c r="T827" s="614"/>
      <c r="U827" s="614"/>
      <c r="V827" s="614"/>
      <c r="AM827"/>
      <c r="AN827"/>
      <c r="AO827"/>
      <c r="AP827"/>
    </row>
    <row r="828" spans="2:42" ht="12.75">
      <c r="B828" s="97"/>
      <c r="C828" s="76"/>
      <c r="D828" s="663"/>
      <c r="E828" s="615">
        <v>3904</v>
      </c>
      <c r="F828" s="622">
        <v>28800</v>
      </c>
      <c r="G828" s="173"/>
      <c r="H828" s="96"/>
      <c r="I828" s="451"/>
      <c r="O828" s="623">
        <f t="shared" si="19"/>
        <v>2880</v>
      </c>
      <c r="P828" s="623">
        <f t="shared" si="20"/>
        <v>25920</v>
      </c>
      <c r="Q828" s="613"/>
      <c r="R828" s="613">
        <v>28800</v>
      </c>
      <c r="S828" s="614">
        <v>259200</v>
      </c>
      <c r="T828" s="614"/>
      <c r="U828" s="614"/>
      <c r="V828" s="614"/>
      <c r="AM828"/>
      <c r="AN828"/>
      <c r="AO828"/>
      <c r="AP828"/>
    </row>
    <row r="829" spans="2:42" ht="25.5">
      <c r="B829" s="97">
        <v>92</v>
      </c>
      <c r="C829" s="178" t="s">
        <v>20</v>
      </c>
      <c r="D829" s="663">
        <f>+F829+F833</f>
        <v>77840</v>
      </c>
      <c r="E829" s="637">
        <v>2000</v>
      </c>
      <c r="F829" s="611">
        <f>SUM(F830:F832)</f>
        <v>28000</v>
      </c>
      <c r="G829" s="173"/>
      <c r="H829" s="96"/>
      <c r="I829" s="451"/>
      <c r="O829" s="623"/>
      <c r="P829" s="623"/>
      <c r="Q829" s="613"/>
      <c r="R829" s="613"/>
      <c r="S829" s="614"/>
      <c r="T829" s="614"/>
      <c r="U829" s="614"/>
      <c r="V829" s="614"/>
      <c r="AM829"/>
      <c r="AN829"/>
      <c r="AO829"/>
      <c r="AP829"/>
    </row>
    <row r="830" spans="2:42" ht="12.75">
      <c r="B830" s="97"/>
      <c r="C830" s="75"/>
      <c r="D830" s="663"/>
      <c r="E830" s="615" t="s">
        <v>473</v>
      </c>
      <c r="F830" s="622">
        <v>10000</v>
      </c>
      <c r="G830" s="173"/>
      <c r="H830" s="96"/>
      <c r="I830" s="451"/>
      <c r="O830" s="623">
        <f t="shared" si="19"/>
        <v>1000</v>
      </c>
      <c r="P830" s="623">
        <f t="shared" si="20"/>
        <v>9000</v>
      </c>
      <c r="Q830" s="613"/>
      <c r="R830" s="613">
        <v>10000</v>
      </c>
      <c r="S830" s="614">
        <v>90000</v>
      </c>
      <c r="T830" s="614"/>
      <c r="U830" s="614"/>
      <c r="V830" s="614"/>
      <c r="AM830"/>
      <c r="AN830"/>
      <c r="AO830"/>
      <c r="AP830"/>
    </row>
    <row r="831" spans="2:42" ht="12.75">
      <c r="B831" s="97"/>
      <c r="C831" s="75"/>
      <c r="D831" s="663"/>
      <c r="E831" s="615" t="s">
        <v>474</v>
      </c>
      <c r="F831" s="622">
        <v>2000</v>
      </c>
      <c r="G831" s="173"/>
      <c r="H831" s="96"/>
      <c r="I831" s="451"/>
      <c r="O831" s="623">
        <f t="shared" si="19"/>
        <v>200</v>
      </c>
      <c r="P831" s="623">
        <f t="shared" si="20"/>
        <v>1800</v>
      </c>
      <c r="Q831" s="613"/>
      <c r="R831" s="613">
        <v>2000</v>
      </c>
      <c r="S831" s="614">
        <v>18000</v>
      </c>
      <c r="T831" s="614"/>
      <c r="U831" s="614"/>
      <c r="V831" s="614"/>
      <c r="AM831"/>
      <c r="AN831"/>
      <c r="AO831"/>
      <c r="AP831"/>
    </row>
    <row r="832" spans="2:42" ht="12.75">
      <c r="B832" s="97"/>
      <c r="C832" s="75"/>
      <c r="D832" s="663"/>
      <c r="E832" s="615">
        <v>2601</v>
      </c>
      <c r="F832" s="622">
        <v>16000</v>
      </c>
      <c r="G832" s="173" t="s">
        <v>154</v>
      </c>
      <c r="H832" s="96"/>
      <c r="I832" s="451"/>
      <c r="O832" s="623">
        <f t="shared" si="19"/>
        <v>1600</v>
      </c>
      <c r="P832" s="623">
        <f t="shared" si="20"/>
        <v>14400</v>
      </c>
      <c r="Q832" s="613"/>
      <c r="R832" s="613">
        <v>16000</v>
      </c>
      <c r="S832" s="614">
        <v>144000</v>
      </c>
      <c r="T832" s="614"/>
      <c r="U832" s="614"/>
      <c r="V832" s="614"/>
      <c r="AM832"/>
      <c r="AN832"/>
      <c r="AO832"/>
      <c r="AP832"/>
    </row>
    <row r="833" spans="2:42" ht="12.75">
      <c r="B833" s="97"/>
      <c r="C833" s="75"/>
      <c r="D833" s="663"/>
      <c r="E833" s="610">
        <v>3000</v>
      </c>
      <c r="F833" s="611">
        <f>SUM(F834:F836)</f>
        <v>49840</v>
      </c>
      <c r="G833" s="173"/>
      <c r="H833" s="96"/>
      <c r="I833" s="451"/>
      <c r="O833" s="623"/>
      <c r="P833" s="623"/>
      <c r="Q833" s="613"/>
      <c r="R833" s="613"/>
      <c r="S833" s="614"/>
      <c r="T833" s="614"/>
      <c r="U833" s="614"/>
      <c r="V833" s="614"/>
      <c r="AM833"/>
      <c r="AN833"/>
      <c r="AO833"/>
      <c r="AP833"/>
    </row>
    <row r="834" spans="2:42" ht="12.75">
      <c r="B834" s="97"/>
      <c r="C834" s="75"/>
      <c r="D834" s="663"/>
      <c r="E834" s="615">
        <v>3702</v>
      </c>
      <c r="F834" s="622">
        <v>38400</v>
      </c>
      <c r="G834" s="173" t="s">
        <v>232</v>
      </c>
      <c r="H834" s="96"/>
      <c r="I834" s="451"/>
      <c r="O834" s="623">
        <f t="shared" si="19"/>
        <v>3840</v>
      </c>
      <c r="P834" s="623">
        <f t="shared" si="20"/>
        <v>34560</v>
      </c>
      <c r="Q834" s="613"/>
      <c r="R834" s="613">
        <v>38400</v>
      </c>
      <c r="S834" s="614">
        <v>345600</v>
      </c>
      <c r="T834" s="614"/>
      <c r="U834" s="614"/>
      <c r="V834" s="614"/>
      <c r="AM834"/>
      <c r="AN834"/>
      <c r="AO834"/>
      <c r="AP834"/>
    </row>
    <row r="835" spans="2:42" ht="12.75">
      <c r="B835" s="97"/>
      <c r="C835" s="75"/>
      <c r="D835" s="663"/>
      <c r="E835" s="615">
        <v>3703</v>
      </c>
      <c r="F835" s="622">
        <v>10240</v>
      </c>
      <c r="G835" s="173"/>
      <c r="H835" s="96"/>
      <c r="I835" s="451"/>
      <c r="O835" s="623">
        <f t="shared" si="19"/>
        <v>1024</v>
      </c>
      <c r="P835" s="623">
        <f t="shared" si="20"/>
        <v>9216</v>
      </c>
      <c r="Q835" s="613"/>
      <c r="R835" s="613">
        <v>10240</v>
      </c>
      <c r="S835" s="614">
        <v>92160</v>
      </c>
      <c r="T835" s="614"/>
      <c r="U835" s="614"/>
      <c r="V835" s="614"/>
      <c r="AM835"/>
      <c r="AN835"/>
      <c r="AO835"/>
      <c r="AP835"/>
    </row>
    <row r="836" spans="2:42" ht="12.75">
      <c r="B836" s="97"/>
      <c r="C836" s="75"/>
      <c r="D836" s="663"/>
      <c r="E836" s="615">
        <v>3903</v>
      </c>
      <c r="F836" s="622">
        <v>1200</v>
      </c>
      <c r="G836" s="173"/>
      <c r="H836" s="96"/>
      <c r="I836" s="451"/>
      <c r="O836" s="623">
        <f t="shared" si="19"/>
        <v>120</v>
      </c>
      <c r="P836" s="623">
        <f t="shared" si="20"/>
        <v>1080</v>
      </c>
      <c r="Q836" s="613"/>
      <c r="R836" s="613">
        <v>1200</v>
      </c>
      <c r="S836" s="614">
        <v>10800</v>
      </c>
      <c r="T836" s="614"/>
      <c r="U836" s="614"/>
      <c r="V836" s="614"/>
      <c r="AM836"/>
      <c r="AN836"/>
      <c r="AO836"/>
      <c r="AP836"/>
    </row>
    <row r="837" spans="1:42" ht="25.5">
      <c r="A837">
        <v>37</v>
      </c>
      <c r="B837" s="97">
        <v>93</v>
      </c>
      <c r="C837" s="178" t="s">
        <v>390</v>
      </c>
      <c r="D837" s="663">
        <f>+F837+F840</f>
        <v>14300</v>
      </c>
      <c r="E837" s="610">
        <v>2000</v>
      </c>
      <c r="F837" s="611">
        <f>SUM(F838:F839)</f>
        <v>12950</v>
      </c>
      <c r="G837" s="173"/>
      <c r="H837" s="96"/>
      <c r="I837" s="451"/>
      <c r="O837" s="623"/>
      <c r="P837" s="623"/>
      <c r="Q837" s="613"/>
      <c r="R837" s="613"/>
      <c r="S837" s="614"/>
      <c r="T837" s="614"/>
      <c r="U837" s="614"/>
      <c r="V837" s="614"/>
      <c r="AM837"/>
      <c r="AN837"/>
      <c r="AO837"/>
      <c r="AP837"/>
    </row>
    <row r="838" spans="2:42" ht="12.75">
      <c r="B838" s="97"/>
      <c r="C838" s="75"/>
      <c r="D838" s="663"/>
      <c r="E838" s="615">
        <v>2104</v>
      </c>
      <c r="F838" s="622">
        <v>4800</v>
      </c>
      <c r="G838" s="173"/>
      <c r="H838" s="96"/>
      <c r="I838" s="451"/>
      <c r="O838" s="623">
        <f t="shared" si="19"/>
        <v>480</v>
      </c>
      <c r="P838" s="623">
        <f t="shared" si="20"/>
        <v>4320</v>
      </c>
      <c r="Q838" s="613"/>
      <c r="R838" s="613">
        <v>4800</v>
      </c>
      <c r="S838" s="614">
        <v>43200</v>
      </c>
      <c r="T838" s="614"/>
      <c r="U838" s="614"/>
      <c r="V838" s="614"/>
      <c r="AM838"/>
      <c r="AN838"/>
      <c r="AO838"/>
      <c r="AP838"/>
    </row>
    <row r="839" spans="2:42" ht="12.75">
      <c r="B839" s="97"/>
      <c r="C839" s="75"/>
      <c r="D839" s="663"/>
      <c r="E839" s="615">
        <v>2601</v>
      </c>
      <c r="F839" s="622">
        <v>8150</v>
      </c>
      <c r="G839" s="173"/>
      <c r="H839" s="96"/>
      <c r="I839" s="451"/>
      <c r="O839" s="623">
        <f t="shared" si="19"/>
        <v>815</v>
      </c>
      <c r="P839" s="623">
        <f t="shared" si="20"/>
        <v>7335</v>
      </c>
      <c r="Q839" s="613"/>
      <c r="R839" s="613">
        <v>8150</v>
      </c>
      <c r="S839" s="614">
        <v>73350</v>
      </c>
      <c r="T839" s="614"/>
      <c r="U839" s="614"/>
      <c r="V839" s="614"/>
      <c r="AM839"/>
      <c r="AN839"/>
      <c r="AO839"/>
      <c r="AP839"/>
    </row>
    <row r="840" spans="2:42" ht="12.75">
      <c r="B840" s="97"/>
      <c r="C840" s="75"/>
      <c r="D840" s="663"/>
      <c r="E840" s="610">
        <v>3000</v>
      </c>
      <c r="F840" s="611">
        <f>SUM(F841)</f>
        <v>1350</v>
      </c>
      <c r="G840" s="173"/>
      <c r="H840" s="96"/>
      <c r="I840" s="451"/>
      <c r="O840" s="623"/>
      <c r="P840" s="623"/>
      <c r="Q840" s="613"/>
      <c r="R840" s="613"/>
      <c r="S840" s="614"/>
      <c r="T840" s="614"/>
      <c r="U840" s="614"/>
      <c r="V840" s="614"/>
      <c r="AM840"/>
      <c r="AN840"/>
      <c r="AO840"/>
      <c r="AP840"/>
    </row>
    <row r="841" spans="2:42" ht="12.75">
      <c r="B841" s="172"/>
      <c r="C841" s="76"/>
      <c r="D841" s="663"/>
      <c r="E841" s="615">
        <v>3401</v>
      </c>
      <c r="F841" s="622">
        <v>1350</v>
      </c>
      <c r="G841" s="173"/>
      <c r="H841" s="96"/>
      <c r="I841" s="451"/>
      <c r="O841" s="623">
        <f t="shared" si="19"/>
        <v>135</v>
      </c>
      <c r="P841" s="623">
        <f t="shared" si="20"/>
        <v>1215</v>
      </c>
      <c r="Q841" s="613"/>
      <c r="R841" s="613">
        <v>1350</v>
      </c>
      <c r="S841" s="614">
        <v>12150</v>
      </c>
      <c r="T841" s="614"/>
      <c r="U841" s="614"/>
      <c r="V841" s="614"/>
      <c r="AM841"/>
      <c r="AN841"/>
      <c r="AO841"/>
      <c r="AP841"/>
    </row>
    <row r="842" spans="1:42" ht="25.5">
      <c r="A842">
        <v>38</v>
      </c>
      <c r="B842" s="172">
        <v>94</v>
      </c>
      <c r="C842" s="178" t="s">
        <v>5</v>
      </c>
      <c r="D842" s="663">
        <f>SUM(F842)</f>
        <v>149800</v>
      </c>
      <c r="E842" s="610">
        <v>2000</v>
      </c>
      <c r="F842" s="611">
        <f>+F843</f>
        <v>149800</v>
      </c>
      <c r="G842" s="173"/>
      <c r="H842" s="96"/>
      <c r="I842" s="451"/>
      <c r="O842" s="613"/>
      <c r="P842" s="613"/>
      <c r="Q842" s="613"/>
      <c r="R842" s="613"/>
      <c r="S842" s="614"/>
      <c r="T842" s="614"/>
      <c r="U842" s="614"/>
      <c r="V842" s="614"/>
      <c r="AM842"/>
      <c r="AN842"/>
      <c r="AO842"/>
      <c r="AP842"/>
    </row>
    <row r="843" spans="2:42" ht="12.75">
      <c r="B843" s="172"/>
      <c r="C843" s="75"/>
      <c r="D843" s="663"/>
      <c r="E843" s="615">
        <v>2103</v>
      </c>
      <c r="F843" s="622">
        <v>149800</v>
      </c>
      <c r="G843" s="173"/>
      <c r="H843" s="96"/>
      <c r="I843" s="451"/>
      <c r="O843" s="619">
        <f>F843</f>
        <v>149800</v>
      </c>
      <c r="P843" s="613"/>
      <c r="Q843" s="613"/>
      <c r="R843" s="613">
        <v>149800</v>
      </c>
      <c r="S843" s="614"/>
      <c r="T843" s="614"/>
      <c r="U843" s="614"/>
      <c r="V843" s="614"/>
      <c r="AM843"/>
      <c r="AN843"/>
      <c r="AO843"/>
      <c r="AP843"/>
    </row>
    <row r="844" spans="1:42" ht="25.5">
      <c r="A844">
        <v>39</v>
      </c>
      <c r="B844" s="97">
        <v>95</v>
      </c>
      <c r="C844" s="178" t="s">
        <v>252</v>
      </c>
      <c r="D844" s="663">
        <f>+F844+F854</f>
        <v>59726.303</v>
      </c>
      <c r="E844" s="610">
        <v>2000</v>
      </c>
      <c r="F844" s="611">
        <f>SUM(F845:F853)</f>
        <v>10641.203</v>
      </c>
      <c r="G844" s="173"/>
      <c r="H844" s="96"/>
      <c r="I844" s="451"/>
      <c r="O844" s="613"/>
      <c r="P844" s="613"/>
      <c r="Q844" s="613"/>
      <c r="R844" s="613"/>
      <c r="S844" s="614"/>
      <c r="T844" s="614"/>
      <c r="U844" s="614"/>
      <c r="V844" s="614"/>
      <c r="AM844"/>
      <c r="AN844"/>
      <c r="AO844"/>
      <c r="AP844"/>
    </row>
    <row r="845" spans="2:42" ht="12.75">
      <c r="B845" s="97"/>
      <c r="C845" s="75"/>
      <c r="D845" s="663"/>
      <c r="E845" s="615">
        <v>2101</v>
      </c>
      <c r="F845" s="622">
        <v>3225.1000000000004</v>
      </c>
      <c r="G845" s="173"/>
      <c r="H845" s="96"/>
      <c r="I845" s="451"/>
      <c r="O845" s="617">
        <f>F845*0.1</f>
        <v>322.51000000000005</v>
      </c>
      <c r="P845" s="617">
        <f>F845*0.9</f>
        <v>2902.5900000000006</v>
      </c>
      <c r="Q845" s="613"/>
      <c r="R845" s="613">
        <v>3225.1000000000004</v>
      </c>
      <c r="S845" s="614">
        <v>29025.9</v>
      </c>
      <c r="T845" s="614"/>
      <c r="U845" s="614"/>
      <c r="V845" s="614"/>
      <c r="AM845"/>
      <c r="AN845"/>
      <c r="AO845"/>
      <c r="AP845"/>
    </row>
    <row r="846" spans="2:42" ht="12.75">
      <c r="B846" s="97"/>
      <c r="C846" s="75"/>
      <c r="D846" s="663"/>
      <c r="E846" s="615">
        <v>2104</v>
      </c>
      <c r="F846" s="622">
        <v>739.2</v>
      </c>
      <c r="G846" s="173"/>
      <c r="H846" s="96"/>
      <c r="I846" s="451"/>
      <c r="O846" s="617">
        <f aca="true" t="shared" si="21" ref="O846:O860">F846*0.1</f>
        <v>73.92</v>
      </c>
      <c r="P846" s="617">
        <f aca="true" t="shared" si="22" ref="P846:P860">F846*0.9</f>
        <v>665.2800000000001</v>
      </c>
      <c r="Q846" s="613"/>
      <c r="R846" s="613">
        <v>739.2</v>
      </c>
      <c r="S846" s="614">
        <v>6652.8</v>
      </c>
      <c r="T846" s="614"/>
      <c r="U846" s="614"/>
      <c r="V846" s="614"/>
      <c r="AM846"/>
      <c r="AN846"/>
      <c r="AO846"/>
      <c r="AP846"/>
    </row>
    <row r="847" spans="2:42" ht="12.75">
      <c r="B847" s="97"/>
      <c r="C847" s="75"/>
      <c r="D847" s="663"/>
      <c r="E847" s="615">
        <v>2105</v>
      </c>
      <c r="F847" s="622">
        <v>772.8000000000001</v>
      </c>
      <c r="G847" s="173"/>
      <c r="H847" s="96"/>
      <c r="I847" s="451"/>
      <c r="O847" s="617">
        <f t="shared" si="21"/>
        <v>77.28000000000002</v>
      </c>
      <c r="P847" s="617">
        <f t="shared" si="22"/>
        <v>695.5200000000001</v>
      </c>
      <c r="Q847" s="613"/>
      <c r="R847" s="613">
        <v>772.8000000000001</v>
      </c>
      <c r="S847" s="614">
        <v>6955.2</v>
      </c>
      <c r="T847" s="614"/>
      <c r="U847" s="614"/>
      <c r="V847" s="614"/>
      <c r="AM847"/>
      <c r="AN847"/>
      <c r="AO847"/>
      <c r="AP847"/>
    </row>
    <row r="848" spans="2:42" ht="12.75">
      <c r="B848" s="97"/>
      <c r="C848" s="75"/>
      <c r="D848" s="663"/>
      <c r="E848" s="615">
        <v>2106</v>
      </c>
      <c r="F848" s="622">
        <v>594</v>
      </c>
      <c r="G848" s="173"/>
      <c r="H848" s="96"/>
      <c r="I848" s="451"/>
      <c r="O848" s="617">
        <f t="shared" si="21"/>
        <v>59.400000000000006</v>
      </c>
      <c r="P848" s="617">
        <f t="shared" si="22"/>
        <v>534.6</v>
      </c>
      <c r="Q848" s="613"/>
      <c r="R848" s="613">
        <v>594</v>
      </c>
      <c r="S848" s="614">
        <v>5346</v>
      </c>
      <c r="T848" s="614"/>
      <c r="U848" s="614"/>
      <c r="V848" s="614"/>
      <c r="AM848"/>
      <c r="AN848"/>
      <c r="AO848"/>
      <c r="AP848"/>
    </row>
    <row r="849" spans="2:42" ht="12.75">
      <c r="B849" s="97"/>
      <c r="C849" s="75"/>
      <c r="D849" s="663"/>
      <c r="E849" s="615">
        <v>2201</v>
      </c>
      <c r="F849" s="622">
        <v>2401.4</v>
      </c>
      <c r="G849" s="173"/>
      <c r="H849" s="96"/>
      <c r="I849" s="451"/>
      <c r="O849" s="617">
        <f t="shared" si="21"/>
        <v>240.14000000000001</v>
      </c>
      <c r="P849" s="617">
        <f t="shared" si="22"/>
        <v>2161.26</v>
      </c>
      <c r="Q849" s="613"/>
      <c r="R849" s="613">
        <v>2401.4</v>
      </c>
      <c r="S849" s="614">
        <v>21612.600000000002</v>
      </c>
      <c r="T849" s="614"/>
      <c r="U849" s="614"/>
      <c r="V849" s="614"/>
      <c r="AM849"/>
      <c r="AN849"/>
      <c r="AO849"/>
      <c r="AP849"/>
    </row>
    <row r="850" spans="2:42" ht="12.75">
      <c r="B850" s="97"/>
      <c r="C850" s="75"/>
      <c r="D850" s="663"/>
      <c r="E850" s="615">
        <v>2206</v>
      </c>
      <c r="F850" s="622">
        <v>15.103000000000002</v>
      </c>
      <c r="G850" s="173"/>
      <c r="H850" s="96"/>
      <c r="I850" s="451"/>
      <c r="O850" s="617">
        <f t="shared" si="21"/>
        <v>1.5103000000000002</v>
      </c>
      <c r="P850" s="617">
        <f t="shared" si="22"/>
        <v>13.592700000000002</v>
      </c>
      <c r="Q850" s="613"/>
      <c r="R850" s="613">
        <v>15.103000000000002</v>
      </c>
      <c r="S850" s="614">
        <v>135.927</v>
      </c>
      <c r="T850" s="614"/>
      <c r="U850" s="614"/>
      <c r="V850" s="614"/>
      <c r="AM850"/>
      <c r="AN850"/>
      <c r="AO850"/>
      <c r="AP850"/>
    </row>
    <row r="851" spans="2:42" ht="12.75">
      <c r="B851" s="97"/>
      <c r="C851" s="75"/>
      <c r="D851" s="663"/>
      <c r="E851" s="615">
        <v>2304</v>
      </c>
      <c r="F851" s="622">
        <v>41.800000000000004</v>
      </c>
      <c r="G851" s="173"/>
      <c r="H851" s="96"/>
      <c r="I851" s="451"/>
      <c r="O851" s="617">
        <f t="shared" si="21"/>
        <v>4.180000000000001</v>
      </c>
      <c r="P851" s="617">
        <f t="shared" si="22"/>
        <v>37.620000000000005</v>
      </c>
      <c r="Q851" s="613"/>
      <c r="R851" s="613">
        <v>41.800000000000004</v>
      </c>
      <c r="S851" s="614">
        <v>376.2</v>
      </c>
      <c r="T851" s="614"/>
      <c r="U851" s="614"/>
      <c r="V851" s="614"/>
      <c r="AM851"/>
      <c r="AN851"/>
      <c r="AO851"/>
      <c r="AP851"/>
    </row>
    <row r="852" spans="2:42" ht="12.75">
      <c r="B852" s="97"/>
      <c r="C852" s="75"/>
      <c r="D852" s="663"/>
      <c r="E852" s="615">
        <v>2403</v>
      </c>
      <c r="F852" s="622">
        <v>431.8</v>
      </c>
      <c r="G852" s="173"/>
      <c r="H852" s="96"/>
      <c r="I852" s="451"/>
      <c r="O852" s="617">
        <f t="shared" si="21"/>
        <v>43.18000000000001</v>
      </c>
      <c r="P852" s="617">
        <f t="shared" si="22"/>
        <v>388.62</v>
      </c>
      <c r="Q852" s="613"/>
      <c r="R852" s="613">
        <v>431.8</v>
      </c>
      <c r="S852" s="614">
        <v>3886.2000000000003</v>
      </c>
      <c r="T852" s="614"/>
      <c r="U852" s="614"/>
      <c r="V852" s="614"/>
      <c r="AM852"/>
      <c r="AN852"/>
      <c r="AO852"/>
      <c r="AP852"/>
    </row>
    <row r="853" spans="2:42" ht="12.75">
      <c r="B853" s="97"/>
      <c r="C853" s="75"/>
      <c r="D853" s="663"/>
      <c r="E853" s="615">
        <v>2601</v>
      </c>
      <c r="F853" s="622">
        <v>2420</v>
      </c>
      <c r="G853" s="173"/>
      <c r="H853" s="96"/>
      <c r="I853" s="451"/>
      <c r="O853" s="617">
        <f t="shared" si="21"/>
        <v>242</v>
      </c>
      <c r="P853" s="617">
        <f t="shared" si="22"/>
        <v>2178</v>
      </c>
      <c r="Q853" s="613"/>
      <c r="R853" s="613">
        <v>2420</v>
      </c>
      <c r="S853" s="614">
        <v>21780</v>
      </c>
      <c r="T853" s="614"/>
      <c r="U853" s="614"/>
      <c r="V853" s="614"/>
      <c r="AM853"/>
      <c r="AN853"/>
      <c r="AO853"/>
      <c r="AP853"/>
    </row>
    <row r="854" spans="2:42" ht="12.75">
      <c r="B854" s="97"/>
      <c r="C854" s="75"/>
      <c r="D854" s="663"/>
      <c r="E854" s="610">
        <v>3000</v>
      </c>
      <c r="F854" s="611">
        <f>SUM(F855:F860)</f>
        <v>49085.1</v>
      </c>
      <c r="G854" s="173"/>
      <c r="H854" s="96"/>
      <c r="I854" s="451"/>
      <c r="O854" s="617"/>
      <c r="P854" s="617"/>
      <c r="Q854" s="613"/>
      <c r="R854" s="613"/>
      <c r="S854" s="614"/>
      <c r="T854" s="614"/>
      <c r="U854" s="614"/>
      <c r="V854" s="614"/>
      <c r="AM854"/>
      <c r="AN854"/>
      <c r="AO854"/>
      <c r="AP854"/>
    </row>
    <row r="855" spans="2:42" ht="12.75">
      <c r="B855" s="97"/>
      <c r="C855" s="75"/>
      <c r="D855" s="663"/>
      <c r="E855" s="615">
        <v>3205</v>
      </c>
      <c r="F855" s="622">
        <v>559.9</v>
      </c>
      <c r="G855" s="173"/>
      <c r="H855" s="96"/>
      <c r="I855" s="451"/>
      <c r="O855" s="617">
        <f t="shared" si="21"/>
        <v>55.99</v>
      </c>
      <c r="P855" s="617">
        <f t="shared" si="22"/>
        <v>503.90999999999997</v>
      </c>
      <c r="Q855" s="613"/>
      <c r="R855" s="613">
        <v>559.9</v>
      </c>
      <c r="S855" s="614">
        <v>5039.1</v>
      </c>
      <c r="T855" s="614"/>
      <c r="U855" s="614"/>
      <c r="V855" s="614"/>
      <c r="AM855"/>
      <c r="AN855"/>
      <c r="AO855"/>
      <c r="AP855"/>
    </row>
    <row r="856" spans="2:42" ht="12.75">
      <c r="B856" s="97"/>
      <c r="C856" s="75"/>
      <c r="D856" s="663"/>
      <c r="E856" s="615">
        <v>3301</v>
      </c>
      <c r="F856" s="622">
        <v>18401.2</v>
      </c>
      <c r="G856" s="173"/>
      <c r="H856" s="96"/>
      <c r="I856" s="451"/>
      <c r="O856" s="617">
        <f t="shared" si="21"/>
        <v>1840.1200000000001</v>
      </c>
      <c r="P856" s="617">
        <f t="shared" si="22"/>
        <v>16561.08</v>
      </c>
      <c r="Q856" s="613"/>
      <c r="R856" s="613">
        <v>18401.2</v>
      </c>
      <c r="S856" s="614">
        <v>165610.80000000002</v>
      </c>
      <c r="T856" s="614"/>
      <c r="U856" s="614"/>
      <c r="V856" s="614"/>
      <c r="AM856"/>
      <c r="AN856"/>
      <c r="AO856"/>
      <c r="AP856"/>
    </row>
    <row r="857" spans="2:42" ht="12.75">
      <c r="B857" s="97"/>
      <c r="C857" s="75"/>
      <c r="D857" s="663"/>
      <c r="E857" s="615">
        <v>3304</v>
      </c>
      <c r="F857" s="622">
        <v>250</v>
      </c>
      <c r="G857" s="173"/>
      <c r="H857" s="96"/>
      <c r="I857" s="451"/>
      <c r="O857" s="617">
        <f t="shared" si="21"/>
        <v>25</v>
      </c>
      <c r="P857" s="617">
        <f t="shared" si="22"/>
        <v>225</v>
      </c>
      <c r="Q857" s="613"/>
      <c r="R857" s="613">
        <v>250</v>
      </c>
      <c r="S857" s="614">
        <v>2250</v>
      </c>
      <c r="T857" s="614"/>
      <c r="U857" s="614"/>
      <c r="V857" s="614"/>
      <c r="AM857"/>
      <c r="AN857"/>
      <c r="AO857"/>
      <c r="AP857"/>
    </row>
    <row r="858" spans="2:42" ht="12.75">
      <c r="B858" s="97"/>
      <c r="C858" s="75"/>
      <c r="D858" s="663"/>
      <c r="E858" s="615">
        <v>3401</v>
      </c>
      <c r="F858" s="622">
        <v>71.10000000000001</v>
      </c>
      <c r="G858" s="173"/>
      <c r="H858" s="96"/>
      <c r="I858" s="451"/>
      <c r="O858" s="617">
        <f t="shared" si="21"/>
        <v>7.110000000000001</v>
      </c>
      <c r="P858" s="617">
        <f t="shared" si="22"/>
        <v>63.99000000000001</v>
      </c>
      <c r="Q858" s="613"/>
      <c r="R858" s="613">
        <v>71.10000000000001</v>
      </c>
      <c r="S858" s="614">
        <v>639.9</v>
      </c>
      <c r="T858" s="614"/>
      <c r="U858" s="614"/>
      <c r="V858" s="614"/>
      <c r="AM858"/>
      <c r="AN858"/>
      <c r="AO858"/>
      <c r="AP858"/>
    </row>
    <row r="859" spans="2:42" ht="12.75">
      <c r="B859" s="97"/>
      <c r="C859" s="75"/>
      <c r="D859" s="663"/>
      <c r="E859" s="615">
        <v>3702</v>
      </c>
      <c r="F859" s="622">
        <v>29427.2</v>
      </c>
      <c r="G859" s="173"/>
      <c r="H859" s="96"/>
      <c r="I859" s="451"/>
      <c r="O859" s="617">
        <f t="shared" si="21"/>
        <v>2942.7200000000003</v>
      </c>
      <c r="P859" s="617">
        <f t="shared" si="22"/>
        <v>26484.48</v>
      </c>
      <c r="Q859" s="613"/>
      <c r="R859" s="613">
        <v>29427.2</v>
      </c>
      <c r="S859" s="614">
        <v>264844.8</v>
      </c>
      <c r="T859" s="614"/>
      <c r="U859" s="614"/>
      <c r="V859" s="614"/>
      <c r="AM859"/>
      <c r="AN859"/>
      <c r="AO859"/>
      <c r="AP859"/>
    </row>
    <row r="860" spans="2:42" ht="12.75">
      <c r="B860" s="97"/>
      <c r="C860" s="75"/>
      <c r="D860" s="663"/>
      <c r="E860" s="615">
        <v>3903</v>
      </c>
      <c r="F860" s="622">
        <v>375.70000000000005</v>
      </c>
      <c r="G860" s="173"/>
      <c r="H860" s="96"/>
      <c r="I860" s="451"/>
      <c r="O860" s="617">
        <f t="shared" si="21"/>
        <v>37.57000000000001</v>
      </c>
      <c r="P860" s="617">
        <f t="shared" si="22"/>
        <v>338.13000000000005</v>
      </c>
      <c r="Q860" s="613"/>
      <c r="R860" s="613">
        <v>375.70000000000005</v>
      </c>
      <c r="S860" s="614">
        <v>3381.3</v>
      </c>
      <c r="T860" s="614"/>
      <c r="U860" s="614"/>
      <c r="V860" s="614"/>
      <c r="AM860"/>
      <c r="AN860"/>
      <c r="AO860"/>
      <c r="AP860"/>
    </row>
    <row r="861" spans="1:42" ht="25.5">
      <c r="A861">
        <v>40</v>
      </c>
      <c r="B861" s="97">
        <v>96</v>
      </c>
      <c r="C861" s="178" t="s">
        <v>35</v>
      </c>
      <c r="D861" s="663">
        <f>+F861+F865</f>
        <v>89400</v>
      </c>
      <c r="E861" s="610">
        <v>2000</v>
      </c>
      <c r="F861" s="611">
        <f>SUM(F862:F864)</f>
        <v>26000</v>
      </c>
      <c r="G861" s="173"/>
      <c r="H861" s="96"/>
      <c r="I861" s="451"/>
      <c r="O861" s="613"/>
      <c r="P861" s="613"/>
      <c r="Q861" s="613"/>
      <c r="R861" s="613"/>
      <c r="S861" s="614"/>
      <c r="T861" s="614"/>
      <c r="U861" s="614"/>
      <c r="V861" s="614"/>
      <c r="AM861"/>
      <c r="AN861"/>
      <c r="AO861"/>
      <c r="AP861"/>
    </row>
    <row r="862" spans="2:42" ht="12.75">
      <c r="B862" s="97"/>
      <c r="C862" s="75"/>
      <c r="D862" s="663"/>
      <c r="E862" s="615">
        <v>2101</v>
      </c>
      <c r="F862" s="616">
        <v>10000</v>
      </c>
      <c r="G862" s="173"/>
      <c r="H862" s="96"/>
      <c r="I862" s="451"/>
      <c r="O862" s="619">
        <f>F862</f>
        <v>10000</v>
      </c>
      <c r="P862" s="613"/>
      <c r="Q862" s="613"/>
      <c r="R862" s="613">
        <v>10000</v>
      </c>
      <c r="S862" s="614"/>
      <c r="T862" s="614"/>
      <c r="U862" s="614"/>
      <c r="V862" s="614"/>
      <c r="AM862"/>
      <c r="AN862"/>
      <c r="AO862"/>
      <c r="AP862"/>
    </row>
    <row r="863" spans="2:42" ht="12.75">
      <c r="B863" s="97"/>
      <c r="C863" s="75"/>
      <c r="D863" s="663"/>
      <c r="E863" s="615">
        <v>2201</v>
      </c>
      <c r="F863" s="616">
        <v>6000</v>
      </c>
      <c r="G863" s="173"/>
      <c r="H863" s="96"/>
      <c r="I863" s="451"/>
      <c r="O863" s="619">
        <f aca="true" t="shared" si="23" ref="O863:O868">F863</f>
        <v>6000</v>
      </c>
      <c r="P863" s="613"/>
      <c r="Q863" s="613"/>
      <c r="R863" s="613">
        <v>6000</v>
      </c>
      <c r="S863" s="614"/>
      <c r="T863" s="614"/>
      <c r="U863" s="614"/>
      <c r="V863" s="614"/>
      <c r="AM863"/>
      <c r="AN863"/>
      <c r="AO863"/>
      <c r="AP863"/>
    </row>
    <row r="864" spans="2:42" ht="12.75">
      <c r="B864" s="97"/>
      <c r="C864" s="75"/>
      <c r="D864" s="663"/>
      <c r="E864" s="615">
        <v>2601</v>
      </c>
      <c r="F864" s="616">
        <v>10000</v>
      </c>
      <c r="G864" s="173"/>
      <c r="H864" s="96"/>
      <c r="I864" s="451"/>
      <c r="O864" s="619">
        <f t="shared" si="23"/>
        <v>10000</v>
      </c>
      <c r="P864" s="613"/>
      <c r="Q864" s="613"/>
      <c r="R864" s="613">
        <v>10000</v>
      </c>
      <c r="S864" s="614"/>
      <c r="T864" s="614"/>
      <c r="U864" s="614"/>
      <c r="V864" s="614"/>
      <c r="AM864"/>
      <c r="AN864"/>
      <c r="AO864"/>
      <c r="AP864"/>
    </row>
    <row r="865" spans="2:42" ht="12.75">
      <c r="B865" s="97"/>
      <c r="C865" s="75"/>
      <c r="D865" s="663"/>
      <c r="E865" s="610">
        <v>3000</v>
      </c>
      <c r="F865" s="611">
        <f>SUM(F866:F868)</f>
        <v>63400</v>
      </c>
      <c r="G865" s="173"/>
      <c r="H865" s="96"/>
      <c r="I865" s="451"/>
      <c r="O865" s="619"/>
      <c r="P865" s="613"/>
      <c r="Q865" s="613"/>
      <c r="R865" s="613"/>
      <c r="S865" s="614"/>
      <c r="T865" s="614"/>
      <c r="U865" s="614"/>
      <c r="V865" s="614"/>
      <c r="AM865"/>
      <c r="AN865"/>
      <c r="AO865"/>
      <c r="AP865"/>
    </row>
    <row r="866" spans="2:42" ht="12.75">
      <c r="B866" s="97"/>
      <c r="C866" s="75"/>
      <c r="D866" s="663"/>
      <c r="E866" s="615">
        <v>3701</v>
      </c>
      <c r="F866" s="616">
        <v>14000</v>
      </c>
      <c r="G866" s="173"/>
      <c r="H866" s="96"/>
      <c r="I866" s="451"/>
      <c r="O866" s="619">
        <f t="shared" si="23"/>
        <v>14000</v>
      </c>
      <c r="P866" s="613"/>
      <c r="Q866" s="613"/>
      <c r="R866" s="613">
        <v>14000</v>
      </c>
      <c r="S866" s="614"/>
      <c r="T866" s="614"/>
      <c r="U866" s="614"/>
      <c r="V866" s="614"/>
      <c r="AM866"/>
      <c r="AN866"/>
      <c r="AO866"/>
      <c r="AP866"/>
    </row>
    <row r="867" spans="2:42" ht="12.75">
      <c r="B867" s="97"/>
      <c r="C867" s="75"/>
      <c r="D867" s="663"/>
      <c r="E867" s="615">
        <v>3702</v>
      </c>
      <c r="F867" s="616">
        <v>45000</v>
      </c>
      <c r="G867" s="173"/>
      <c r="H867" s="96"/>
      <c r="I867" s="451"/>
      <c r="O867" s="619">
        <f t="shared" si="23"/>
        <v>45000</v>
      </c>
      <c r="P867" s="613"/>
      <c r="Q867" s="613"/>
      <c r="R867" s="613">
        <v>45000</v>
      </c>
      <c r="S867" s="614"/>
      <c r="T867" s="614"/>
      <c r="U867" s="614"/>
      <c r="V867" s="614"/>
      <c r="AM867"/>
      <c r="AN867"/>
      <c r="AO867"/>
      <c r="AP867"/>
    </row>
    <row r="868" spans="2:42" ht="12.75">
      <c r="B868" s="97"/>
      <c r="C868" s="75"/>
      <c r="D868" s="663"/>
      <c r="E868" s="615">
        <v>3703</v>
      </c>
      <c r="F868" s="616">
        <v>4400</v>
      </c>
      <c r="G868" s="173"/>
      <c r="H868" s="96"/>
      <c r="I868" s="451"/>
      <c r="O868" s="619">
        <f t="shared" si="23"/>
        <v>4400</v>
      </c>
      <c r="P868" s="613"/>
      <c r="Q868" s="613"/>
      <c r="R868" s="613">
        <v>4400</v>
      </c>
      <c r="S868" s="614"/>
      <c r="T868" s="614"/>
      <c r="U868" s="614"/>
      <c r="V868" s="614"/>
      <c r="AM868"/>
      <c r="AN868"/>
      <c r="AO868"/>
      <c r="AP868"/>
    </row>
    <row r="869" spans="2:9" ht="12.75">
      <c r="B869" s="570"/>
      <c r="C869" s="220" t="s">
        <v>603</v>
      </c>
      <c r="D869" s="664">
        <f>SUM(D870:D878)</f>
        <v>5157.420000000001</v>
      </c>
      <c r="E869" s="222"/>
      <c r="F869" s="666">
        <f>SUM(F870:F878)/2</f>
        <v>5157.42</v>
      </c>
      <c r="G869" s="701"/>
      <c r="H869" s="96"/>
      <c r="I869" s="451"/>
    </row>
    <row r="870" spans="2:9" ht="25.5">
      <c r="B870" s="570">
        <v>97</v>
      </c>
      <c r="C870" s="75" t="s">
        <v>604</v>
      </c>
      <c r="D870" s="663">
        <f>+F870</f>
        <v>5157.420000000001</v>
      </c>
      <c r="E870" s="49">
        <v>2000</v>
      </c>
      <c r="F870" s="667">
        <f>SUM(F871:F875)</f>
        <v>5157.420000000001</v>
      </c>
      <c r="G870" s="107"/>
      <c r="H870" s="96"/>
      <c r="I870" s="451"/>
    </row>
    <row r="871" spans="2:9" ht="12.75">
      <c r="B871" s="570"/>
      <c r="C871" s="75"/>
      <c r="D871" s="663"/>
      <c r="E871" s="44">
        <v>2101</v>
      </c>
      <c r="F871" s="689">
        <v>1353.28</v>
      </c>
      <c r="G871" s="107"/>
      <c r="H871" s="96"/>
      <c r="I871" s="451"/>
    </row>
    <row r="872" spans="2:9" ht="12.75">
      <c r="B872" s="570"/>
      <c r="C872" s="75"/>
      <c r="D872" s="663"/>
      <c r="E872" s="44">
        <v>2102</v>
      </c>
      <c r="F872" s="689">
        <v>1242.94</v>
      </c>
      <c r="G872" s="107"/>
      <c r="H872" s="96"/>
      <c r="I872" s="451"/>
    </row>
    <row r="873" spans="2:9" ht="12.75">
      <c r="B873" s="570"/>
      <c r="C873" s="75"/>
      <c r="D873" s="663"/>
      <c r="E873" s="44">
        <v>2103</v>
      </c>
      <c r="F873" s="689">
        <v>1294</v>
      </c>
      <c r="G873" s="107"/>
      <c r="H873" s="96"/>
      <c r="I873" s="451"/>
    </row>
    <row r="874" spans="2:9" ht="12.75">
      <c r="B874" s="570"/>
      <c r="C874" s="75"/>
      <c r="D874" s="663"/>
      <c r="E874" s="44">
        <v>2104</v>
      </c>
      <c r="F874" s="689">
        <v>995.06</v>
      </c>
      <c r="G874" s="107"/>
      <c r="H874" s="96"/>
      <c r="I874" s="451"/>
    </row>
    <row r="875" spans="2:9" ht="12.75">
      <c r="B875" s="570"/>
      <c r="C875" s="75"/>
      <c r="D875" s="663"/>
      <c r="E875" s="44">
        <v>2105</v>
      </c>
      <c r="F875" s="689">
        <v>272.14</v>
      </c>
      <c r="G875" s="107"/>
      <c r="H875" s="96"/>
      <c r="I875" s="451"/>
    </row>
    <row r="876" spans="2:9" ht="12.75">
      <c r="B876" s="570"/>
      <c r="C876" s="75"/>
      <c r="D876" s="663"/>
      <c r="E876" s="44">
        <v>2201</v>
      </c>
      <c r="F876" s="667"/>
      <c r="G876" s="107"/>
      <c r="H876" s="96"/>
      <c r="I876" s="451"/>
    </row>
    <row r="877" spans="2:9" ht="12.75">
      <c r="B877" s="570"/>
      <c r="C877" s="75"/>
      <c r="D877" s="663"/>
      <c r="E877" s="44">
        <v>2207</v>
      </c>
      <c r="F877" s="667"/>
      <c r="G877" s="107"/>
      <c r="H877" s="96"/>
      <c r="I877" s="451"/>
    </row>
    <row r="878" spans="2:9" ht="12.75">
      <c r="B878" s="570"/>
      <c r="C878" s="75"/>
      <c r="D878" s="663"/>
      <c r="E878" s="44">
        <v>2302</v>
      </c>
      <c r="F878" s="667"/>
      <c r="G878" s="107"/>
      <c r="H878" s="96"/>
      <c r="I878" s="451"/>
    </row>
    <row r="879" spans="2:42" s="41" customFormat="1" ht="18" customHeight="1">
      <c r="B879" s="573"/>
      <c r="C879" s="80" t="s">
        <v>328</v>
      </c>
      <c r="D879" s="88">
        <f>+D513+D6+D387+D289+D371+D333+D95+D584+D869+D235+D115</f>
        <v>110007569.602</v>
      </c>
      <c r="E879" s="88"/>
      <c r="F879" s="690">
        <f>+F513+F6+F387+F289+F371+F333+F95+F584+F869+F235+F115</f>
        <v>110007569.60200001</v>
      </c>
      <c r="G879" s="113"/>
      <c r="H879" s="81"/>
      <c r="I879" s="452"/>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row>
    <row r="880" spans="4:13" ht="12.75" hidden="1">
      <c r="D880" s="77">
        <f>+D879-'[1]presupuesto oscar mexia'!$C$24</f>
        <v>110007569.602</v>
      </c>
      <c r="G880" s="115"/>
      <c r="K880" s="25">
        <v>2000</v>
      </c>
      <c r="L880" s="116" t="e">
        <f>+#REF!+#REF!+#REF!+#REF!+#REF!+#REF!+#REF!+#REF!+#REF!+#REF!+#REF!+#REF!+#REF!+#REF!+#REF!+#REF!+#REF!+#REF!+#REF!+#REF!+#REF!+#REF!+#REF!+#REF!+#REF!+#REF!+#REF!+#REF!+#REF!+#REF!+#REF!+#REF!+#REF!+#REF!+#REF!+#REF!+#REF!+#REF!+#REF!+#REF!+#REF!+#REF!+#REF!+F575+#REF!+#REF!+#REF!+#REF!+#REF!+#REF!+#REF!+#REF!+#REF!+#REF!+#REF!+#REF!+#REF!+#REF!+#REF!+#REF!+#REF!+#REF!+#REF!+#REF!+#REF!+#REF!+#REF!+#REF!+#REF!+#REF!+#REF!+#REF!+#REF!+#REF!+#REF!+#REF!+#REF!+#REF!+#REF!+#REF!+#REF!+#REF!+#REF!+#REF!+F110+F96</f>
        <v>#REF!</v>
      </c>
      <c r="M880" s="116"/>
    </row>
    <row r="881" spans="4:7" ht="12.75">
      <c r="D881" s="77"/>
      <c r="G881" s="115"/>
    </row>
    <row r="882" spans="4:7" ht="12.75">
      <c r="D882" s="77"/>
      <c r="G882" s="115"/>
    </row>
    <row r="883" ht="12.75">
      <c r="C883" s="89"/>
    </row>
    <row r="884" spans="2:9" ht="20.25" customHeight="1">
      <c r="B884" s="862"/>
      <c r="C884" s="862"/>
      <c r="D884" s="862"/>
      <c r="E884" s="862"/>
      <c r="F884" s="862"/>
      <c r="G884" s="862"/>
      <c r="H884" s="862"/>
      <c r="I884" s="453"/>
    </row>
    <row r="885" spans="2:9" ht="20.25" customHeight="1">
      <c r="B885" s="862" t="s">
        <v>146</v>
      </c>
      <c r="C885" s="862"/>
      <c r="D885" s="862"/>
      <c r="E885" s="862"/>
      <c r="F885" s="862"/>
      <c r="G885" s="862"/>
      <c r="H885" s="862"/>
      <c r="I885" s="453"/>
    </row>
    <row r="886" ht="15">
      <c r="C886" s="90"/>
    </row>
  </sheetData>
  <sheetProtection/>
  <mergeCells count="7">
    <mergeCell ref="B885:H885"/>
    <mergeCell ref="C1:G2"/>
    <mergeCell ref="C3:G3"/>
    <mergeCell ref="E5:F5"/>
    <mergeCell ref="B884:H884"/>
    <mergeCell ref="C334:C337"/>
    <mergeCell ref="C357:C359"/>
  </mergeCells>
  <printOptions/>
  <pageMargins left="0.67" right="0.5905511811023623" top="0.5511811023622047" bottom="0.7086614173228347" header="0" footer="0"/>
  <pageSetup fitToHeight="6"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AP1083"/>
  <sheetViews>
    <sheetView zoomScalePageLayoutView="0" workbookViewId="0" topLeftCell="B463">
      <selection activeCell="B1052" sqref="B1052"/>
    </sheetView>
  </sheetViews>
  <sheetFormatPr defaultColWidth="11.421875" defaultRowHeight="12.75"/>
  <cols>
    <col min="1" max="1" width="0" style="0" hidden="1" customWidth="1"/>
    <col min="2" max="2" width="7.00390625" style="0" customWidth="1"/>
    <col min="3" max="3" width="54.421875" style="40" customWidth="1"/>
    <col min="4" max="4" width="16.28125" style="47" customWidth="1"/>
    <col min="5" max="5" width="10.8515625" style="0" bestFit="1" customWidth="1"/>
    <col min="6" max="6" width="18.28125" style="196" customWidth="1"/>
    <col min="7" max="7" width="28.7109375" style="114" customWidth="1"/>
    <col min="8" max="8" width="3.57421875" style="25" customWidth="1"/>
    <col min="9" max="9" width="17.8515625" style="388" hidden="1" customWidth="1"/>
    <col min="10" max="10" width="14.421875" style="25" hidden="1" customWidth="1"/>
    <col min="11" max="11" width="18.140625" style="25" hidden="1" customWidth="1"/>
    <col min="12" max="13" width="14.421875" style="25" hidden="1" customWidth="1"/>
    <col min="14" max="14" width="13.8515625" style="25" hidden="1" customWidth="1"/>
    <col min="15" max="15" width="13.8515625" style="25" bestFit="1" customWidth="1"/>
    <col min="16" max="42" width="11.421875" style="25" customWidth="1"/>
  </cols>
  <sheetData>
    <row r="1" spans="2:9" ht="12.75">
      <c r="B1" s="2"/>
      <c r="C1" s="770" t="s">
        <v>166</v>
      </c>
      <c r="D1" s="770"/>
      <c r="E1" s="770"/>
      <c r="F1" s="770"/>
      <c r="G1" s="770"/>
      <c r="H1" s="5"/>
      <c r="I1" s="451"/>
    </row>
    <row r="2" spans="2:9" ht="12.75">
      <c r="B2" s="2"/>
      <c r="C2" s="770"/>
      <c r="D2" s="770"/>
      <c r="E2" s="770"/>
      <c r="F2" s="770"/>
      <c r="G2" s="770"/>
      <c r="H2" s="5"/>
      <c r="I2" s="451"/>
    </row>
    <row r="3" spans="2:9" ht="12.75">
      <c r="B3" s="2"/>
      <c r="C3" s="770" t="s">
        <v>627</v>
      </c>
      <c r="D3" s="770"/>
      <c r="E3" s="770"/>
      <c r="F3" s="770"/>
      <c r="G3" s="770"/>
      <c r="H3" s="5"/>
      <c r="I3" s="451"/>
    </row>
    <row r="4" spans="2:9" ht="24.75" customHeight="1">
      <c r="B4" s="91"/>
      <c r="C4" s="92"/>
      <c r="D4" s="93" t="s">
        <v>199</v>
      </c>
      <c r="E4" s="93"/>
      <c r="F4" s="94"/>
      <c r="G4" s="105"/>
      <c r="H4" s="83"/>
      <c r="I4" s="451"/>
    </row>
    <row r="5" spans="2:9" ht="43.5" customHeight="1">
      <c r="B5" s="95"/>
      <c r="C5" s="103" t="s">
        <v>200</v>
      </c>
      <c r="D5" s="104" t="s">
        <v>201</v>
      </c>
      <c r="E5" s="863" t="s">
        <v>153</v>
      </c>
      <c r="F5" s="864"/>
      <c r="G5" s="106" t="s">
        <v>202</v>
      </c>
      <c r="H5" s="96"/>
      <c r="I5" s="451"/>
    </row>
    <row r="6" spans="2:9" ht="17.25" customHeight="1">
      <c r="B6" s="95"/>
      <c r="C6" s="381" t="s">
        <v>629</v>
      </c>
      <c r="D6" s="384">
        <f>SUM(D7:D25)</f>
        <v>201450</v>
      </c>
      <c r="E6" s="384"/>
      <c r="F6" s="384">
        <f>SUM(F7:F25)/2</f>
        <v>201450</v>
      </c>
      <c r="G6" s="219"/>
      <c r="H6" s="96"/>
      <c r="I6" s="451"/>
    </row>
    <row r="7" spans="2:9" ht="25.5">
      <c r="B7" s="95">
        <v>1</v>
      </c>
      <c r="C7" s="75" t="s">
        <v>630</v>
      </c>
      <c r="D7" s="73">
        <f>+F7+F14+F19</f>
        <v>124900</v>
      </c>
      <c r="E7" s="52">
        <v>2000</v>
      </c>
      <c r="F7" s="70">
        <f>SUM(F8:F13)</f>
        <v>46800</v>
      </c>
      <c r="G7" s="107"/>
      <c r="H7" s="96"/>
      <c r="I7" s="451"/>
    </row>
    <row r="8" spans="2:9" ht="12.75">
      <c r="B8" s="95"/>
      <c r="C8" s="75"/>
      <c r="D8" s="37"/>
      <c r="E8" s="38">
        <v>2201</v>
      </c>
      <c r="F8" s="69">
        <v>22000</v>
      </c>
      <c r="G8" s="107"/>
      <c r="H8" s="96"/>
      <c r="I8" s="451"/>
    </row>
    <row r="9" spans="2:9" ht="12.75">
      <c r="B9" s="95"/>
      <c r="C9" s="75"/>
      <c r="D9" s="37"/>
      <c r="E9" s="38">
        <v>2103</v>
      </c>
      <c r="F9" s="69">
        <v>1100</v>
      </c>
      <c r="G9" s="107"/>
      <c r="H9" s="96"/>
      <c r="I9" s="451"/>
    </row>
    <row r="10" spans="2:9" ht="12.75">
      <c r="B10" s="95"/>
      <c r="C10" s="75"/>
      <c r="D10" s="37"/>
      <c r="E10" s="38">
        <v>2104</v>
      </c>
      <c r="F10" s="69">
        <v>5500</v>
      </c>
      <c r="G10" s="107"/>
      <c r="H10" s="96"/>
      <c r="I10" s="451"/>
    </row>
    <row r="11" spans="2:9" ht="12.75">
      <c r="B11" s="95"/>
      <c r="C11" s="75"/>
      <c r="D11" s="37"/>
      <c r="E11" s="38">
        <v>2201</v>
      </c>
      <c r="F11" s="69">
        <v>5500</v>
      </c>
      <c r="G11" s="107"/>
      <c r="H11" s="96"/>
      <c r="I11" s="451"/>
    </row>
    <row r="12" spans="2:9" ht="12.75">
      <c r="B12" s="95"/>
      <c r="C12" s="75"/>
      <c r="D12" s="37"/>
      <c r="E12" s="38">
        <v>2601</v>
      </c>
      <c r="F12" s="69">
        <v>11600</v>
      </c>
      <c r="G12" s="109" t="s">
        <v>154</v>
      </c>
      <c r="H12" s="96"/>
      <c r="I12" s="451"/>
    </row>
    <row r="13" spans="2:9" ht="12.75">
      <c r="B13" s="95"/>
      <c r="C13" s="75"/>
      <c r="D13" s="37"/>
      <c r="E13" s="38">
        <v>2602</v>
      </c>
      <c r="F13" s="69">
        <v>1100</v>
      </c>
      <c r="G13" s="107"/>
      <c r="H13" s="96"/>
      <c r="I13" s="451"/>
    </row>
    <row r="14" spans="2:9" ht="12.75">
      <c r="B14" s="95"/>
      <c r="C14" s="75"/>
      <c r="D14" s="37"/>
      <c r="E14" s="52">
        <v>3000</v>
      </c>
      <c r="F14" s="70">
        <f>SUM(F15:F18)</f>
        <v>53100</v>
      </c>
      <c r="G14" s="107"/>
      <c r="H14" s="96"/>
      <c r="I14" s="451"/>
    </row>
    <row r="15" spans="2:9" ht="12.75">
      <c r="B15" s="95"/>
      <c r="C15" s="75"/>
      <c r="D15" s="37"/>
      <c r="E15" s="38">
        <v>3301</v>
      </c>
      <c r="F15" s="69">
        <v>5500</v>
      </c>
      <c r="G15" s="107"/>
      <c r="H15" s="96"/>
      <c r="I15" s="451"/>
    </row>
    <row r="16" spans="2:9" ht="12.75">
      <c r="B16" s="95"/>
      <c r="C16" s="75"/>
      <c r="D16" s="37"/>
      <c r="E16" s="38">
        <v>3701</v>
      </c>
      <c r="F16" s="69">
        <v>8000</v>
      </c>
      <c r="G16" s="108" t="s">
        <v>232</v>
      </c>
      <c r="H16" s="96"/>
      <c r="I16" s="451"/>
    </row>
    <row r="17" spans="2:9" ht="12.75">
      <c r="B17" s="95"/>
      <c r="C17" s="75"/>
      <c r="D17" s="37"/>
      <c r="E17" s="38">
        <v>3702</v>
      </c>
      <c r="F17" s="69">
        <v>33000</v>
      </c>
      <c r="G17" s="108" t="s">
        <v>232</v>
      </c>
      <c r="H17" s="96"/>
      <c r="I17" s="451"/>
    </row>
    <row r="18" spans="2:9" ht="12.75">
      <c r="B18" s="95"/>
      <c r="C18" s="75"/>
      <c r="D18" s="37"/>
      <c r="E18" s="38">
        <v>3703</v>
      </c>
      <c r="F18" s="69">
        <v>6600</v>
      </c>
      <c r="G18" s="107"/>
      <c r="H18" s="96"/>
      <c r="I18" s="451"/>
    </row>
    <row r="19" spans="2:9" ht="12.75">
      <c r="B19" s="95"/>
      <c r="C19" s="75"/>
      <c r="D19" s="37"/>
      <c r="E19" s="52">
        <v>5000</v>
      </c>
      <c r="F19" s="70">
        <f>+F20</f>
        <v>25000</v>
      </c>
      <c r="G19" s="107"/>
      <c r="H19" s="96"/>
      <c r="I19" s="451"/>
    </row>
    <row r="20" spans="2:9" ht="12.75">
      <c r="B20" s="95"/>
      <c r="C20" s="76"/>
      <c r="D20" s="52"/>
      <c r="E20" s="38">
        <v>5206</v>
      </c>
      <c r="F20" s="69">
        <v>25000</v>
      </c>
      <c r="G20" s="108"/>
      <c r="H20" s="96"/>
      <c r="I20" s="451"/>
    </row>
    <row r="21" spans="2:9" ht="41.25" customHeight="1">
      <c r="B21" s="95">
        <v>2</v>
      </c>
      <c r="C21" s="75" t="s">
        <v>633</v>
      </c>
      <c r="D21" s="73">
        <f>+F21+F23</f>
        <v>76550</v>
      </c>
      <c r="E21" s="52">
        <v>2000</v>
      </c>
      <c r="F21" s="70">
        <f>SUM(F22)</f>
        <v>32000</v>
      </c>
      <c r="G21" s="107"/>
      <c r="H21" s="96"/>
      <c r="I21" s="451"/>
    </row>
    <row r="22" spans="2:9" ht="12.75">
      <c r="B22" s="95"/>
      <c r="C22" s="75"/>
      <c r="D22" s="37"/>
      <c r="E22" s="38">
        <v>2601</v>
      </c>
      <c r="F22" s="69">
        <v>32000</v>
      </c>
      <c r="G22" s="109" t="s">
        <v>154</v>
      </c>
      <c r="H22" s="96"/>
      <c r="I22" s="451"/>
    </row>
    <row r="23" spans="2:9" ht="12.75">
      <c r="B23" s="95"/>
      <c r="C23" s="75"/>
      <c r="D23" s="37"/>
      <c r="E23" s="52">
        <v>3000</v>
      </c>
      <c r="F23" s="70">
        <f>SUM(F24:F25)</f>
        <v>44550</v>
      </c>
      <c r="G23" s="107"/>
      <c r="H23" s="96"/>
      <c r="I23" s="451"/>
    </row>
    <row r="24" spans="2:9" ht="12.75">
      <c r="B24" s="95"/>
      <c r="C24" s="75"/>
      <c r="D24" s="37"/>
      <c r="E24" s="38">
        <v>3702</v>
      </c>
      <c r="F24" s="69">
        <v>35750</v>
      </c>
      <c r="G24" s="108" t="s">
        <v>232</v>
      </c>
      <c r="H24" s="96"/>
      <c r="I24" s="451"/>
    </row>
    <row r="25" spans="2:9" ht="12.75">
      <c r="B25" s="95"/>
      <c r="C25" s="76"/>
      <c r="D25" s="52"/>
      <c r="E25" s="38">
        <v>3703</v>
      </c>
      <c r="F25" s="69">
        <v>8800</v>
      </c>
      <c r="G25" s="107" t="s">
        <v>635</v>
      </c>
      <c r="H25" s="96"/>
      <c r="I25" s="451"/>
    </row>
    <row r="26" spans="2:9" ht="17.25" customHeight="1">
      <c r="B26" s="95"/>
      <c r="C26" s="381" t="s">
        <v>639</v>
      </c>
      <c r="D26" s="384">
        <f>SUM(D27:D249)</f>
        <v>7582100</v>
      </c>
      <c r="E26" s="384"/>
      <c r="F26" s="384">
        <f>SUM(F27:F249)/2</f>
        <v>7582100</v>
      </c>
      <c r="G26" s="219"/>
      <c r="H26" s="96"/>
      <c r="I26" s="451"/>
    </row>
    <row r="27" spans="2:9" ht="29.25" customHeight="1">
      <c r="B27" s="97">
        <v>3</v>
      </c>
      <c r="C27" s="75" t="s">
        <v>640</v>
      </c>
      <c r="D27" s="67">
        <f>+F27+F39+F49</f>
        <v>479500</v>
      </c>
      <c r="E27" s="52">
        <v>2000</v>
      </c>
      <c r="F27" s="70">
        <f>SUM(F28:F38)</f>
        <v>135000</v>
      </c>
      <c r="G27" s="107"/>
      <c r="H27" s="96"/>
      <c r="I27" s="451"/>
    </row>
    <row r="28" spans="2:9" ht="12.75">
      <c r="B28" s="97"/>
      <c r="C28" s="75"/>
      <c r="D28" s="37"/>
      <c r="E28" s="38">
        <v>2101</v>
      </c>
      <c r="F28" s="69">
        <v>6000</v>
      </c>
      <c r="G28" s="107"/>
      <c r="H28" s="96"/>
      <c r="I28" s="451"/>
    </row>
    <row r="29" spans="2:9" ht="12.75">
      <c r="B29" s="97"/>
      <c r="C29" s="75"/>
      <c r="D29" s="37"/>
      <c r="E29" s="38">
        <v>2104</v>
      </c>
      <c r="F29" s="69">
        <v>8000</v>
      </c>
      <c r="G29" s="107"/>
      <c r="H29" s="96"/>
      <c r="I29" s="451"/>
    </row>
    <row r="30" spans="2:9" ht="12.75">
      <c r="B30" s="97"/>
      <c r="C30" s="75"/>
      <c r="D30" s="37"/>
      <c r="E30" s="38">
        <v>2106</v>
      </c>
      <c r="F30" s="69">
        <v>5000</v>
      </c>
      <c r="G30" s="107"/>
      <c r="H30" s="96"/>
      <c r="I30" s="451"/>
    </row>
    <row r="31" spans="2:9" ht="12.75">
      <c r="B31" s="97"/>
      <c r="C31" s="75"/>
      <c r="D31" s="37"/>
      <c r="E31" s="38">
        <v>2201</v>
      </c>
      <c r="F31" s="69">
        <v>20000</v>
      </c>
      <c r="G31" s="107"/>
      <c r="H31" s="96"/>
      <c r="I31" s="451"/>
    </row>
    <row r="32" spans="2:9" ht="12.75">
      <c r="B32" s="97"/>
      <c r="C32" s="75"/>
      <c r="D32" s="37"/>
      <c r="E32" s="38">
        <v>2206</v>
      </c>
      <c r="F32" s="69">
        <v>3500</v>
      </c>
      <c r="G32" s="107"/>
      <c r="H32" s="96"/>
      <c r="I32" s="451"/>
    </row>
    <row r="33" spans="2:9" ht="12.75">
      <c r="B33" s="97"/>
      <c r="C33" s="75"/>
      <c r="D33" s="37"/>
      <c r="E33" s="38">
        <v>2207</v>
      </c>
      <c r="F33" s="69">
        <v>3000</v>
      </c>
      <c r="G33" s="107"/>
      <c r="H33" s="96"/>
      <c r="I33" s="451"/>
    </row>
    <row r="34" spans="2:9" ht="12.75">
      <c r="B34" s="97"/>
      <c r="C34" s="75"/>
      <c r="D34" s="37"/>
      <c r="E34" s="38">
        <v>2304</v>
      </c>
      <c r="F34" s="69">
        <v>20000</v>
      </c>
      <c r="G34" s="107"/>
      <c r="H34" s="96"/>
      <c r="I34" s="451"/>
    </row>
    <row r="35" spans="2:9" ht="12.75">
      <c r="B35" s="97"/>
      <c r="C35" s="75"/>
      <c r="D35" s="37"/>
      <c r="E35" s="38">
        <v>2601</v>
      </c>
      <c r="F35" s="69">
        <v>50000</v>
      </c>
      <c r="G35" s="109" t="s">
        <v>154</v>
      </c>
      <c r="H35" s="96"/>
      <c r="I35" s="451"/>
    </row>
    <row r="36" spans="2:9" ht="12.75">
      <c r="B36" s="97"/>
      <c r="C36" s="75"/>
      <c r="D36" s="37"/>
      <c r="E36" s="38">
        <v>2602</v>
      </c>
      <c r="F36" s="69">
        <v>3000</v>
      </c>
      <c r="G36" s="107"/>
      <c r="H36" s="96"/>
      <c r="I36" s="451"/>
    </row>
    <row r="37" spans="2:9" ht="12.75">
      <c r="B37" s="97"/>
      <c r="C37" s="75"/>
      <c r="D37" s="37"/>
      <c r="E37" s="38">
        <v>2701</v>
      </c>
      <c r="F37" s="69">
        <v>6000</v>
      </c>
      <c r="G37" s="107"/>
      <c r="H37" s="96"/>
      <c r="I37" s="451"/>
    </row>
    <row r="38" spans="2:9" ht="12.75">
      <c r="B38" s="97"/>
      <c r="C38" s="75"/>
      <c r="D38" s="37"/>
      <c r="E38" s="38">
        <v>2703</v>
      </c>
      <c r="F38" s="69">
        <v>10500</v>
      </c>
      <c r="G38" s="109"/>
      <c r="H38" s="96"/>
      <c r="I38" s="451"/>
    </row>
    <row r="39" spans="2:9" ht="12.75">
      <c r="B39" s="97"/>
      <c r="C39" s="75"/>
      <c r="D39" s="37"/>
      <c r="E39" s="52">
        <v>3000</v>
      </c>
      <c r="F39" s="70">
        <f>SUM(F40:F48)</f>
        <v>309500</v>
      </c>
      <c r="G39" s="107"/>
      <c r="H39" s="96"/>
      <c r="I39" s="451"/>
    </row>
    <row r="40" spans="2:9" ht="12.75">
      <c r="B40" s="97"/>
      <c r="C40" s="75"/>
      <c r="D40" s="37"/>
      <c r="E40" s="38">
        <v>3101</v>
      </c>
      <c r="F40" s="69">
        <v>2500</v>
      </c>
      <c r="G40" s="108"/>
      <c r="H40" s="96"/>
      <c r="I40" s="451"/>
    </row>
    <row r="41" spans="2:9" ht="12.75">
      <c r="B41" s="97"/>
      <c r="C41" s="75"/>
      <c r="D41" s="37"/>
      <c r="E41" s="38">
        <v>3604</v>
      </c>
      <c r="F41" s="69">
        <v>25000</v>
      </c>
      <c r="G41" s="108"/>
      <c r="H41" s="96"/>
      <c r="I41" s="451"/>
    </row>
    <row r="42" spans="2:9" ht="12.75">
      <c r="B42" s="97"/>
      <c r="C42" s="75"/>
      <c r="D42" s="37"/>
      <c r="E42" s="38">
        <v>3701</v>
      </c>
      <c r="F42" s="69">
        <v>124000</v>
      </c>
      <c r="G42" s="108"/>
      <c r="H42" s="96"/>
      <c r="I42" s="451"/>
    </row>
    <row r="43" spans="2:9" ht="12.75">
      <c r="B43" s="97"/>
      <c r="C43" s="75"/>
      <c r="D43" s="37"/>
      <c r="E43" s="38">
        <v>3702</v>
      </c>
      <c r="F43" s="69">
        <v>63000</v>
      </c>
      <c r="G43" s="108" t="s">
        <v>232</v>
      </c>
      <c r="H43" s="96"/>
      <c r="I43" s="451"/>
    </row>
    <row r="44" spans="2:9" ht="12.75">
      <c r="B44" s="97"/>
      <c r="C44" s="75"/>
      <c r="D44" s="37"/>
      <c r="E44" s="38">
        <v>3703</v>
      </c>
      <c r="F44" s="69">
        <v>40000</v>
      </c>
      <c r="G44" s="107" t="s">
        <v>635</v>
      </c>
      <c r="H44" s="96"/>
      <c r="I44" s="451"/>
    </row>
    <row r="45" spans="2:9" ht="12.75">
      <c r="B45" s="97"/>
      <c r="C45" s="75"/>
      <c r="D45" s="37"/>
      <c r="E45" s="418">
        <v>3801</v>
      </c>
      <c r="F45" s="419">
        <v>0</v>
      </c>
      <c r="G45" s="185"/>
      <c r="H45" s="96"/>
      <c r="I45" s="451"/>
    </row>
    <row r="46" spans="2:9" ht="12.75">
      <c r="B46" s="97"/>
      <c r="C46" s="75"/>
      <c r="D46" s="37"/>
      <c r="E46" s="418">
        <v>3802</v>
      </c>
      <c r="F46" s="419">
        <v>35000</v>
      </c>
      <c r="G46" s="185"/>
      <c r="H46" s="96"/>
      <c r="I46" s="451"/>
    </row>
    <row r="47" spans="2:9" ht="12.75">
      <c r="B47" s="97"/>
      <c r="C47" s="75"/>
      <c r="D47" s="37"/>
      <c r="E47" s="38">
        <v>3904</v>
      </c>
      <c r="F47" s="69">
        <v>10000</v>
      </c>
      <c r="G47" s="185"/>
      <c r="H47" s="96"/>
      <c r="I47" s="451"/>
    </row>
    <row r="48" spans="2:9" ht="12.75">
      <c r="B48" s="97"/>
      <c r="C48" s="75"/>
      <c r="D48" s="37"/>
      <c r="E48" s="38">
        <v>3907</v>
      </c>
      <c r="F48" s="69">
        <v>10000</v>
      </c>
      <c r="G48" s="185"/>
      <c r="H48" s="96"/>
      <c r="I48" s="451"/>
    </row>
    <row r="49" spans="2:9" ht="12.75">
      <c r="B49" s="97"/>
      <c r="C49" s="75"/>
      <c r="D49" s="37"/>
      <c r="E49" s="52">
        <v>5000</v>
      </c>
      <c r="F49" s="70">
        <f>SUM(F50)</f>
        <v>35000</v>
      </c>
      <c r="G49" s="185"/>
      <c r="H49" s="96"/>
      <c r="I49" s="451"/>
    </row>
    <row r="50" spans="2:9" ht="12.75">
      <c r="B50" s="97"/>
      <c r="C50" s="76"/>
      <c r="D50" s="52"/>
      <c r="E50" s="38">
        <v>5101</v>
      </c>
      <c r="F50" s="69">
        <v>35000</v>
      </c>
      <c r="G50" s="107"/>
      <c r="H50" s="96"/>
      <c r="I50" s="451"/>
    </row>
    <row r="51" spans="2:9" ht="33" customHeight="1">
      <c r="B51" s="97"/>
      <c r="C51" s="223" t="s">
        <v>762</v>
      </c>
      <c r="D51" s="427">
        <f>F51+F53</f>
        <v>200000</v>
      </c>
      <c r="E51" s="424">
        <v>2000</v>
      </c>
      <c r="F51" s="396">
        <f>SUM(F52)</f>
        <v>30000</v>
      </c>
      <c r="G51" s="107"/>
      <c r="H51" s="96"/>
      <c r="I51" s="451"/>
    </row>
    <row r="52" spans="2:9" ht="12.75">
      <c r="B52" s="97"/>
      <c r="C52" s="422"/>
      <c r="D52" s="226"/>
      <c r="E52" s="425">
        <v>2201</v>
      </c>
      <c r="F52" s="367">
        <v>30000</v>
      </c>
      <c r="G52" s="107"/>
      <c r="H52" s="96"/>
      <c r="I52" s="451"/>
    </row>
    <row r="53" spans="2:9" ht="12.75">
      <c r="B53" s="97"/>
      <c r="C53" s="221"/>
      <c r="D53" s="226"/>
      <c r="E53" s="428">
        <v>3000</v>
      </c>
      <c r="F53" s="429">
        <f>SUM(F54:F55)</f>
        <v>170000</v>
      </c>
      <c r="G53" s="107"/>
      <c r="H53" s="96"/>
      <c r="I53" s="451"/>
    </row>
    <row r="54" spans="2:9" ht="12.75">
      <c r="B54" s="97"/>
      <c r="C54" s="423"/>
      <c r="D54" s="226"/>
      <c r="E54" s="430">
        <v>3702</v>
      </c>
      <c r="F54" s="421">
        <v>20000</v>
      </c>
      <c r="G54" s="107"/>
      <c r="H54" s="96"/>
      <c r="I54" s="451"/>
    </row>
    <row r="55" spans="2:9" ht="12.75">
      <c r="B55" s="97"/>
      <c r="C55" s="426"/>
      <c r="D55" s="78"/>
      <c r="E55" s="420">
        <v>3802</v>
      </c>
      <c r="F55" s="421">
        <v>150000</v>
      </c>
      <c r="G55" s="107"/>
      <c r="H55" s="96"/>
      <c r="I55" s="451"/>
    </row>
    <row r="56" spans="2:9" ht="25.5">
      <c r="B56" s="97">
        <v>4</v>
      </c>
      <c r="C56" s="223" t="s">
        <v>637</v>
      </c>
      <c r="D56" s="427">
        <f>+F56+F61</f>
        <v>157500</v>
      </c>
      <c r="E56" s="49">
        <v>2000</v>
      </c>
      <c r="F56" s="59">
        <f>SUM(F57:F60)</f>
        <v>54500</v>
      </c>
      <c r="G56" s="107"/>
      <c r="H56" s="96"/>
      <c r="I56" s="451"/>
    </row>
    <row r="57" spans="2:9" ht="12.75">
      <c r="B57" s="97"/>
      <c r="C57" s="75"/>
      <c r="D57" s="37"/>
      <c r="E57" s="38">
        <v>2101</v>
      </c>
      <c r="F57" s="69">
        <v>15000</v>
      </c>
      <c r="G57" s="107"/>
      <c r="H57" s="96"/>
      <c r="I57" s="451"/>
    </row>
    <row r="58" spans="2:9" ht="12.75">
      <c r="B58" s="97"/>
      <c r="C58" s="75"/>
      <c r="D58" s="37"/>
      <c r="E58" s="38">
        <v>2105</v>
      </c>
      <c r="F58" s="69">
        <v>2500</v>
      </c>
      <c r="G58" s="107"/>
      <c r="H58" s="96"/>
      <c r="I58" s="451"/>
    </row>
    <row r="59" spans="2:9" ht="12.75">
      <c r="B59" s="97"/>
      <c r="C59" s="75"/>
      <c r="D59" s="37"/>
      <c r="E59" s="38">
        <v>2201</v>
      </c>
      <c r="F59" s="69">
        <v>24000</v>
      </c>
      <c r="G59" s="107"/>
      <c r="H59" s="96"/>
      <c r="I59" s="451"/>
    </row>
    <row r="60" spans="2:9" ht="12.75">
      <c r="B60" s="97"/>
      <c r="C60" s="75"/>
      <c r="D60" s="37"/>
      <c r="E60" s="38">
        <v>2601</v>
      </c>
      <c r="F60" s="69">
        <v>13000</v>
      </c>
      <c r="G60" s="109" t="s">
        <v>154</v>
      </c>
      <c r="H60" s="96"/>
      <c r="I60" s="451"/>
    </row>
    <row r="61" spans="2:9" ht="12.75">
      <c r="B61" s="97"/>
      <c r="C61" s="75"/>
      <c r="D61" s="37"/>
      <c r="E61" s="52">
        <v>3000</v>
      </c>
      <c r="F61" s="70">
        <f>SUM(F62:F67)</f>
        <v>103000</v>
      </c>
      <c r="G61" s="107"/>
      <c r="H61" s="96"/>
      <c r="I61" s="451"/>
    </row>
    <row r="62" spans="2:9" ht="12.75">
      <c r="B62" s="97"/>
      <c r="C62" s="75"/>
      <c r="D62" s="37"/>
      <c r="E62" s="38">
        <v>3701</v>
      </c>
      <c r="F62" s="69">
        <v>25000</v>
      </c>
      <c r="G62" s="108" t="s">
        <v>232</v>
      </c>
      <c r="H62" s="96"/>
      <c r="I62" s="451"/>
    </row>
    <row r="63" spans="2:9" ht="12.75">
      <c r="B63" s="97"/>
      <c r="C63" s="75"/>
      <c r="D63" s="37"/>
      <c r="E63" s="38">
        <v>3702</v>
      </c>
      <c r="F63" s="69">
        <v>40000</v>
      </c>
      <c r="G63" s="108" t="s">
        <v>232</v>
      </c>
      <c r="H63" s="96"/>
      <c r="I63" s="451"/>
    </row>
    <row r="64" spans="2:9" ht="12.75">
      <c r="B64" s="97"/>
      <c r="C64" s="75"/>
      <c r="D64" s="37"/>
      <c r="E64" s="38">
        <v>3703</v>
      </c>
      <c r="F64" s="69">
        <v>12000</v>
      </c>
      <c r="G64" s="185"/>
      <c r="H64" s="96"/>
      <c r="I64" s="451"/>
    </row>
    <row r="65" spans="2:9" ht="12.75">
      <c r="B65" s="97"/>
      <c r="C65" s="75"/>
      <c r="D65" s="37"/>
      <c r="E65" s="418">
        <v>3801</v>
      </c>
      <c r="F65" s="419">
        <v>0</v>
      </c>
      <c r="G65" s="185"/>
      <c r="H65" s="96"/>
      <c r="I65" s="451"/>
    </row>
    <row r="66" spans="2:9" ht="12.75">
      <c r="B66" s="97"/>
      <c r="C66" s="75"/>
      <c r="D66" s="37"/>
      <c r="E66" s="418">
        <v>3802</v>
      </c>
      <c r="F66" s="419">
        <v>18000</v>
      </c>
      <c r="G66" s="185"/>
      <c r="H66" s="96"/>
      <c r="I66" s="451"/>
    </row>
    <row r="67" spans="2:9" ht="12.75">
      <c r="B67" s="97"/>
      <c r="C67" s="76"/>
      <c r="D67" s="52"/>
      <c r="E67" s="38">
        <v>3907</v>
      </c>
      <c r="F67" s="69">
        <v>8000</v>
      </c>
      <c r="G67" s="107"/>
      <c r="H67" s="96"/>
      <c r="I67" s="451"/>
    </row>
    <row r="68" spans="2:9" ht="30" customHeight="1">
      <c r="B68" s="97">
        <v>5</v>
      </c>
      <c r="C68" s="75" t="s">
        <v>641</v>
      </c>
      <c r="D68" s="67">
        <f>+F68+F76</f>
        <v>619000</v>
      </c>
      <c r="E68" s="52">
        <v>2000</v>
      </c>
      <c r="F68" s="70">
        <f>SUM(F69:F75)</f>
        <v>188000</v>
      </c>
      <c r="G68" s="107"/>
      <c r="H68" s="96"/>
      <c r="I68" s="451"/>
    </row>
    <row r="69" spans="2:9" ht="12.75">
      <c r="B69" s="97"/>
      <c r="C69" s="75"/>
      <c r="D69" s="37"/>
      <c r="E69" s="38">
        <v>2101</v>
      </c>
      <c r="F69" s="69">
        <v>12500</v>
      </c>
      <c r="G69" s="107"/>
      <c r="H69" s="96"/>
      <c r="I69" s="451"/>
    </row>
    <row r="70" spans="2:9" ht="12.75">
      <c r="B70" s="97"/>
      <c r="C70" s="75"/>
      <c r="D70" s="37"/>
      <c r="E70" s="38">
        <v>2104</v>
      </c>
      <c r="F70" s="69">
        <v>30000</v>
      </c>
      <c r="G70" s="107"/>
      <c r="H70" s="96"/>
      <c r="I70" s="451"/>
    </row>
    <row r="71" spans="2:9" ht="12.75">
      <c r="B71" s="97"/>
      <c r="C71" s="75"/>
      <c r="D71" s="37"/>
      <c r="E71" s="38">
        <v>2105</v>
      </c>
      <c r="F71" s="69">
        <v>6500</v>
      </c>
      <c r="G71" s="107"/>
      <c r="H71" s="96"/>
      <c r="I71" s="451"/>
    </row>
    <row r="72" spans="2:9" ht="12.75">
      <c r="B72" s="97"/>
      <c r="C72" s="75"/>
      <c r="D72" s="37"/>
      <c r="E72" s="38">
        <v>2201</v>
      </c>
      <c r="F72" s="69">
        <v>40000</v>
      </c>
      <c r="G72" s="107"/>
      <c r="H72" s="96"/>
      <c r="I72" s="451"/>
    </row>
    <row r="73" spans="2:9" ht="12.75">
      <c r="B73" s="97"/>
      <c r="C73" s="75"/>
      <c r="D73" s="37"/>
      <c r="E73" s="38">
        <v>2207</v>
      </c>
      <c r="F73" s="69">
        <v>6000</v>
      </c>
      <c r="G73" s="107"/>
      <c r="H73" s="96"/>
      <c r="I73" s="451"/>
    </row>
    <row r="74" spans="2:9" ht="12.75">
      <c r="B74" s="97"/>
      <c r="C74" s="75"/>
      <c r="D74" s="37"/>
      <c r="E74" s="38">
        <v>2601</v>
      </c>
      <c r="F74" s="69">
        <v>45000</v>
      </c>
      <c r="G74" s="109" t="s">
        <v>154</v>
      </c>
      <c r="H74" s="96"/>
      <c r="I74" s="451"/>
    </row>
    <row r="75" spans="2:9" ht="12.75">
      <c r="B75" s="97"/>
      <c r="C75" s="75"/>
      <c r="D75" s="37"/>
      <c r="E75" s="38">
        <v>2701</v>
      </c>
      <c r="F75" s="69">
        <v>48000</v>
      </c>
      <c r="G75" s="107"/>
      <c r="H75" s="96"/>
      <c r="I75" s="451"/>
    </row>
    <row r="76" spans="2:9" ht="12.75">
      <c r="B76" s="97"/>
      <c r="C76" s="75"/>
      <c r="D76" s="37"/>
      <c r="E76" s="52">
        <v>3000</v>
      </c>
      <c r="F76" s="70">
        <f>SUM(F77:F85)</f>
        <v>431000</v>
      </c>
      <c r="G76" s="107"/>
      <c r="H76" s="96"/>
      <c r="I76" s="451"/>
    </row>
    <row r="77" spans="2:9" ht="12.75">
      <c r="B77" s="97"/>
      <c r="C77" s="75"/>
      <c r="D77" s="37"/>
      <c r="E77" s="45">
        <v>3201</v>
      </c>
      <c r="F77" s="61">
        <v>150000</v>
      </c>
      <c r="G77" s="109"/>
      <c r="H77" s="96"/>
      <c r="I77" s="451"/>
    </row>
    <row r="78" spans="2:9" ht="12.75">
      <c r="B78" s="97"/>
      <c r="C78" s="75"/>
      <c r="D78" s="37"/>
      <c r="E78" s="45">
        <v>3205</v>
      </c>
      <c r="F78" s="61">
        <v>12000</v>
      </c>
      <c r="G78" s="109"/>
      <c r="H78" s="96"/>
      <c r="I78" s="451"/>
    </row>
    <row r="79" spans="2:9" ht="12.75">
      <c r="B79" s="97"/>
      <c r="C79" s="75"/>
      <c r="D79" s="37"/>
      <c r="E79" s="45">
        <v>3604</v>
      </c>
      <c r="F79" s="61">
        <v>40000</v>
      </c>
      <c r="G79" s="109"/>
      <c r="H79" s="96"/>
      <c r="I79" s="451"/>
    </row>
    <row r="80" spans="2:9" ht="12.75">
      <c r="B80" s="97"/>
      <c r="C80" s="75"/>
      <c r="D80" s="37"/>
      <c r="E80" s="45">
        <v>3701</v>
      </c>
      <c r="F80" s="61">
        <v>32000</v>
      </c>
      <c r="G80" s="109"/>
      <c r="H80" s="96"/>
      <c r="I80" s="451"/>
    </row>
    <row r="81" spans="2:9" ht="12.75">
      <c r="B81" s="97"/>
      <c r="C81" s="75"/>
      <c r="D81" s="37"/>
      <c r="E81" s="45">
        <v>3702</v>
      </c>
      <c r="F81" s="61">
        <v>20000</v>
      </c>
      <c r="G81" s="108" t="s">
        <v>232</v>
      </c>
      <c r="H81" s="96"/>
      <c r="I81" s="451"/>
    </row>
    <row r="82" spans="2:9" ht="12.75">
      <c r="B82" s="97"/>
      <c r="C82" s="75"/>
      <c r="D82" s="37"/>
      <c r="E82" s="45">
        <v>3703</v>
      </c>
      <c r="F82" s="61">
        <v>20000</v>
      </c>
      <c r="G82" s="108" t="s">
        <v>232</v>
      </c>
      <c r="H82" s="96"/>
      <c r="I82" s="451"/>
    </row>
    <row r="83" spans="2:9" ht="12.75">
      <c r="B83" s="97"/>
      <c r="C83" s="75"/>
      <c r="D83" s="37"/>
      <c r="E83" s="420">
        <v>3801</v>
      </c>
      <c r="F83" s="421">
        <v>0</v>
      </c>
      <c r="G83" s="109"/>
      <c r="H83" s="96"/>
      <c r="I83" s="451"/>
    </row>
    <row r="84" spans="2:9" ht="12.75">
      <c r="B84" s="97"/>
      <c r="C84" s="75"/>
      <c r="D84" s="37"/>
      <c r="E84" s="420">
        <v>3802</v>
      </c>
      <c r="F84" s="421">
        <v>145000</v>
      </c>
      <c r="G84" s="108"/>
      <c r="H84" s="96"/>
      <c r="I84" s="451"/>
    </row>
    <row r="85" spans="2:9" ht="12.75">
      <c r="B85" s="97"/>
      <c r="C85" s="76"/>
      <c r="D85" s="52"/>
      <c r="E85" s="45">
        <v>3907</v>
      </c>
      <c r="F85" s="61">
        <v>12000</v>
      </c>
      <c r="G85" s="108"/>
      <c r="H85" s="96"/>
      <c r="I85" s="451"/>
    </row>
    <row r="86" spans="2:9" ht="31.5" customHeight="1">
      <c r="B86" s="97">
        <v>6</v>
      </c>
      <c r="C86" s="75" t="s">
        <v>649</v>
      </c>
      <c r="D86" s="71">
        <f>+F86+F91</f>
        <v>36000</v>
      </c>
      <c r="E86" s="50">
        <v>2000</v>
      </c>
      <c r="F86" s="60">
        <f>SUM(F87:F90)</f>
        <v>18000</v>
      </c>
      <c r="G86" s="110"/>
      <c r="H86" s="96"/>
      <c r="I86" s="451"/>
    </row>
    <row r="87" spans="2:9" ht="12.75">
      <c r="B87" s="97"/>
      <c r="C87" s="75"/>
      <c r="D87" s="71"/>
      <c r="E87" s="45">
        <v>2101</v>
      </c>
      <c r="F87" s="61">
        <v>3000</v>
      </c>
      <c r="G87" s="110"/>
      <c r="H87" s="96"/>
      <c r="I87" s="451"/>
    </row>
    <row r="88" spans="2:9" ht="12.75">
      <c r="B88" s="97"/>
      <c r="C88" s="75"/>
      <c r="D88" s="71"/>
      <c r="E88" s="45">
        <v>2104</v>
      </c>
      <c r="F88" s="61">
        <v>5000</v>
      </c>
      <c r="G88" s="110"/>
      <c r="H88" s="96"/>
      <c r="I88" s="451"/>
    </row>
    <row r="89" spans="2:9" ht="12.75">
      <c r="B89" s="97"/>
      <c r="C89" s="75"/>
      <c r="D89" s="71"/>
      <c r="E89" s="45">
        <v>2201</v>
      </c>
      <c r="F89" s="61">
        <v>5000</v>
      </c>
      <c r="G89" s="110"/>
      <c r="H89" s="96"/>
      <c r="I89" s="451"/>
    </row>
    <row r="90" spans="2:9" ht="12.75">
      <c r="B90" s="97"/>
      <c r="C90" s="75"/>
      <c r="D90" s="71"/>
      <c r="E90" s="45">
        <v>2601</v>
      </c>
      <c r="F90" s="61">
        <v>5000</v>
      </c>
      <c r="G90" s="109" t="s">
        <v>154</v>
      </c>
      <c r="H90" s="96"/>
      <c r="I90" s="451"/>
    </row>
    <row r="91" spans="2:9" ht="12.75">
      <c r="B91" s="97"/>
      <c r="C91" s="75"/>
      <c r="D91" s="71"/>
      <c r="E91" s="50">
        <v>3000</v>
      </c>
      <c r="F91" s="60">
        <f>SUM(F92:F93)</f>
        <v>18000</v>
      </c>
      <c r="G91" s="110"/>
      <c r="H91" s="96"/>
      <c r="I91" s="451"/>
    </row>
    <row r="92" spans="2:9" ht="12.75">
      <c r="B92" s="97"/>
      <c r="C92" s="75"/>
      <c r="D92" s="71"/>
      <c r="E92" s="45">
        <v>3401</v>
      </c>
      <c r="F92" s="61">
        <v>2000</v>
      </c>
      <c r="G92" s="110"/>
      <c r="H92" s="96"/>
      <c r="I92" s="451"/>
    </row>
    <row r="93" spans="2:9" ht="12.75">
      <c r="B93" s="97"/>
      <c r="C93" s="76"/>
      <c r="D93" s="52"/>
      <c r="E93" s="420">
        <v>3907</v>
      </c>
      <c r="F93" s="421">
        <v>16000</v>
      </c>
      <c r="G93" s="110"/>
      <c r="H93" s="96"/>
      <c r="I93" s="451"/>
    </row>
    <row r="94" spans="2:9" ht="33.75" customHeight="1">
      <c r="B94" s="97">
        <v>7</v>
      </c>
      <c r="C94" s="75" t="s">
        <v>579</v>
      </c>
      <c r="D94" s="73">
        <f>+F94+F100</f>
        <v>162100</v>
      </c>
      <c r="E94" s="50">
        <v>2000</v>
      </c>
      <c r="F94" s="60">
        <f>SUM(F95:F99)</f>
        <v>62100</v>
      </c>
      <c r="G94" s="110"/>
      <c r="H94" s="96"/>
      <c r="I94" s="451"/>
    </row>
    <row r="95" spans="2:9" ht="12.75">
      <c r="B95" s="97"/>
      <c r="C95" s="75"/>
      <c r="D95" s="37"/>
      <c r="E95" s="45">
        <v>2101</v>
      </c>
      <c r="F95" s="61">
        <v>3500</v>
      </c>
      <c r="G95" s="110"/>
      <c r="H95" s="96"/>
      <c r="I95" s="451"/>
    </row>
    <row r="96" spans="2:9" ht="12.75">
      <c r="B96" s="97"/>
      <c r="C96" s="75"/>
      <c r="D96" s="37"/>
      <c r="E96" s="45">
        <v>2105</v>
      </c>
      <c r="F96" s="61">
        <v>5500</v>
      </c>
      <c r="G96" s="110"/>
      <c r="H96" s="96"/>
      <c r="I96" s="451"/>
    </row>
    <row r="97" spans="2:9" ht="12.75">
      <c r="B97" s="97"/>
      <c r="C97" s="75"/>
      <c r="D97" s="37"/>
      <c r="E97" s="45">
        <v>2201</v>
      </c>
      <c r="F97" s="61">
        <v>25000</v>
      </c>
      <c r="G97" s="110"/>
      <c r="H97" s="96"/>
      <c r="I97" s="451"/>
    </row>
    <row r="98" spans="2:9" ht="12.75">
      <c r="B98" s="97"/>
      <c r="C98" s="75"/>
      <c r="D98" s="37"/>
      <c r="E98" s="45">
        <v>2601</v>
      </c>
      <c r="F98" s="61">
        <v>6100</v>
      </c>
      <c r="G98" s="109" t="s">
        <v>154</v>
      </c>
      <c r="H98" s="96"/>
      <c r="I98" s="451"/>
    </row>
    <row r="99" spans="2:9" ht="12.75">
      <c r="B99" s="97"/>
      <c r="C99" s="75"/>
      <c r="D99" s="37"/>
      <c r="E99" s="45">
        <v>2701</v>
      </c>
      <c r="F99" s="61">
        <v>22000</v>
      </c>
      <c r="G99" s="110"/>
      <c r="H99" s="96"/>
      <c r="I99" s="451"/>
    </row>
    <row r="100" spans="2:9" ht="12.75">
      <c r="B100" s="97"/>
      <c r="C100" s="75"/>
      <c r="D100" s="37"/>
      <c r="E100" s="50">
        <v>3000</v>
      </c>
      <c r="F100" s="60">
        <f>SUM(F101:F105)</f>
        <v>100000</v>
      </c>
      <c r="G100" s="110"/>
      <c r="H100" s="96"/>
      <c r="I100" s="451"/>
    </row>
    <row r="101" spans="2:9" ht="12.75">
      <c r="B101" s="97"/>
      <c r="C101" s="75"/>
      <c r="D101" s="37"/>
      <c r="E101" s="45">
        <v>3702</v>
      </c>
      <c r="F101" s="61">
        <v>25000</v>
      </c>
      <c r="G101" s="109" t="s">
        <v>232</v>
      </c>
      <c r="H101" s="96"/>
      <c r="I101" s="451"/>
    </row>
    <row r="102" spans="2:9" ht="12.75">
      <c r="B102" s="97"/>
      <c r="C102" s="75"/>
      <c r="D102" s="37"/>
      <c r="E102" s="46">
        <v>3703</v>
      </c>
      <c r="F102" s="68">
        <v>5000</v>
      </c>
      <c r="G102" s="109" t="s">
        <v>232</v>
      </c>
      <c r="H102" s="96"/>
      <c r="I102" s="451"/>
    </row>
    <row r="103" spans="2:9" ht="12.75">
      <c r="B103" s="97"/>
      <c r="C103" s="75"/>
      <c r="D103" s="37"/>
      <c r="E103" s="431">
        <v>3801</v>
      </c>
      <c r="F103" s="432"/>
      <c r="G103" s="111"/>
      <c r="H103" s="96"/>
      <c r="I103" s="451"/>
    </row>
    <row r="104" spans="2:9" ht="12.75">
      <c r="B104" s="97"/>
      <c r="C104" s="75"/>
      <c r="D104" s="37"/>
      <c r="E104" s="46">
        <v>3802</v>
      </c>
      <c r="F104" s="68">
        <v>50000</v>
      </c>
      <c r="G104" s="111"/>
      <c r="H104" s="96"/>
      <c r="I104" s="451"/>
    </row>
    <row r="105" spans="2:9" ht="12.75">
      <c r="B105" s="97"/>
      <c r="C105" s="76"/>
      <c r="D105" s="37"/>
      <c r="E105" s="46">
        <v>3907</v>
      </c>
      <c r="F105" s="68">
        <v>20000</v>
      </c>
      <c r="G105" s="111"/>
      <c r="H105" s="96"/>
      <c r="I105" s="451"/>
    </row>
    <row r="106" spans="2:9" ht="25.5">
      <c r="B106" s="97">
        <v>8</v>
      </c>
      <c r="C106" s="75" t="s">
        <v>70</v>
      </c>
      <c r="D106" s="48">
        <f>+F106+F112</f>
        <v>190000</v>
      </c>
      <c r="E106" s="49">
        <v>2000</v>
      </c>
      <c r="F106" s="59">
        <f>SUM(F107:F111)</f>
        <v>90000</v>
      </c>
      <c r="G106" s="109"/>
      <c r="H106" s="96"/>
      <c r="I106" s="451"/>
    </row>
    <row r="107" spans="2:9" ht="12.75">
      <c r="B107" s="97"/>
      <c r="C107" s="84"/>
      <c r="D107" s="48"/>
      <c r="E107" s="44">
        <v>2101</v>
      </c>
      <c r="F107" s="58">
        <v>2000</v>
      </c>
      <c r="G107" s="109"/>
      <c r="H107" s="96"/>
      <c r="I107" s="451"/>
    </row>
    <row r="108" spans="2:9" ht="12.75">
      <c r="B108" s="97"/>
      <c r="C108" s="84"/>
      <c r="D108" s="48"/>
      <c r="E108" s="44">
        <v>2105</v>
      </c>
      <c r="F108" s="58">
        <v>3000</v>
      </c>
      <c r="G108" s="109"/>
      <c r="H108" s="96"/>
      <c r="I108" s="451"/>
    </row>
    <row r="109" spans="2:9" ht="12.75">
      <c r="B109" s="97"/>
      <c r="C109" s="84"/>
      <c r="D109" s="48"/>
      <c r="E109" s="425">
        <v>2201</v>
      </c>
      <c r="F109" s="367">
        <v>50000</v>
      </c>
      <c r="G109" s="109"/>
      <c r="H109" s="96"/>
      <c r="I109" s="451"/>
    </row>
    <row r="110" spans="2:9" ht="12.75">
      <c r="B110" s="97"/>
      <c r="C110" s="84"/>
      <c r="D110" s="48"/>
      <c r="E110" s="425">
        <v>2601</v>
      </c>
      <c r="F110" s="367">
        <v>20000</v>
      </c>
      <c r="G110" s="109" t="s">
        <v>154</v>
      </c>
      <c r="H110" s="96"/>
      <c r="I110" s="451"/>
    </row>
    <row r="111" spans="2:9" ht="12.75">
      <c r="B111" s="97"/>
      <c r="C111" s="75"/>
      <c r="D111" s="49"/>
      <c r="E111" s="44">
        <v>2701</v>
      </c>
      <c r="F111" s="58">
        <v>15000</v>
      </c>
      <c r="G111" s="109"/>
      <c r="H111" s="96"/>
      <c r="I111" s="451"/>
    </row>
    <row r="112" spans="2:9" ht="12.75">
      <c r="B112" s="97"/>
      <c r="C112" s="75"/>
      <c r="D112" s="49"/>
      <c r="E112" s="49">
        <v>3000</v>
      </c>
      <c r="F112" s="59">
        <f>SUM(F113:F119)</f>
        <v>100000</v>
      </c>
      <c r="G112" s="109"/>
      <c r="H112" s="96"/>
      <c r="I112" s="451"/>
    </row>
    <row r="113" spans="2:9" ht="12.75">
      <c r="B113" s="97"/>
      <c r="C113" s="75"/>
      <c r="D113" s="49"/>
      <c r="E113" s="44">
        <v>3501</v>
      </c>
      <c r="F113" s="58">
        <v>15000</v>
      </c>
      <c r="G113" s="109" t="s">
        <v>232</v>
      </c>
      <c r="H113" s="96"/>
      <c r="I113" s="451"/>
    </row>
    <row r="114" spans="2:9" ht="12.75">
      <c r="B114" s="97"/>
      <c r="C114" s="75"/>
      <c r="D114" s="49"/>
      <c r="E114" s="44">
        <v>3603</v>
      </c>
      <c r="F114" s="58">
        <v>6000</v>
      </c>
      <c r="G114" s="109"/>
      <c r="H114" s="96"/>
      <c r="I114" s="451"/>
    </row>
    <row r="115" spans="2:9" ht="12.75">
      <c r="B115" s="97"/>
      <c r="C115" s="75"/>
      <c r="D115" s="49"/>
      <c r="E115" s="425">
        <v>3702</v>
      </c>
      <c r="F115" s="367">
        <v>50000</v>
      </c>
      <c r="G115" s="109" t="s">
        <v>232</v>
      </c>
      <c r="H115" s="96"/>
      <c r="I115" s="451"/>
    </row>
    <row r="116" spans="2:9" ht="12.75">
      <c r="B116" s="97"/>
      <c r="C116" s="75"/>
      <c r="D116" s="49"/>
      <c r="E116" s="44">
        <v>3703</v>
      </c>
      <c r="F116" s="58">
        <v>5000</v>
      </c>
      <c r="G116" s="109"/>
      <c r="H116" s="96"/>
      <c r="I116" s="451"/>
    </row>
    <row r="117" spans="2:9" ht="12.75">
      <c r="B117" s="97"/>
      <c r="C117" s="75"/>
      <c r="D117" s="49"/>
      <c r="E117" s="425">
        <v>3801</v>
      </c>
      <c r="F117" s="367">
        <v>0</v>
      </c>
      <c r="G117" s="109"/>
      <c r="H117" s="96"/>
      <c r="I117" s="451"/>
    </row>
    <row r="118" spans="2:9" ht="12.75">
      <c r="B118" s="97"/>
      <c r="C118" s="75"/>
      <c r="D118" s="49"/>
      <c r="E118" s="44">
        <v>3802</v>
      </c>
      <c r="F118" s="58">
        <v>15000</v>
      </c>
      <c r="G118" s="109"/>
      <c r="H118" s="96"/>
      <c r="I118" s="451"/>
    </row>
    <row r="119" spans="2:9" ht="12.75">
      <c r="B119" s="97"/>
      <c r="C119" s="76"/>
      <c r="D119" s="49"/>
      <c r="E119" s="44">
        <v>3907</v>
      </c>
      <c r="F119" s="58">
        <v>9000</v>
      </c>
      <c r="G119" s="109"/>
      <c r="H119" s="96"/>
      <c r="I119" s="451"/>
    </row>
    <row r="120" spans="2:9" ht="25.5">
      <c r="B120" s="97">
        <v>9</v>
      </c>
      <c r="C120" s="75" t="s">
        <v>65</v>
      </c>
      <c r="D120" s="48">
        <f>+F120+F125+F134</f>
        <v>858000</v>
      </c>
      <c r="E120" s="49">
        <v>2000</v>
      </c>
      <c r="F120" s="59">
        <f>SUM(F121:F124)</f>
        <v>173000</v>
      </c>
      <c r="G120" s="109"/>
      <c r="H120" s="96"/>
      <c r="I120" s="451"/>
    </row>
    <row r="121" spans="2:9" ht="12.75">
      <c r="B121" s="97"/>
      <c r="C121" s="84"/>
      <c r="D121" s="48"/>
      <c r="E121" s="44">
        <v>2101</v>
      </c>
      <c r="F121" s="58">
        <v>8000</v>
      </c>
      <c r="G121" s="109"/>
      <c r="H121" s="96"/>
      <c r="I121" s="451"/>
    </row>
    <row r="122" spans="2:9" ht="12.75">
      <c r="B122" s="97"/>
      <c r="C122" s="84"/>
      <c r="D122" s="48"/>
      <c r="E122" s="44">
        <v>2201</v>
      </c>
      <c r="F122" s="58">
        <v>65000</v>
      </c>
      <c r="G122" s="109"/>
      <c r="H122" s="96"/>
      <c r="I122" s="451"/>
    </row>
    <row r="123" spans="2:9" ht="12.75">
      <c r="B123" s="97"/>
      <c r="C123" s="84"/>
      <c r="D123" s="48"/>
      <c r="E123" s="44">
        <v>2601</v>
      </c>
      <c r="F123" s="58">
        <v>60000</v>
      </c>
      <c r="G123" s="109" t="s">
        <v>154</v>
      </c>
      <c r="H123" s="96"/>
      <c r="I123" s="451"/>
    </row>
    <row r="124" spans="2:9" ht="12.75">
      <c r="B124" s="97"/>
      <c r="C124" s="84"/>
      <c r="D124" s="48"/>
      <c r="E124" s="44">
        <v>2701</v>
      </c>
      <c r="F124" s="58">
        <v>40000</v>
      </c>
      <c r="G124" s="109"/>
      <c r="H124" s="96"/>
      <c r="I124" s="451"/>
    </row>
    <row r="125" spans="2:9" ht="12.75">
      <c r="B125" s="97"/>
      <c r="C125" s="84"/>
      <c r="D125" s="48"/>
      <c r="E125" s="49">
        <v>3000</v>
      </c>
      <c r="F125" s="59">
        <f>SUM(F126:F133)</f>
        <v>435000</v>
      </c>
      <c r="G125" s="109"/>
      <c r="H125" s="96"/>
      <c r="I125" s="451"/>
    </row>
    <row r="126" spans="2:9" ht="12.75">
      <c r="B126" s="97"/>
      <c r="C126" s="84"/>
      <c r="D126" s="48"/>
      <c r="E126" s="425">
        <v>3203</v>
      </c>
      <c r="F126" s="367">
        <v>50000</v>
      </c>
      <c r="G126" s="109"/>
      <c r="H126" s="96"/>
      <c r="I126" s="451"/>
    </row>
    <row r="127" spans="2:9" ht="12.75">
      <c r="B127" s="97"/>
      <c r="C127" s="84"/>
      <c r="D127" s="48"/>
      <c r="E127" s="44">
        <v>3508</v>
      </c>
      <c r="F127" s="58">
        <v>20000</v>
      </c>
      <c r="G127" s="109"/>
      <c r="H127" s="96"/>
      <c r="I127" s="451"/>
    </row>
    <row r="128" spans="2:9" ht="12.75">
      <c r="B128" s="97"/>
      <c r="C128" s="84"/>
      <c r="D128" s="48"/>
      <c r="E128" s="44">
        <v>3701</v>
      </c>
      <c r="F128" s="58">
        <v>90000</v>
      </c>
      <c r="G128" s="109"/>
      <c r="H128" s="96"/>
      <c r="I128" s="451"/>
    </row>
    <row r="129" spans="2:9" ht="12.75">
      <c r="B129" s="97"/>
      <c r="C129" s="84"/>
      <c r="D129" s="48"/>
      <c r="E129" s="425">
        <v>3702</v>
      </c>
      <c r="F129" s="367">
        <v>75000</v>
      </c>
      <c r="G129" s="109" t="s">
        <v>232</v>
      </c>
      <c r="H129" s="96"/>
      <c r="I129" s="451"/>
    </row>
    <row r="130" spans="2:9" ht="12.75">
      <c r="B130" s="97"/>
      <c r="C130" s="84"/>
      <c r="D130" s="48"/>
      <c r="E130" s="44">
        <v>3703</v>
      </c>
      <c r="F130" s="58">
        <v>15000</v>
      </c>
      <c r="G130" s="109"/>
      <c r="H130" s="96"/>
      <c r="I130" s="451"/>
    </row>
    <row r="131" spans="2:9" ht="12.75">
      <c r="B131" s="97"/>
      <c r="C131" s="84"/>
      <c r="D131" s="48"/>
      <c r="E131" s="425">
        <v>3801</v>
      </c>
      <c r="F131" s="367">
        <v>0</v>
      </c>
      <c r="G131" s="109"/>
      <c r="H131" s="96"/>
      <c r="I131" s="451"/>
    </row>
    <row r="132" spans="2:9" ht="12.75">
      <c r="B132" s="97"/>
      <c r="C132" s="84"/>
      <c r="D132" s="48"/>
      <c r="E132" s="425">
        <v>3802</v>
      </c>
      <c r="F132" s="367">
        <v>105000</v>
      </c>
      <c r="G132" s="109"/>
      <c r="H132" s="96"/>
      <c r="I132" s="451"/>
    </row>
    <row r="133" spans="2:9" ht="12.75">
      <c r="B133" s="97"/>
      <c r="C133" s="84"/>
      <c r="D133" s="48"/>
      <c r="E133" s="44">
        <v>3904</v>
      </c>
      <c r="F133" s="58">
        <v>80000</v>
      </c>
      <c r="G133" s="109"/>
      <c r="H133" s="96"/>
      <c r="I133" s="451"/>
    </row>
    <row r="134" spans="2:9" ht="12.75">
      <c r="B134" s="97"/>
      <c r="C134" s="84"/>
      <c r="D134" s="48"/>
      <c r="E134" s="49">
        <v>5000</v>
      </c>
      <c r="F134" s="59">
        <f>SUM(F135)</f>
        <v>250000</v>
      </c>
      <c r="G134" s="109"/>
      <c r="H134" s="96"/>
      <c r="I134" s="451"/>
    </row>
    <row r="135" spans="2:9" ht="12.75">
      <c r="B135" s="97"/>
      <c r="C135" s="76"/>
      <c r="D135" s="49"/>
      <c r="E135" s="44">
        <v>5104</v>
      </c>
      <c r="F135" s="58">
        <v>250000</v>
      </c>
      <c r="G135" s="109"/>
      <c r="H135" s="96"/>
      <c r="I135" s="451"/>
    </row>
    <row r="136" spans="2:9" ht="25.5">
      <c r="B136" s="97">
        <v>10</v>
      </c>
      <c r="C136" s="75" t="s">
        <v>71</v>
      </c>
      <c r="D136" s="48">
        <f>+F136+F142</f>
        <v>414000</v>
      </c>
      <c r="E136" s="49">
        <v>2000</v>
      </c>
      <c r="F136" s="59">
        <f>SUM(F137:F141)</f>
        <v>94000</v>
      </c>
      <c r="G136" s="109"/>
      <c r="H136" s="96"/>
      <c r="I136" s="451"/>
    </row>
    <row r="137" spans="2:9" ht="12.75">
      <c r="B137" s="97"/>
      <c r="C137" s="84"/>
      <c r="D137" s="48"/>
      <c r="E137" s="44">
        <v>2101</v>
      </c>
      <c r="F137" s="58">
        <v>4000</v>
      </c>
      <c r="G137" s="109"/>
      <c r="H137" s="96"/>
      <c r="I137" s="451"/>
    </row>
    <row r="138" spans="2:9" ht="12.75">
      <c r="B138" s="97"/>
      <c r="C138" s="84"/>
      <c r="D138" s="48"/>
      <c r="E138" s="425">
        <v>2201</v>
      </c>
      <c r="F138" s="367">
        <v>20000</v>
      </c>
      <c r="G138" s="109"/>
      <c r="H138" s="96"/>
      <c r="I138" s="451"/>
    </row>
    <row r="139" spans="2:9" ht="12.75">
      <c r="B139" s="97"/>
      <c r="C139" s="84"/>
      <c r="D139" s="48"/>
      <c r="E139" s="44">
        <v>2304</v>
      </c>
      <c r="F139" s="58">
        <v>15000</v>
      </c>
      <c r="G139" s="109"/>
      <c r="H139" s="96"/>
      <c r="I139" s="451"/>
    </row>
    <row r="140" spans="2:9" ht="12.75">
      <c r="B140" s="97"/>
      <c r="C140" s="84"/>
      <c r="D140" s="48"/>
      <c r="E140" s="425">
        <v>2601</v>
      </c>
      <c r="F140" s="367">
        <v>15000</v>
      </c>
      <c r="G140" s="109" t="s">
        <v>154</v>
      </c>
      <c r="H140" s="96"/>
      <c r="I140" s="451"/>
    </row>
    <row r="141" spans="2:9" ht="12.75">
      <c r="B141" s="97"/>
      <c r="C141" s="84"/>
      <c r="D141" s="48"/>
      <c r="E141" s="425">
        <v>2701</v>
      </c>
      <c r="F141" s="367">
        <v>40000</v>
      </c>
      <c r="G141" s="109" t="s">
        <v>154</v>
      </c>
      <c r="H141" s="96"/>
      <c r="I141" s="451"/>
    </row>
    <row r="142" spans="2:9" ht="12.75">
      <c r="B142" s="97"/>
      <c r="C142" s="84"/>
      <c r="D142" s="48"/>
      <c r="E142" s="49">
        <v>3000</v>
      </c>
      <c r="F142" s="59">
        <f>SUM(F143:F148)</f>
        <v>320000</v>
      </c>
      <c r="G142" s="109"/>
      <c r="H142" s="96"/>
      <c r="I142" s="451"/>
    </row>
    <row r="143" spans="2:9" ht="12.75">
      <c r="B143" s="97"/>
      <c r="C143" s="75"/>
      <c r="D143" s="49"/>
      <c r="E143" s="425">
        <v>3201</v>
      </c>
      <c r="F143" s="367">
        <v>30000</v>
      </c>
      <c r="G143" s="109"/>
      <c r="H143" s="96"/>
      <c r="I143" s="451"/>
    </row>
    <row r="144" spans="2:9" ht="12.75">
      <c r="B144" s="97"/>
      <c r="C144" s="75"/>
      <c r="D144" s="49"/>
      <c r="E144" s="425">
        <v>3702</v>
      </c>
      <c r="F144" s="367">
        <v>55000</v>
      </c>
      <c r="G144" s="109" t="s">
        <v>232</v>
      </c>
      <c r="H144" s="96"/>
      <c r="I144" s="451"/>
    </row>
    <row r="145" spans="2:9" ht="12.75">
      <c r="B145" s="97"/>
      <c r="C145" s="75"/>
      <c r="D145" s="49"/>
      <c r="E145" s="425">
        <v>3703</v>
      </c>
      <c r="F145" s="367">
        <v>15000</v>
      </c>
      <c r="G145" s="109"/>
      <c r="H145" s="96"/>
      <c r="I145" s="451"/>
    </row>
    <row r="146" spans="2:9" ht="12.75">
      <c r="B146" s="97"/>
      <c r="C146" s="75"/>
      <c r="D146" s="49"/>
      <c r="E146" s="425">
        <v>3801</v>
      </c>
      <c r="F146" s="367">
        <v>0</v>
      </c>
      <c r="G146" s="109"/>
      <c r="H146" s="96"/>
      <c r="I146" s="451"/>
    </row>
    <row r="147" spans="2:9" ht="12.75">
      <c r="B147" s="97"/>
      <c r="C147" s="75"/>
      <c r="D147" s="49"/>
      <c r="E147" s="425">
        <v>3802</v>
      </c>
      <c r="F147" s="367">
        <v>220000</v>
      </c>
      <c r="G147" s="109"/>
      <c r="H147" s="96"/>
      <c r="I147" s="451"/>
    </row>
    <row r="148" spans="2:9" ht="12.75">
      <c r="B148" s="97"/>
      <c r="C148" s="76"/>
      <c r="D148" s="49"/>
      <c r="E148" s="425">
        <v>3904</v>
      </c>
      <c r="F148" s="367">
        <v>0</v>
      </c>
      <c r="G148" s="109"/>
      <c r="H148" s="96"/>
      <c r="I148" s="451"/>
    </row>
    <row r="149" spans="2:9" ht="27" customHeight="1">
      <c r="B149" s="97">
        <v>11</v>
      </c>
      <c r="C149" s="84" t="s">
        <v>656</v>
      </c>
      <c r="D149" s="48">
        <f>+F149+F156</f>
        <v>163000</v>
      </c>
      <c r="E149" s="49">
        <v>2000</v>
      </c>
      <c r="F149" s="59">
        <f>SUM(F150:F155)</f>
        <v>138000</v>
      </c>
      <c r="G149" s="109"/>
      <c r="H149" s="96"/>
      <c r="I149" s="451"/>
    </row>
    <row r="150" spans="2:9" ht="27" customHeight="1">
      <c r="B150" s="97"/>
      <c r="C150" s="84"/>
      <c r="D150" s="48"/>
      <c r="E150" s="425">
        <v>2201</v>
      </c>
      <c r="F150" s="367">
        <v>2000</v>
      </c>
      <c r="G150" s="109"/>
      <c r="H150" s="96"/>
      <c r="I150" s="451"/>
    </row>
    <row r="151" spans="2:9" ht="12.75">
      <c r="B151" s="97"/>
      <c r="C151" s="84"/>
      <c r="D151" s="49"/>
      <c r="E151" s="425">
        <v>2207</v>
      </c>
      <c r="F151" s="367">
        <v>5000</v>
      </c>
      <c r="G151" s="109"/>
      <c r="H151" s="96"/>
      <c r="I151" s="451"/>
    </row>
    <row r="152" spans="2:9" ht="12.75">
      <c r="B152" s="97"/>
      <c r="C152" s="84"/>
      <c r="D152" s="49"/>
      <c r="E152" s="44">
        <v>2503</v>
      </c>
      <c r="F152" s="58">
        <v>6000</v>
      </c>
      <c r="G152" s="109"/>
      <c r="H152" s="96"/>
      <c r="I152" s="451"/>
    </row>
    <row r="153" spans="2:9" ht="12.75">
      <c r="B153" s="97"/>
      <c r="C153" s="84"/>
      <c r="D153" s="49"/>
      <c r="E153" s="44">
        <v>2601</v>
      </c>
      <c r="F153" s="58">
        <v>5000</v>
      </c>
      <c r="G153" s="109" t="s">
        <v>154</v>
      </c>
      <c r="H153" s="96"/>
      <c r="I153" s="451"/>
    </row>
    <row r="154" spans="2:9" ht="12.75">
      <c r="B154" s="97"/>
      <c r="C154" s="84"/>
      <c r="D154" s="49"/>
      <c r="E154" s="44">
        <v>2701</v>
      </c>
      <c r="F154" s="58">
        <v>45000</v>
      </c>
      <c r="G154" s="109"/>
      <c r="H154" s="96"/>
      <c r="I154" s="451"/>
    </row>
    <row r="155" spans="2:9" ht="12.75">
      <c r="B155" s="97"/>
      <c r="C155" s="75"/>
      <c r="D155" s="49"/>
      <c r="E155" s="44">
        <v>2703</v>
      </c>
      <c r="F155" s="58">
        <v>75000</v>
      </c>
      <c r="G155" s="109"/>
      <c r="H155" s="96"/>
      <c r="I155" s="451"/>
    </row>
    <row r="156" spans="2:9" ht="12.75">
      <c r="B156" s="97"/>
      <c r="C156" s="75"/>
      <c r="D156" s="49"/>
      <c r="E156" s="49">
        <v>3000</v>
      </c>
      <c r="F156" s="59">
        <f>SUM(F157:F159)</f>
        <v>25000</v>
      </c>
      <c r="G156" s="109"/>
      <c r="H156" s="96"/>
      <c r="I156" s="451"/>
    </row>
    <row r="157" spans="2:9" ht="12.75">
      <c r="B157" s="97"/>
      <c r="C157" s="75"/>
      <c r="D157" s="49"/>
      <c r="E157" s="44">
        <v>3205</v>
      </c>
      <c r="F157" s="58">
        <v>5000</v>
      </c>
      <c r="G157" s="109"/>
      <c r="H157" s="96"/>
      <c r="I157" s="451"/>
    </row>
    <row r="158" spans="2:9" ht="12.75">
      <c r="B158" s="97"/>
      <c r="C158" s="75"/>
      <c r="D158" s="49"/>
      <c r="E158" s="425">
        <v>3602</v>
      </c>
      <c r="F158" s="367">
        <v>0</v>
      </c>
      <c r="G158" s="109"/>
      <c r="H158" s="96"/>
      <c r="I158" s="451"/>
    </row>
    <row r="159" spans="2:9" ht="12.75">
      <c r="B159" s="97"/>
      <c r="C159" s="76"/>
      <c r="D159" s="49"/>
      <c r="E159" s="425">
        <v>3604</v>
      </c>
      <c r="F159" s="367">
        <v>20000</v>
      </c>
      <c r="G159" s="109"/>
      <c r="H159" s="96"/>
      <c r="I159" s="451"/>
    </row>
    <row r="160" spans="2:9" ht="25.5">
      <c r="B160" s="97">
        <v>12</v>
      </c>
      <c r="C160" s="221" t="s">
        <v>657</v>
      </c>
      <c r="D160" s="48">
        <f>+F160+F168</f>
        <v>1470000</v>
      </c>
      <c r="E160" s="49">
        <v>2000</v>
      </c>
      <c r="F160" s="59">
        <f>SUM(F161:F167)</f>
        <v>950000</v>
      </c>
      <c r="G160" s="109"/>
      <c r="H160" s="96"/>
      <c r="I160" s="451"/>
    </row>
    <row r="161" spans="2:9" ht="12.75">
      <c r="B161" s="97"/>
      <c r="C161" s="84"/>
      <c r="D161" s="182"/>
      <c r="E161" s="44">
        <v>2101</v>
      </c>
      <c r="F161" s="58">
        <v>20000</v>
      </c>
      <c r="G161" s="109"/>
      <c r="H161" s="96"/>
      <c r="I161" s="451"/>
    </row>
    <row r="162" spans="2:9" ht="12.75">
      <c r="B162" s="97"/>
      <c r="C162" s="84"/>
      <c r="D162" s="182"/>
      <c r="E162" s="425">
        <v>2201</v>
      </c>
      <c r="F162" s="367">
        <v>110000</v>
      </c>
      <c r="G162" s="109"/>
      <c r="H162" s="96"/>
      <c r="I162" s="451"/>
    </row>
    <row r="163" spans="2:9" ht="12.75">
      <c r="B163" s="97"/>
      <c r="C163" s="75"/>
      <c r="D163" s="49"/>
      <c r="E163" s="44">
        <v>2207</v>
      </c>
      <c r="F163" s="58">
        <v>10000</v>
      </c>
      <c r="G163" s="109"/>
      <c r="H163" s="96"/>
      <c r="I163" s="451"/>
    </row>
    <row r="164" spans="2:9" ht="12.75">
      <c r="B164" s="97"/>
      <c r="C164" s="75"/>
      <c r="D164" s="49"/>
      <c r="E164" s="425">
        <v>2403</v>
      </c>
      <c r="F164" s="367">
        <v>70000</v>
      </c>
      <c r="G164" s="109"/>
      <c r="H164" s="96"/>
      <c r="I164" s="451"/>
    </row>
    <row r="165" spans="2:9" ht="12.75">
      <c r="B165" s="97"/>
      <c r="C165" s="75"/>
      <c r="D165" s="49"/>
      <c r="E165" s="44">
        <v>2503</v>
      </c>
      <c r="F165" s="58">
        <v>10000</v>
      </c>
      <c r="G165" s="109"/>
      <c r="H165" s="96"/>
      <c r="I165" s="451"/>
    </row>
    <row r="166" spans="2:9" ht="12.75">
      <c r="B166" s="97"/>
      <c r="C166" s="75"/>
      <c r="D166" s="49"/>
      <c r="E166" s="44">
        <v>2701</v>
      </c>
      <c r="F166" s="58">
        <v>150000</v>
      </c>
      <c r="G166" s="109"/>
      <c r="H166" s="96"/>
      <c r="I166" s="451"/>
    </row>
    <row r="167" spans="2:9" ht="12.75">
      <c r="B167" s="97"/>
      <c r="C167" s="75"/>
      <c r="D167" s="49"/>
      <c r="E167" s="44">
        <v>2703</v>
      </c>
      <c r="F167" s="58">
        <v>580000</v>
      </c>
      <c r="G167" s="109"/>
      <c r="H167" s="96"/>
      <c r="I167" s="451"/>
    </row>
    <row r="168" spans="2:9" ht="12.75">
      <c r="B168" s="97"/>
      <c r="C168" s="75"/>
      <c r="D168" s="49"/>
      <c r="E168" s="49">
        <v>3000</v>
      </c>
      <c r="F168" s="59">
        <f>SUM(F169:F174)</f>
        <v>520000</v>
      </c>
      <c r="G168" s="109"/>
      <c r="H168" s="96"/>
      <c r="I168" s="451"/>
    </row>
    <row r="169" spans="2:9" ht="12.75">
      <c r="B169" s="97"/>
      <c r="C169" s="75"/>
      <c r="D169" s="49"/>
      <c r="E169" s="44">
        <v>3516</v>
      </c>
      <c r="F169" s="58">
        <v>100000</v>
      </c>
      <c r="G169" s="109"/>
      <c r="H169" s="96"/>
      <c r="I169" s="451"/>
    </row>
    <row r="170" spans="2:9" ht="12.75">
      <c r="B170" s="97"/>
      <c r="C170" s="75"/>
      <c r="D170" s="49"/>
      <c r="E170" s="44">
        <v>3604</v>
      </c>
      <c r="F170" s="58">
        <v>80000</v>
      </c>
      <c r="G170" s="109"/>
      <c r="H170" s="96"/>
      <c r="I170" s="451"/>
    </row>
    <row r="171" spans="2:9" ht="12.75">
      <c r="B171" s="97"/>
      <c r="C171" s="75"/>
      <c r="D171" s="49"/>
      <c r="E171" s="44">
        <v>3701</v>
      </c>
      <c r="F171" s="58">
        <v>150000</v>
      </c>
      <c r="G171" s="109" t="s">
        <v>232</v>
      </c>
      <c r="H171" s="96"/>
      <c r="I171" s="451"/>
    </row>
    <row r="172" spans="2:9" ht="12.75">
      <c r="B172" s="97"/>
      <c r="C172" s="75"/>
      <c r="D172" s="49"/>
      <c r="E172" s="44">
        <v>3702</v>
      </c>
      <c r="F172" s="58">
        <v>90000</v>
      </c>
      <c r="G172" s="109" t="s">
        <v>232</v>
      </c>
      <c r="H172" s="96"/>
      <c r="I172" s="451"/>
    </row>
    <row r="173" spans="2:9" ht="12.75">
      <c r="B173" s="97"/>
      <c r="C173" s="75"/>
      <c r="D173" s="49"/>
      <c r="E173" s="425">
        <v>3906</v>
      </c>
      <c r="F173" s="367">
        <v>80000</v>
      </c>
      <c r="G173" s="109"/>
      <c r="H173" s="96"/>
      <c r="I173" s="451"/>
    </row>
    <row r="174" spans="2:9" ht="12.75">
      <c r="B174" s="97"/>
      <c r="C174" s="76"/>
      <c r="D174" s="49"/>
      <c r="E174" s="44">
        <v>3907</v>
      </c>
      <c r="F174" s="58">
        <v>20000</v>
      </c>
      <c r="G174" s="109"/>
      <c r="H174" s="96"/>
      <c r="I174" s="451"/>
    </row>
    <row r="175" spans="2:9" ht="25.5">
      <c r="B175" s="97">
        <v>13</v>
      </c>
      <c r="C175" s="221" t="s">
        <v>660</v>
      </c>
      <c r="D175" s="48">
        <f>+F175+F181</f>
        <v>205000</v>
      </c>
      <c r="E175" s="49">
        <v>2000</v>
      </c>
      <c r="F175" s="59">
        <f>SUM(F176:F180)</f>
        <v>80000</v>
      </c>
      <c r="G175" s="109"/>
      <c r="H175" s="96"/>
      <c r="I175" s="451"/>
    </row>
    <row r="176" spans="2:9" ht="12.75">
      <c r="B176" s="97"/>
      <c r="C176" s="221"/>
      <c r="D176" s="48"/>
      <c r="E176" s="44">
        <v>2101</v>
      </c>
      <c r="F176" s="58">
        <v>8000</v>
      </c>
      <c r="G176" s="109"/>
      <c r="H176" s="96"/>
      <c r="I176" s="451"/>
    </row>
    <row r="177" spans="2:9" ht="12.75">
      <c r="B177" s="97"/>
      <c r="C177" s="221"/>
      <c r="D177" s="48"/>
      <c r="E177" s="425">
        <v>2104</v>
      </c>
      <c r="F177" s="367">
        <v>0</v>
      </c>
      <c r="G177" s="109"/>
      <c r="H177" s="96"/>
      <c r="I177" s="451"/>
    </row>
    <row r="178" spans="2:9" ht="12.75">
      <c r="B178" s="97"/>
      <c r="C178" s="221"/>
      <c r="D178" s="48"/>
      <c r="E178" s="44">
        <v>2201</v>
      </c>
      <c r="F178" s="58">
        <v>40000</v>
      </c>
      <c r="G178" s="109"/>
      <c r="H178" s="96"/>
      <c r="I178" s="451"/>
    </row>
    <row r="179" spans="2:9" ht="12.75">
      <c r="B179" s="97"/>
      <c r="C179" s="221"/>
      <c r="D179" s="48"/>
      <c r="E179" s="44">
        <v>2207</v>
      </c>
      <c r="F179" s="58">
        <v>2000</v>
      </c>
      <c r="G179" s="109"/>
      <c r="H179" s="96"/>
      <c r="I179" s="451"/>
    </row>
    <row r="180" spans="2:9" ht="12.75">
      <c r="B180" s="97"/>
      <c r="C180" s="75"/>
      <c r="D180" s="49"/>
      <c r="E180" s="44">
        <v>2703</v>
      </c>
      <c r="F180" s="58">
        <v>30000</v>
      </c>
      <c r="G180" s="109"/>
      <c r="H180" s="96"/>
      <c r="I180" s="451"/>
    </row>
    <row r="181" spans="2:9" ht="12.75">
      <c r="B181" s="97"/>
      <c r="C181" s="75"/>
      <c r="D181" s="49"/>
      <c r="E181" s="49">
        <v>3000</v>
      </c>
      <c r="F181" s="59">
        <f>SUM(F182:F184)</f>
        <v>125000</v>
      </c>
      <c r="G181" s="109"/>
      <c r="H181" s="96"/>
      <c r="I181" s="451"/>
    </row>
    <row r="182" spans="2:9" ht="12.75">
      <c r="B182" s="97"/>
      <c r="C182" s="75"/>
      <c r="D182" s="49"/>
      <c r="E182" s="425">
        <v>3702</v>
      </c>
      <c r="F182" s="367">
        <v>80000</v>
      </c>
      <c r="G182" s="109" t="s">
        <v>232</v>
      </c>
      <c r="H182" s="96"/>
      <c r="I182" s="451"/>
    </row>
    <row r="183" spans="2:9" ht="12.75">
      <c r="B183" s="97"/>
      <c r="C183" s="75"/>
      <c r="D183" s="49"/>
      <c r="E183" s="44">
        <v>3703</v>
      </c>
      <c r="F183" s="58">
        <v>20000</v>
      </c>
      <c r="G183" s="109"/>
      <c r="H183" s="96"/>
      <c r="I183" s="451"/>
    </row>
    <row r="184" spans="2:9" ht="12.75">
      <c r="B184" s="97"/>
      <c r="C184" s="76"/>
      <c r="D184" s="49"/>
      <c r="E184" s="425">
        <v>3906</v>
      </c>
      <c r="F184" s="367">
        <v>25000</v>
      </c>
      <c r="G184" s="109"/>
      <c r="H184" s="96"/>
      <c r="I184" s="451"/>
    </row>
    <row r="185" spans="2:9" ht="25.5">
      <c r="B185" s="97">
        <v>14</v>
      </c>
      <c r="C185" s="75" t="s">
        <v>74</v>
      </c>
      <c r="D185" s="226">
        <f>+F185+F191+F197</f>
        <v>974500</v>
      </c>
      <c r="E185" s="78">
        <v>2000</v>
      </c>
      <c r="F185" s="59">
        <f>SUM(F186:F190)</f>
        <v>674500</v>
      </c>
      <c r="G185" s="107"/>
      <c r="H185" s="96"/>
      <c r="I185" s="451"/>
    </row>
    <row r="186" spans="2:9" ht="12.75">
      <c r="B186" s="97"/>
      <c r="C186" s="75"/>
      <c r="D186" s="49"/>
      <c r="E186" s="44">
        <v>2101</v>
      </c>
      <c r="F186" s="58">
        <v>10000</v>
      </c>
      <c r="G186" s="107"/>
      <c r="H186" s="96"/>
      <c r="I186" s="451"/>
    </row>
    <row r="187" spans="2:9" ht="12.75">
      <c r="B187" s="97"/>
      <c r="C187" s="75"/>
      <c r="D187" s="49"/>
      <c r="E187" s="425">
        <v>2201</v>
      </c>
      <c r="F187" s="367">
        <v>109500</v>
      </c>
      <c r="G187" s="107"/>
      <c r="H187" s="96"/>
      <c r="I187" s="451"/>
    </row>
    <row r="188" spans="2:9" ht="12.75">
      <c r="B188" s="97"/>
      <c r="C188" s="75"/>
      <c r="D188" s="49"/>
      <c r="E188" s="44">
        <v>2207</v>
      </c>
      <c r="F188" s="58">
        <v>5000</v>
      </c>
      <c r="G188" s="107"/>
      <c r="H188" s="96"/>
      <c r="I188" s="451"/>
    </row>
    <row r="189" spans="2:9" ht="12.75">
      <c r="B189" s="97"/>
      <c r="C189" s="75"/>
      <c r="D189" s="49"/>
      <c r="E189" s="44">
        <v>2701</v>
      </c>
      <c r="F189" s="58">
        <v>50000</v>
      </c>
      <c r="G189" s="107"/>
      <c r="H189" s="96"/>
      <c r="I189" s="451"/>
    </row>
    <row r="190" spans="2:9" ht="12.75">
      <c r="B190" s="97"/>
      <c r="C190" s="75"/>
      <c r="D190" s="49"/>
      <c r="E190" s="44">
        <v>2703</v>
      </c>
      <c r="F190" s="58">
        <v>500000</v>
      </c>
      <c r="G190" s="107"/>
      <c r="H190" s="96"/>
      <c r="I190" s="451"/>
    </row>
    <row r="191" spans="2:9" ht="12.75">
      <c r="B191" s="97"/>
      <c r="C191" s="75"/>
      <c r="D191" s="49"/>
      <c r="E191" s="49">
        <v>3000</v>
      </c>
      <c r="F191" s="59">
        <f>SUM(F192:F196)</f>
        <v>280000</v>
      </c>
      <c r="G191" s="107"/>
      <c r="H191" s="96"/>
      <c r="I191" s="451"/>
    </row>
    <row r="192" spans="2:9" ht="12.75">
      <c r="B192" s="97"/>
      <c r="C192" s="75"/>
      <c r="D192" s="49"/>
      <c r="E192" s="44">
        <v>3604</v>
      </c>
      <c r="F192" s="58">
        <v>5000</v>
      </c>
      <c r="G192" s="107"/>
      <c r="H192" s="96"/>
      <c r="I192" s="451"/>
    </row>
    <row r="193" spans="2:9" ht="12.75">
      <c r="B193" s="97"/>
      <c r="C193" s="75"/>
      <c r="D193" s="49"/>
      <c r="E193" s="425">
        <v>3701</v>
      </c>
      <c r="F193" s="367">
        <v>200000</v>
      </c>
      <c r="G193" s="107"/>
      <c r="H193" s="96"/>
      <c r="I193" s="451"/>
    </row>
    <row r="194" spans="2:9" ht="12.75">
      <c r="B194" s="97"/>
      <c r="C194" s="75"/>
      <c r="D194" s="49"/>
      <c r="E194" s="425">
        <v>3702</v>
      </c>
      <c r="F194" s="367">
        <v>40000</v>
      </c>
      <c r="G194" s="107"/>
      <c r="H194" s="96"/>
      <c r="I194" s="451"/>
    </row>
    <row r="195" spans="2:9" ht="12.75">
      <c r="B195" s="97"/>
      <c r="C195" s="75"/>
      <c r="D195" s="49"/>
      <c r="E195" s="425">
        <v>3703</v>
      </c>
      <c r="F195" s="367">
        <v>30000</v>
      </c>
      <c r="G195" s="107"/>
      <c r="H195" s="96"/>
      <c r="I195" s="451"/>
    </row>
    <row r="196" spans="2:9" ht="12.75">
      <c r="B196" s="97"/>
      <c r="C196" s="75"/>
      <c r="D196" s="49"/>
      <c r="E196" s="44">
        <v>3906</v>
      </c>
      <c r="F196" s="58">
        <v>5000</v>
      </c>
      <c r="G196" s="107"/>
      <c r="H196" s="96"/>
      <c r="I196" s="451"/>
    </row>
    <row r="197" spans="2:9" ht="12.75">
      <c r="B197" s="97"/>
      <c r="C197" s="75"/>
      <c r="D197" s="49"/>
      <c r="E197" s="49">
        <v>5000</v>
      </c>
      <c r="F197" s="59">
        <f>SUM(F198)</f>
        <v>20000</v>
      </c>
      <c r="G197" s="107"/>
      <c r="H197" s="96"/>
      <c r="I197" s="451"/>
    </row>
    <row r="198" spans="2:9" ht="12.75">
      <c r="B198" s="97"/>
      <c r="C198" s="75"/>
      <c r="D198" s="49"/>
      <c r="E198" s="44">
        <v>5101</v>
      </c>
      <c r="F198" s="58">
        <v>20000</v>
      </c>
      <c r="G198" s="107"/>
      <c r="H198" s="96"/>
      <c r="I198" s="451"/>
    </row>
    <row r="199" spans="2:9" ht="38.25">
      <c r="B199" s="97">
        <v>15</v>
      </c>
      <c r="C199" s="223" t="s">
        <v>88</v>
      </c>
      <c r="D199" s="225">
        <f>+F199+F204</f>
        <v>159000</v>
      </c>
      <c r="E199" s="49">
        <v>2000</v>
      </c>
      <c r="F199" s="59">
        <f>SUM(F200:F203)</f>
        <v>34000</v>
      </c>
      <c r="G199" s="107"/>
      <c r="H199" s="96"/>
      <c r="I199" s="451"/>
    </row>
    <row r="200" spans="2:9" ht="12.75">
      <c r="B200" s="97"/>
      <c r="C200" s="221"/>
      <c r="D200" s="49"/>
      <c r="E200" s="425">
        <v>2101</v>
      </c>
      <c r="F200" s="367">
        <v>16000</v>
      </c>
      <c r="G200" s="107"/>
      <c r="H200" s="96"/>
      <c r="I200" s="451"/>
    </row>
    <row r="201" spans="2:9" ht="12.75">
      <c r="B201" s="97"/>
      <c r="C201" s="221"/>
      <c r="D201" s="49"/>
      <c r="E201" s="44">
        <v>2103</v>
      </c>
      <c r="F201" s="58">
        <v>2000</v>
      </c>
      <c r="G201" s="107"/>
      <c r="H201" s="96"/>
      <c r="I201" s="451"/>
    </row>
    <row r="202" spans="2:9" ht="12.75">
      <c r="B202" s="97"/>
      <c r="C202" s="221"/>
      <c r="D202" s="49"/>
      <c r="E202" s="425">
        <v>2104</v>
      </c>
      <c r="F202" s="367">
        <v>0</v>
      </c>
      <c r="G202" s="107"/>
      <c r="H202" s="96"/>
      <c r="I202" s="451"/>
    </row>
    <row r="203" spans="2:9" ht="12.75">
      <c r="B203" s="97"/>
      <c r="C203" s="221"/>
      <c r="D203" s="49"/>
      <c r="E203" s="44">
        <v>2304</v>
      </c>
      <c r="F203" s="58">
        <v>16000</v>
      </c>
      <c r="G203" s="107"/>
      <c r="H203" s="96"/>
      <c r="I203" s="451"/>
    </row>
    <row r="204" spans="2:9" ht="12.75">
      <c r="B204" s="97"/>
      <c r="C204" s="221"/>
      <c r="D204" s="49"/>
      <c r="E204" s="49">
        <v>3000</v>
      </c>
      <c r="F204" s="59">
        <f>SUM(F205:F207)</f>
        <v>125000</v>
      </c>
      <c r="G204" s="107"/>
      <c r="H204" s="96"/>
      <c r="I204" s="451"/>
    </row>
    <row r="205" spans="2:9" ht="12.75">
      <c r="B205" s="97"/>
      <c r="C205" s="75"/>
      <c r="D205" s="49"/>
      <c r="E205" s="425">
        <v>3701</v>
      </c>
      <c r="F205" s="367">
        <v>40000</v>
      </c>
      <c r="G205" s="109" t="s">
        <v>232</v>
      </c>
      <c r="H205" s="96"/>
      <c r="I205" s="451"/>
    </row>
    <row r="206" spans="2:9" ht="12.75">
      <c r="B206" s="97"/>
      <c r="C206" s="75"/>
      <c r="D206" s="49"/>
      <c r="E206" s="425">
        <v>3702</v>
      </c>
      <c r="F206" s="367">
        <v>50000</v>
      </c>
      <c r="G206" s="109" t="s">
        <v>232</v>
      </c>
      <c r="H206" s="96"/>
      <c r="I206" s="451"/>
    </row>
    <row r="207" spans="2:9" ht="12.75">
      <c r="B207" s="97"/>
      <c r="C207" s="75"/>
      <c r="D207" s="49"/>
      <c r="E207" s="44">
        <v>3703</v>
      </c>
      <c r="F207" s="58">
        <v>35000</v>
      </c>
      <c r="G207" s="107"/>
      <c r="H207" s="96"/>
      <c r="I207" s="451"/>
    </row>
    <row r="208" spans="2:9" ht="38.25">
      <c r="B208" s="97"/>
      <c r="C208" s="433" t="s">
        <v>6</v>
      </c>
      <c r="D208" s="227">
        <f>F208+F212+F216</f>
        <v>54000</v>
      </c>
      <c r="E208" s="49">
        <v>2000</v>
      </c>
      <c r="F208" s="59">
        <f>SUM(F209:F211)</f>
        <v>7000</v>
      </c>
      <c r="G208" s="107"/>
      <c r="H208" s="96"/>
      <c r="I208" s="451"/>
    </row>
    <row r="209" spans="2:9" ht="12.75">
      <c r="B209" s="97"/>
      <c r="C209" s="422"/>
      <c r="D209" s="49"/>
      <c r="E209" s="425">
        <v>2101</v>
      </c>
      <c r="F209" s="367">
        <v>1000</v>
      </c>
      <c r="G209" s="107"/>
      <c r="H209" s="96"/>
      <c r="I209" s="451"/>
    </row>
    <row r="210" spans="2:9" ht="12.75">
      <c r="B210" s="97"/>
      <c r="C210" s="426"/>
      <c r="D210" s="49"/>
      <c r="E210" s="44">
        <v>2103</v>
      </c>
      <c r="F210" s="58">
        <v>1000</v>
      </c>
      <c r="G210" s="107"/>
      <c r="H210" s="96"/>
      <c r="I210" s="451"/>
    </row>
    <row r="211" spans="2:9" ht="12.75">
      <c r="B211" s="97"/>
      <c r="C211" s="422"/>
      <c r="D211" s="49"/>
      <c r="E211" s="44">
        <v>2201</v>
      </c>
      <c r="F211" s="58">
        <v>5000</v>
      </c>
      <c r="G211" s="107"/>
      <c r="H211" s="96"/>
      <c r="I211" s="451"/>
    </row>
    <row r="212" spans="2:9" ht="12.75">
      <c r="B212" s="97"/>
      <c r="C212" s="75"/>
      <c r="D212" s="49"/>
      <c r="E212" s="49">
        <v>3000</v>
      </c>
      <c r="F212" s="59">
        <f>SUM(F213:F215)</f>
        <v>43000</v>
      </c>
      <c r="G212" s="107"/>
      <c r="H212" s="96"/>
      <c r="I212" s="451"/>
    </row>
    <row r="213" spans="2:9" ht="12.75">
      <c r="B213" s="97"/>
      <c r="C213" s="423"/>
      <c r="D213" s="49"/>
      <c r="E213" s="44">
        <v>3701</v>
      </c>
      <c r="F213" s="58">
        <v>8000</v>
      </c>
      <c r="G213" s="107"/>
      <c r="H213" s="96"/>
      <c r="I213" s="451"/>
    </row>
    <row r="214" spans="2:9" ht="12.75">
      <c r="B214" s="97"/>
      <c r="C214" s="423"/>
      <c r="D214" s="49"/>
      <c r="E214" s="44">
        <v>3702</v>
      </c>
      <c r="F214" s="58">
        <v>20000</v>
      </c>
      <c r="G214" s="107"/>
      <c r="H214" s="96"/>
      <c r="I214" s="451"/>
    </row>
    <row r="215" spans="2:9" ht="12.75">
      <c r="B215" s="97"/>
      <c r="C215" s="423"/>
      <c r="D215" s="49"/>
      <c r="E215" s="44">
        <v>3703</v>
      </c>
      <c r="F215" s="58">
        <v>15000</v>
      </c>
      <c r="G215" s="107"/>
      <c r="H215" s="96"/>
      <c r="I215" s="451"/>
    </row>
    <row r="216" spans="2:9" ht="12.75">
      <c r="B216" s="97"/>
      <c r="C216" s="75"/>
      <c r="D216" s="49"/>
      <c r="E216" s="49">
        <v>5000</v>
      </c>
      <c r="F216" s="59">
        <f>SUM(F217)</f>
        <v>4000</v>
      </c>
      <c r="G216" s="107"/>
      <c r="H216" s="96"/>
      <c r="I216" s="451"/>
    </row>
    <row r="217" spans="2:9" ht="12.75">
      <c r="B217" s="97"/>
      <c r="C217" s="423"/>
      <c r="D217" s="49"/>
      <c r="E217" s="44">
        <v>5102</v>
      </c>
      <c r="F217" s="58">
        <v>4000</v>
      </c>
      <c r="G217" s="107"/>
      <c r="H217" s="96"/>
      <c r="I217" s="451"/>
    </row>
    <row r="218" spans="2:9" ht="38.25">
      <c r="B218" s="97">
        <v>16</v>
      </c>
      <c r="C218" s="223" t="s">
        <v>75</v>
      </c>
      <c r="D218" s="225">
        <f>+F218+F226</f>
        <v>188000</v>
      </c>
      <c r="E218" s="49">
        <v>2000</v>
      </c>
      <c r="F218" s="59">
        <f>SUM(F219:F225)</f>
        <v>58000</v>
      </c>
      <c r="G218" s="107"/>
      <c r="H218" s="96"/>
      <c r="I218" s="451"/>
    </row>
    <row r="219" spans="2:9" ht="12.75">
      <c r="B219" s="97"/>
      <c r="C219" s="75"/>
      <c r="D219" s="49"/>
      <c r="E219" s="425">
        <v>2101</v>
      </c>
      <c r="F219" s="367">
        <v>15000</v>
      </c>
      <c r="G219" s="107"/>
      <c r="H219" s="96"/>
      <c r="I219" s="451"/>
    </row>
    <row r="220" spans="2:9" ht="12.75">
      <c r="B220" s="97"/>
      <c r="C220" s="75"/>
      <c r="D220" s="49"/>
      <c r="E220" s="425">
        <v>2104</v>
      </c>
      <c r="F220" s="367">
        <v>0</v>
      </c>
      <c r="G220" s="107"/>
      <c r="H220" s="96"/>
      <c r="I220" s="451"/>
    </row>
    <row r="221" spans="2:9" ht="12.75">
      <c r="B221" s="97"/>
      <c r="C221" s="75"/>
      <c r="D221" s="49"/>
      <c r="E221" s="44">
        <v>2105</v>
      </c>
      <c r="F221" s="58">
        <v>25000</v>
      </c>
      <c r="G221" s="107"/>
      <c r="H221" s="96"/>
      <c r="I221" s="451"/>
    </row>
    <row r="222" spans="2:9" ht="12.75">
      <c r="B222" s="97"/>
      <c r="C222" s="75"/>
      <c r="D222" s="49"/>
      <c r="E222" s="425">
        <v>2106</v>
      </c>
      <c r="F222" s="367">
        <v>0</v>
      </c>
      <c r="G222" s="107"/>
      <c r="H222" s="96"/>
      <c r="I222" s="451"/>
    </row>
    <row r="223" spans="2:9" ht="12.75">
      <c r="B223" s="97"/>
      <c r="C223" s="75"/>
      <c r="D223" s="49"/>
      <c r="E223" s="44">
        <v>2201</v>
      </c>
      <c r="F223" s="58">
        <v>15000</v>
      </c>
      <c r="G223" s="107"/>
      <c r="H223" s="96"/>
      <c r="I223" s="451"/>
    </row>
    <row r="224" spans="2:9" ht="12.75">
      <c r="B224" s="97"/>
      <c r="C224" s="75"/>
      <c r="D224" s="49"/>
      <c r="E224" s="44">
        <v>2601</v>
      </c>
      <c r="F224" s="58">
        <v>1500</v>
      </c>
      <c r="G224" s="109" t="s">
        <v>154</v>
      </c>
      <c r="H224" s="96"/>
      <c r="I224" s="451"/>
    </row>
    <row r="225" spans="2:9" ht="12.75">
      <c r="B225" s="97"/>
      <c r="C225" s="75"/>
      <c r="D225" s="49"/>
      <c r="E225" s="44">
        <v>2701</v>
      </c>
      <c r="F225" s="58">
        <v>1500</v>
      </c>
      <c r="G225" s="107"/>
      <c r="H225" s="96"/>
      <c r="I225" s="451"/>
    </row>
    <row r="226" spans="2:9" ht="12.75">
      <c r="B226" s="97"/>
      <c r="C226" s="75"/>
      <c r="D226" s="49"/>
      <c r="E226" s="49">
        <v>3000</v>
      </c>
      <c r="F226" s="59">
        <f>SUM(F227:F229)</f>
        <v>130000</v>
      </c>
      <c r="G226" s="107"/>
      <c r="H226" s="96"/>
      <c r="I226" s="451"/>
    </row>
    <row r="227" spans="2:9" ht="12.75">
      <c r="B227" s="97"/>
      <c r="C227" s="75"/>
      <c r="D227" s="49"/>
      <c r="E227" s="44">
        <v>3602</v>
      </c>
      <c r="F227" s="58">
        <v>50000</v>
      </c>
      <c r="G227" s="107"/>
      <c r="H227" s="96"/>
      <c r="I227" s="451"/>
    </row>
    <row r="228" spans="2:9" ht="12.75">
      <c r="B228" s="97"/>
      <c r="C228" s="75"/>
      <c r="D228" s="49"/>
      <c r="E228" s="425">
        <v>3604</v>
      </c>
      <c r="F228" s="367">
        <v>50000</v>
      </c>
      <c r="G228" s="107"/>
      <c r="H228" s="96"/>
      <c r="I228" s="451"/>
    </row>
    <row r="229" spans="2:9" ht="12.75">
      <c r="B229" s="97"/>
      <c r="C229" s="75"/>
      <c r="D229" s="49"/>
      <c r="E229" s="44">
        <v>3702</v>
      </c>
      <c r="F229" s="58">
        <v>30000</v>
      </c>
      <c r="G229" s="109" t="s">
        <v>232</v>
      </c>
      <c r="H229" s="96"/>
      <c r="I229" s="451"/>
    </row>
    <row r="230" spans="2:9" ht="25.5">
      <c r="B230" s="97">
        <v>17</v>
      </c>
      <c r="C230" s="223" t="s">
        <v>560</v>
      </c>
      <c r="D230" s="227">
        <f>+F230</f>
        <v>42500</v>
      </c>
      <c r="E230" s="49">
        <v>2000</v>
      </c>
      <c r="F230" s="59">
        <f>SUM(F231:F233)</f>
        <v>42500</v>
      </c>
      <c r="G230" s="107"/>
      <c r="H230" s="96"/>
      <c r="I230" s="451"/>
    </row>
    <row r="231" spans="2:9" ht="12.75">
      <c r="B231" s="97"/>
      <c r="C231" s="75"/>
      <c r="D231" s="49"/>
      <c r="E231" s="425">
        <v>2101</v>
      </c>
      <c r="F231" s="367">
        <v>12500</v>
      </c>
      <c r="G231" s="107"/>
      <c r="H231" s="96"/>
      <c r="I231" s="451"/>
    </row>
    <row r="232" spans="2:9" ht="12.75">
      <c r="B232" s="97"/>
      <c r="C232" s="75"/>
      <c r="D232" s="49"/>
      <c r="E232" s="425">
        <v>2104</v>
      </c>
      <c r="F232" s="367">
        <v>0</v>
      </c>
      <c r="G232" s="107"/>
      <c r="H232" s="96"/>
      <c r="I232" s="451"/>
    </row>
    <row r="233" spans="2:9" ht="12.75">
      <c r="B233" s="97"/>
      <c r="C233" s="75"/>
      <c r="D233" s="49"/>
      <c r="E233" s="425">
        <v>2106</v>
      </c>
      <c r="F233" s="367">
        <v>30000</v>
      </c>
      <c r="G233" s="107"/>
      <c r="H233" s="96"/>
      <c r="I233" s="451"/>
    </row>
    <row r="234" spans="2:9" ht="25.5">
      <c r="B234" s="97">
        <v>18</v>
      </c>
      <c r="C234" s="223" t="s">
        <v>90</v>
      </c>
      <c r="D234" s="227">
        <f>+F234+F237</f>
        <v>655000</v>
      </c>
      <c r="E234" s="49">
        <v>2000</v>
      </c>
      <c r="F234" s="59">
        <f>SUM(F235:F236)</f>
        <v>5000</v>
      </c>
      <c r="G234" s="107"/>
      <c r="H234" s="96"/>
      <c r="I234" s="451"/>
    </row>
    <row r="235" spans="2:9" ht="12.75">
      <c r="B235" s="97"/>
      <c r="C235" s="75"/>
      <c r="D235" s="49"/>
      <c r="E235" s="425">
        <v>2101</v>
      </c>
      <c r="F235" s="367">
        <v>5000</v>
      </c>
      <c r="G235" s="107"/>
      <c r="H235" s="96"/>
      <c r="I235" s="451"/>
    </row>
    <row r="236" spans="2:9" ht="12.75">
      <c r="B236" s="97"/>
      <c r="C236" s="75"/>
      <c r="D236" s="49"/>
      <c r="E236" s="425">
        <v>2104</v>
      </c>
      <c r="F236" s="367">
        <v>0</v>
      </c>
      <c r="G236" s="107"/>
      <c r="H236" s="96"/>
      <c r="I236" s="451"/>
    </row>
    <row r="237" spans="2:9" ht="12.75">
      <c r="B237" s="97"/>
      <c r="C237" s="75"/>
      <c r="D237" s="49"/>
      <c r="E237" s="49">
        <v>3000</v>
      </c>
      <c r="F237" s="59">
        <f>SUM(F238:F239)</f>
        <v>650000</v>
      </c>
      <c r="G237" s="107"/>
      <c r="H237" s="96"/>
      <c r="I237" s="451"/>
    </row>
    <row r="238" spans="2:9" ht="12.75">
      <c r="B238" s="97"/>
      <c r="C238" s="75"/>
      <c r="D238" s="49"/>
      <c r="E238" s="44">
        <v>3401</v>
      </c>
      <c r="F238" s="58">
        <v>100000</v>
      </c>
      <c r="G238" s="107"/>
      <c r="H238" s="96"/>
      <c r="I238" s="451"/>
    </row>
    <row r="239" spans="2:9" ht="12.75">
      <c r="B239" s="97"/>
      <c r="C239" s="75"/>
      <c r="D239" s="49"/>
      <c r="E239" s="44">
        <v>3604</v>
      </c>
      <c r="F239" s="58">
        <v>550000</v>
      </c>
      <c r="G239" s="107"/>
      <c r="H239" s="96"/>
      <c r="I239" s="451"/>
    </row>
    <row r="240" spans="2:9" ht="25.5">
      <c r="B240" s="97">
        <v>19</v>
      </c>
      <c r="C240" s="223" t="s">
        <v>81</v>
      </c>
      <c r="D240" s="227">
        <f>+F240</f>
        <v>300000</v>
      </c>
      <c r="E240" s="49">
        <v>3000</v>
      </c>
      <c r="F240" s="59">
        <f>+F241</f>
        <v>300000</v>
      </c>
      <c r="G240" s="107"/>
      <c r="H240" s="96"/>
      <c r="I240" s="451"/>
    </row>
    <row r="241" spans="2:9" ht="12.75">
      <c r="B241" s="97"/>
      <c r="C241" s="221"/>
      <c r="D241" s="49"/>
      <c r="E241" s="44">
        <v>3602</v>
      </c>
      <c r="F241" s="58">
        <v>300000</v>
      </c>
      <c r="G241" s="107"/>
      <c r="H241" s="96"/>
      <c r="I241" s="451"/>
    </row>
    <row r="242" spans="2:9" ht="12.75">
      <c r="B242" s="97">
        <v>20</v>
      </c>
      <c r="C242" s="223" t="s">
        <v>84</v>
      </c>
      <c r="D242" s="227">
        <f>+F242+F244</f>
        <v>105000</v>
      </c>
      <c r="E242" s="49">
        <v>2000</v>
      </c>
      <c r="F242" s="59">
        <f>SUM(F243:F243)</f>
        <v>5000</v>
      </c>
      <c r="G242" s="107"/>
      <c r="H242" s="96"/>
      <c r="I242" s="451"/>
    </row>
    <row r="243" spans="2:9" ht="12.75">
      <c r="B243" s="97"/>
      <c r="C243" s="221"/>
      <c r="D243" s="49"/>
      <c r="E243" s="44">
        <v>2104</v>
      </c>
      <c r="F243" s="58">
        <v>5000</v>
      </c>
      <c r="G243" s="107"/>
      <c r="H243" s="96"/>
      <c r="I243" s="451"/>
    </row>
    <row r="244" spans="2:9" ht="12.75">
      <c r="B244" s="97"/>
      <c r="C244" s="221"/>
      <c r="D244" s="49"/>
      <c r="E244" s="49">
        <v>3000</v>
      </c>
      <c r="F244" s="59">
        <f>SUM(F245:F246)</f>
        <v>100000</v>
      </c>
      <c r="G244" s="107"/>
      <c r="H244" s="96"/>
      <c r="I244" s="451"/>
    </row>
    <row r="245" spans="2:9" ht="12.75">
      <c r="B245" s="97"/>
      <c r="C245" s="221"/>
      <c r="D245" s="49"/>
      <c r="E245" s="44">
        <v>3602</v>
      </c>
      <c r="F245" s="58">
        <v>80000</v>
      </c>
      <c r="G245" s="107"/>
      <c r="H245" s="96"/>
      <c r="I245" s="451"/>
    </row>
    <row r="246" spans="2:9" ht="12.75">
      <c r="B246" s="97"/>
      <c r="C246" s="221"/>
      <c r="D246" s="49"/>
      <c r="E246" s="44">
        <v>3604</v>
      </c>
      <c r="F246" s="58">
        <v>20000</v>
      </c>
      <c r="G246" s="107"/>
      <c r="H246" s="96"/>
      <c r="I246" s="451"/>
    </row>
    <row r="247" spans="2:9" ht="25.5">
      <c r="B247" s="97">
        <v>21</v>
      </c>
      <c r="C247" s="223" t="s">
        <v>91</v>
      </c>
      <c r="D247" s="227">
        <f>+F247</f>
        <v>150000</v>
      </c>
      <c r="E247" s="49">
        <v>3000</v>
      </c>
      <c r="F247" s="59">
        <f>SUM(F248:F249)</f>
        <v>150000</v>
      </c>
      <c r="G247" s="107"/>
      <c r="H247" s="96"/>
      <c r="I247" s="451"/>
    </row>
    <row r="248" spans="2:9" ht="12.75">
      <c r="B248" s="97"/>
      <c r="C248" s="221"/>
      <c r="D248" s="49"/>
      <c r="E248" s="44">
        <v>3301</v>
      </c>
      <c r="F248" s="58">
        <v>50000</v>
      </c>
      <c r="G248" s="107"/>
      <c r="H248" s="96"/>
      <c r="I248" s="451"/>
    </row>
    <row r="249" spans="2:9" ht="12.75">
      <c r="B249" s="97"/>
      <c r="C249" s="221"/>
      <c r="D249" s="386"/>
      <c r="E249" s="42">
        <v>3302</v>
      </c>
      <c r="F249" s="55">
        <v>100000</v>
      </c>
      <c r="G249" s="107"/>
      <c r="H249" s="96"/>
      <c r="I249" s="451"/>
    </row>
    <row r="250" spans="2:9" ht="12.75">
      <c r="B250" s="95"/>
      <c r="C250" s="381" t="s">
        <v>716</v>
      </c>
      <c r="D250" s="382">
        <f>SUM(D251:D312)</f>
        <v>9817477.5</v>
      </c>
      <c r="E250" s="382"/>
      <c r="F250" s="382">
        <f>SUM(F251:F312)/2</f>
        <v>9817477.5</v>
      </c>
      <c r="G250" s="107"/>
      <c r="H250" s="96"/>
      <c r="I250" s="451"/>
    </row>
    <row r="251" spans="2:9" ht="38.25">
      <c r="B251" s="97">
        <v>25</v>
      </c>
      <c r="C251" s="379" t="s">
        <v>756</v>
      </c>
      <c r="D251" s="48">
        <f>+F251+F259</f>
        <v>3263182</v>
      </c>
      <c r="E251" s="49">
        <v>2000</v>
      </c>
      <c r="F251" s="59">
        <f>SUM(F252:F258)</f>
        <v>456000</v>
      </c>
      <c r="G251" s="109"/>
      <c r="H251" s="96"/>
      <c r="I251" s="451"/>
    </row>
    <row r="252" spans="2:9" ht="12.75">
      <c r="B252" s="97"/>
      <c r="C252" s="221"/>
      <c r="D252" s="49"/>
      <c r="E252" s="44">
        <v>2101</v>
      </c>
      <c r="F252" s="367">
        <f>135000+10000+10000</f>
        <v>155000</v>
      </c>
      <c r="G252" s="109"/>
      <c r="H252" s="96"/>
      <c r="I252" s="451"/>
    </row>
    <row r="253" spans="2:9" ht="12.75">
      <c r="B253" s="97"/>
      <c r="C253" s="221"/>
      <c r="D253" s="49"/>
      <c r="E253" s="44">
        <v>2104</v>
      </c>
      <c r="F253" s="58">
        <v>15000</v>
      </c>
      <c r="G253" s="109"/>
      <c r="H253" s="96"/>
      <c r="I253" s="451"/>
    </row>
    <row r="254" spans="2:9" ht="12.75">
      <c r="B254" s="97"/>
      <c r="C254" s="221"/>
      <c r="D254" s="49"/>
      <c r="E254" s="44">
        <v>2105</v>
      </c>
      <c r="F254" s="367">
        <f>115000+10000</f>
        <v>125000</v>
      </c>
      <c r="G254" s="109"/>
      <c r="H254" s="96"/>
      <c r="I254" s="451"/>
    </row>
    <row r="255" spans="2:9" ht="12.75">
      <c r="B255" s="97"/>
      <c r="C255" s="75"/>
      <c r="D255" s="49"/>
      <c r="E255" s="44">
        <v>2201</v>
      </c>
      <c r="F255" s="367">
        <f>90000+30000</f>
        <v>120000</v>
      </c>
      <c r="G255" s="109"/>
      <c r="H255" s="96"/>
      <c r="I255" s="451"/>
    </row>
    <row r="256" spans="2:9" ht="12.75">
      <c r="B256" s="97"/>
      <c r="C256" s="75"/>
      <c r="D256" s="49"/>
      <c r="E256" s="44">
        <v>2207</v>
      </c>
      <c r="F256" s="367">
        <v>1000</v>
      </c>
      <c r="G256" s="109"/>
      <c r="H256" s="96"/>
      <c r="I256" s="451"/>
    </row>
    <row r="257" spans="2:9" ht="12.75">
      <c r="B257" s="97"/>
      <c r="C257" s="75"/>
      <c r="D257" s="49"/>
      <c r="E257" s="44">
        <v>2302</v>
      </c>
      <c r="F257" s="367">
        <v>10000</v>
      </c>
      <c r="G257" s="109"/>
      <c r="H257" s="96"/>
      <c r="I257" s="451"/>
    </row>
    <row r="258" spans="2:9" ht="12.75">
      <c r="B258" s="97"/>
      <c r="C258" s="75"/>
      <c r="D258" s="49"/>
      <c r="E258" s="44">
        <v>2601</v>
      </c>
      <c r="F258" s="367">
        <v>30000</v>
      </c>
      <c r="G258" s="109"/>
      <c r="H258" s="96"/>
      <c r="I258" s="451"/>
    </row>
    <row r="259" spans="2:9" ht="12.75">
      <c r="B259" s="97"/>
      <c r="C259" s="75"/>
      <c r="D259" s="49"/>
      <c r="E259" s="49">
        <v>3000</v>
      </c>
      <c r="F259" s="59">
        <f>SUM(F260:F268)</f>
        <v>2807182</v>
      </c>
      <c r="G259" s="109"/>
      <c r="H259" s="96"/>
      <c r="I259" s="451"/>
    </row>
    <row r="260" spans="2:9" ht="12.75">
      <c r="B260" s="97"/>
      <c r="C260" s="75"/>
      <c r="D260" s="49"/>
      <c r="E260" s="44">
        <v>3201</v>
      </c>
      <c r="F260" s="367">
        <v>15000</v>
      </c>
      <c r="G260" s="109"/>
      <c r="H260" s="96"/>
      <c r="I260" s="451"/>
    </row>
    <row r="261" spans="2:9" ht="12.75">
      <c r="B261" s="97"/>
      <c r="C261" s="75"/>
      <c r="D261" s="49"/>
      <c r="E261" s="44">
        <v>3301</v>
      </c>
      <c r="F261" s="58">
        <v>255248</v>
      </c>
      <c r="G261" s="109"/>
      <c r="H261" s="96"/>
      <c r="I261" s="451"/>
    </row>
    <row r="262" spans="2:9" ht="12.75">
      <c r="B262" s="97"/>
      <c r="C262" s="75"/>
      <c r="D262" s="49"/>
      <c r="E262" s="44">
        <v>3303</v>
      </c>
      <c r="F262" s="58">
        <v>50934</v>
      </c>
      <c r="G262" s="109"/>
      <c r="H262" s="96"/>
      <c r="I262" s="451"/>
    </row>
    <row r="263" spans="2:9" ht="12.75">
      <c r="B263" s="97"/>
      <c r="C263" s="75"/>
      <c r="D263" s="49"/>
      <c r="E263" s="44">
        <v>3402</v>
      </c>
      <c r="F263" s="367">
        <v>450000</v>
      </c>
      <c r="G263" s="109"/>
      <c r="H263" s="96"/>
      <c r="I263" s="451"/>
    </row>
    <row r="264" spans="2:9" ht="12.75">
      <c r="B264" s="97"/>
      <c r="C264" s="75"/>
      <c r="D264" s="49"/>
      <c r="E264" s="44">
        <v>3604</v>
      </c>
      <c r="F264" s="367">
        <v>50000</v>
      </c>
      <c r="G264" s="109"/>
      <c r="H264" s="96"/>
      <c r="I264" s="451"/>
    </row>
    <row r="265" spans="2:9" ht="12.75">
      <c r="B265" s="97"/>
      <c r="C265" s="75"/>
      <c r="D265" s="49"/>
      <c r="E265" s="44">
        <v>3701</v>
      </c>
      <c r="F265" s="367">
        <v>100000</v>
      </c>
      <c r="G265" s="109" t="s">
        <v>232</v>
      </c>
      <c r="H265" s="96"/>
      <c r="I265" s="451"/>
    </row>
    <row r="266" spans="2:9" ht="12.75">
      <c r="B266" s="97"/>
      <c r="C266" s="75"/>
      <c r="D266" s="49"/>
      <c r="E266" s="44">
        <v>3702</v>
      </c>
      <c r="F266" s="367">
        <v>74000</v>
      </c>
      <c r="G266" s="109" t="s">
        <v>232</v>
      </c>
      <c r="H266" s="96"/>
      <c r="I266" s="451"/>
    </row>
    <row r="267" spans="2:9" ht="12.75">
      <c r="B267" s="97"/>
      <c r="C267" s="75"/>
      <c r="D267" s="49"/>
      <c r="E267" s="44">
        <v>3703</v>
      </c>
      <c r="F267" s="367">
        <v>12000</v>
      </c>
      <c r="G267" s="109"/>
      <c r="H267" s="96"/>
      <c r="I267" s="451"/>
    </row>
    <row r="268" spans="2:9" ht="12.75">
      <c r="B268" s="97"/>
      <c r="C268" s="75"/>
      <c r="D268" s="49"/>
      <c r="E268" s="44">
        <v>3907</v>
      </c>
      <c r="F268" s="58">
        <v>1800000</v>
      </c>
      <c r="G268" s="109"/>
      <c r="H268" s="96"/>
      <c r="I268" s="451"/>
    </row>
    <row r="269" spans="2:9" ht="25.5">
      <c r="B269" s="97">
        <v>26</v>
      </c>
      <c r="C269" s="379" t="s">
        <v>671</v>
      </c>
      <c r="D269" s="48">
        <f>+F269</f>
        <v>5135313</v>
      </c>
      <c r="E269" s="49">
        <v>8000</v>
      </c>
      <c r="F269" s="59">
        <f>SUM(F270:F271)</f>
        <v>5135313</v>
      </c>
      <c r="G269" s="109"/>
      <c r="H269" s="96"/>
      <c r="I269" s="451"/>
    </row>
    <row r="270" spans="2:9" ht="12.75">
      <c r="B270" s="97"/>
      <c r="C270" s="221"/>
      <c r="D270" s="48"/>
      <c r="E270" s="44">
        <v>8102</v>
      </c>
      <c r="F270" s="58">
        <v>1099473</v>
      </c>
      <c r="G270" s="109"/>
      <c r="H270" s="96"/>
      <c r="I270" s="451"/>
    </row>
    <row r="271" spans="2:9" ht="12.75">
      <c r="B271" s="97"/>
      <c r="C271" s="76"/>
      <c r="D271" s="49"/>
      <c r="E271" s="44">
        <v>8105</v>
      </c>
      <c r="F271" s="58">
        <v>4035840</v>
      </c>
      <c r="G271" s="109"/>
      <c r="H271" s="96"/>
      <c r="I271" s="451"/>
    </row>
    <row r="272" spans="2:9" ht="76.5">
      <c r="B272" s="97">
        <v>27</v>
      </c>
      <c r="C272" s="379" t="s">
        <v>674</v>
      </c>
      <c r="D272" s="48">
        <f>+F272</f>
        <v>75000</v>
      </c>
      <c r="E272" s="49">
        <v>2000</v>
      </c>
      <c r="F272" s="59">
        <f>SUM(F273:F274)</f>
        <v>75000</v>
      </c>
      <c r="G272" s="109"/>
      <c r="H272" s="96"/>
      <c r="I272" s="451"/>
    </row>
    <row r="273" spans="2:9" ht="12.75">
      <c r="B273" s="97"/>
      <c r="C273" s="75"/>
      <c r="D273" s="49"/>
      <c r="E273" s="44">
        <v>2101</v>
      </c>
      <c r="F273" s="58">
        <f>6000+1000+1000+1000+2000</f>
        <v>11000</v>
      </c>
      <c r="G273" s="109"/>
      <c r="H273" s="96"/>
      <c r="I273" s="451"/>
    </row>
    <row r="274" spans="2:9" ht="12.75">
      <c r="B274" s="97"/>
      <c r="C274" s="75"/>
      <c r="D274" s="49"/>
      <c r="E274" s="44">
        <v>2105</v>
      </c>
      <c r="F274" s="58">
        <f>50000+3000+3000+4000+4000</f>
        <v>64000</v>
      </c>
      <c r="G274" s="109"/>
      <c r="H274" s="96"/>
      <c r="I274" s="451"/>
    </row>
    <row r="275" spans="2:9" ht="25.5">
      <c r="B275" s="97">
        <v>28</v>
      </c>
      <c r="C275" s="378" t="s">
        <v>675</v>
      </c>
      <c r="D275" s="48">
        <f>+F275+F280</f>
        <v>143040</v>
      </c>
      <c r="E275" s="49">
        <v>2000</v>
      </c>
      <c r="F275" s="59">
        <f>SUM(F276:F279)</f>
        <v>79000</v>
      </c>
      <c r="G275" s="109"/>
      <c r="H275" s="96"/>
      <c r="I275" s="451"/>
    </row>
    <row r="276" spans="2:9" ht="12.75">
      <c r="B276" s="97"/>
      <c r="C276" s="84"/>
      <c r="D276" s="48"/>
      <c r="E276" s="44">
        <v>2101</v>
      </c>
      <c r="F276" s="58">
        <v>3000</v>
      </c>
      <c r="G276" s="109"/>
      <c r="H276" s="96"/>
      <c r="I276" s="451"/>
    </row>
    <row r="277" spans="2:9" ht="12.75">
      <c r="B277" s="97"/>
      <c r="C277" s="75"/>
      <c r="D277" s="49"/>
      <c r="E277" s="44">
        <v>2104</v>
      </c>
      <c r="F277" s="58">
        <v>3000</v>
      </c>
      <c r="G277" s="109"/>
      <c r="H277" s="96"/>
      <c r="I277" s="451"/>
    </row>
    <row r="278" spans="2:9" ht="12.75">
      <c r="B278" s="97"/>
      <c r="C278" s="75"/>
      <c r="D278" s="49"/>
      <c r="E278" s="44">
        <v>2201</v>
      </c>
      <c r="F278" s="58">
        <v>10000</v>
      </c>
      <c r="G278" s="109"/>
      <c r="H278" s="96"/>
      <c r="I278" s="451"/>
    </row>
    <row r="279" spans="2:9" ht="12.75">
      <c r="B279" s="97"/>
      <c r="C279" s="75"/>
      <c r="D279" s="49"/>
      <c r="E279" s="44">
        <v>2601</v>
      </c>
      <c r="F279" s="58">
        <v>63000</v>
      </c>
      <c r="G279" s="109" t="s">
        <v>154</v>
      </c>
      <c r="H279" s="96"/>
      <c r="I279" s="451"/>
    </row>
    <row r="280" spans="2:9" ht="12.75">
      <c r="B280" s="97"/>
      <c r="C280" s="75"/>
      <c r="D280" s="49"/>
      <c r="E280" s="49">
        <v>3000</v>
      </c>
      <c r="F280" s="59">
        <f>SUM(F281:F283)</f>
        <v>64040</v>
      </c>
      <c r="G280" s="109"/>
      <c r="H280" s="96"/>
      <c r="I280" s="451"/>
    </row>
    <row r="281" spans="2:9" ht="12.75">
      <c r="B281" s="97"/>
      <c r="C281" s="75"/>
      <c r="D281" s="49"/>
      <c r="E281" s="44">
        <v>3702</v>
      </c>
      <c r="F281" s="367">
        <v>41000</v>
      </c>
      <c r="G281" s="109" t="s">
        <v>232</v>
      </c>
      <c r="H281" s="96"/>
      <c r="I281" s="451"/>
    </row>
    <row r="282" spans="2:9" ht="12.75">
      <c r="B282" s="97"/>
      <c r="C282" s="75"/>
      <c r="D282" s="49"/>
      <c r="E282" s="44">
        <v>3703</v>
      </c>
      <c r="F282" s="367">
        <v>18040</v>
      </c>
      <c r="G282" s="109"/>
      <c r="H282" s="96"/>
      <c r="I282" s="451"/>
    </row>
    <row r="283" spans="2:9" ht="12.75">
      <c r="B283" s="97"/>
      <c r="C283" s="75"/>
      <c r="D283" s="49"/>
      <c r="E283" s="44">
        <v>3903</v>
      </c>
      <c r="F283" s="58">
        <v>5000</v>
      </c>
      <c r="G283" s="109"/>
      <c r="H283" s="96"/>
      <c r="I283" s="451"/>
    </row>
    <row r="284" spans="2:9" ht="12.75">
      <c r="B284" s="97">
        <v>29</v>
      </c>
      <c r="C284" s="378" t="s">
        <v>676</v>
      </c>
      <c r="D284" s="48">
        <f>+F284+F289</f>
        <v>449030</v>
      </c>
      <c r="E284" s="49">
        <v>2000</v>
      </c>
      <c r="F284" s="59">
        <f>SUM(F285:F288)</f>
        <v>291000</v>
      </c>
      <c r="G284" s="109"/>
      <c r="H284" s="96"/>
      <c r="I284" s="451"/>
    </row>
    <row r="285" spans="2:9" ht="12.75">
      <c r="B285" s="97"/>
      <c r="C285" s="84"/>
      <c r="D285" s="48"/>
      <c r="E285" s="44">
        <v>2101</v>
      </c>
      <c r="F285" s="58">
        <f>135000+3000</f>
        <v>138000</v>
      </c>
      <c r="G285" s="109"/>
      <c r="H285" s="96"/>
      <c r="I285" s="451"/>
    </row>
    <row r="286" spans="2:9" ht="12.75">
      <c r="B286" s="97"/>
      <c r="C286" s="75"/>
      <c r="D286" s="48"/>
      <c r="E286" s="44">
        <v>2104</v>
      </c>
      <c r="F286" s="58">
        <v>15000</v>
      </c>
      <c r="G286" s="109"/>
      <c r="H286" s="96"/>
      <c r="I286" s="451"/>
    </row>
    <row r="287" spans="2:9" ht="12.75">
      <c r="B287" s="97"/>
      <c r="C287" s="75"/>
      <c r="D287" s="48"/>
      <c r="E287" s="44">
        <v>2105</v>
      </c>
      <c r="F287" s="58">
        <f>115000+5000</f>
        <v>120000</v>
      </c>
      <c r="G287" s="109"/>
      <c r="H287" s="96"/>
      <c r="I287" s="451"/>
    </row>
    <row r="288" spans="2:9" ht="12.75">
      <c r="B288" s="97"/>
      <c r="C288" s="75"/>
      <c r="D288" s="49"/>
      <c r="E288" s="44">
        <v>2201</v>
      </c>
      <c r="F288" s="58">
        <f>15000+3000</f>
        <v>18000</v>
      </c>
      <c r="G288" s="109"/>
      <c r="H288" s="96"/>
      <c r="I288" s="451"/>
    </row>
    <row r="289" spans="2:9" ht="12.75">
      <c r="B289" s="97"/>
      <c r="C289" s="75"/>
      <c r="D289" s="49"/>
      <c r="E289" s="49">
        <v>3000</v>
      </c>
      <c r="F289" s="59">
        <f>SUM(F290:F293)</f>
        <v>158030</v>
      </c>
      <c r="G289" s="109"/>
      <c r="H289" s="96"/>
      <c r="I289" s="451"/>
    </row>
    <row r="290" spans="2:9" ht="12.75">
      <c r="B290" s="97"/>
      <c r="C290" s="75"/>
      <c r="D290" s="49"/>
      <c r="E290" s="44">
        <v>3701</v>
      </c>
      <c r="F290" s="58">
        <v>41000</v>
      </c>
      <c r="G290" s="109" t="s">
        <v>232</v>
      </c>
      <c r="H290" s="96"/>
      <c r="I290" s="451"/>
    </row>
    <row r="291" spans="2:9" ht="12.75">
      <c r="B291" s="97"/>
      <c r="C291" s="75"/>
      <c r="D291" s="49"/>
      <c r="E291" s="44">
        <v>3702</v>
      </c>
      <c r="F291" s="58">
        <f>40550+36000</f>
        <v>76550</v>
      </c>
      <c r="G291" s="109" t="s">
        <v>232</v>
      </c>
      <c r="H291" s="96"/>
      <c r="I291" s="451"/>
    </row>
    <row r="292" spans="2:9" ht="12.75">
      <c r="B292" s="172"/>
      <c r="C292" s="231"/>
      <c r="D292" s="176"/>
      <c r="E292" s="44">
        <v>3703</v>
      </c>
      <c r="F292" s="58">
        <f>19640+15840</f>
        <v>35480</v>
      </c>
      <c r="G292" s="109"/>
      <c r="H292" s="96"/>
      <c r="I292" s="451"/>
    </row>
    <row r="293" spans="2:9" ht="12.75">
      <c r="B293" s="97"/>
      <c r="C293" s="221"/>
      <c r="D293" s="49"/>
      <c r="E293" s="44">
        <v>3903</v>
      </c>
      <c r="F293" s="58">
        <v>5000</v>
      </c>
      <c r="G293" s="109"/>
      <c r="H293" s="96"/>
      <c r="I293" s="451"/>
    </row>
    <row r="294" spans="2:9" ht="25.5">
      <c r="B294" s="97">
        <v>30</v>
      </c>
      <c r="C294" s="378" t="s">
        <v>706</v>
      </c>
      <c r="D294" s="48">
        <f>+F294</f>
        <v>50000</v>
      </c>
      <c r="E294" s="49">
        <v>3000</v>
      </c>
      <c r="F294" s="59">
        <f>SUM(F295)</f>
        <v>50000</v>
      </c>
      <c r="G294" s="109"/>
      <c r="H294" s="96"/>
      <c r="I294" s="451"/>
    </row>
    <row r="295" spans="2:9" ht="12.75">
      <c r="B295" s="97"/>
      <c r="C295" s="84"/>
      <c r="D295" s="48"/>
      <c r="E295" s="44">
        <v>3303</v>
      </c>
      <c r="F295" s="58">
        <v>50000</v>
      </c>
      <c r="G295" s="109"/>
      <c r="H295" s="96"/>
      <c r="I295" s="451"/>
    </row>
    <row r="296" spans="2:9" ht="12.75">
      <c r="B296" s="97">
        <v>32</v>
      </c>
      <c r="C296" s="378" t="s">
        <v>707</v>
      </c>
      <c r="D296" s="48">
        <f>+F296</f>
        <v>150000</v>
      </c>
      <c r="E296" s="49">
        <v>3000</v>
      </c>
      <c r="F296" s="59">
        <f>SUM(F297)</f>
        <v>150000</v>
      </c>
      <c r="G296" s="109"/>
      <c r="H296" s="96"/>
      <c r="I296" s="451"/>
    </row>
    <row r="297" spans="2:9" ht="12.75">
      <c r="B297" s="97"/>
      <c r="C297" s="84"/>
      <c r="D297" s="49"/>
      <c r="E297" s="44">
        <v>3303</v>
      </c>
      <c r="F297" s="367">
        <v>150000</v>
      </c>
      <c r="G297" s="109"/>
      <c r="H297" s="96"/>
      <c r="I297" s="451"/>
    </row>
    <row r="298" spans="2:9" ht="12.75">
      <c r="B298" s="97">
        <v>32</v>
      </c>
      <c r="C298" s="378" t="s">
        <v>709</v>
      </c>
      <c r="D298" s="48">
        <f>+F298+F300</f>
        <v>83000</v>
      </c>
      <c r="E298" s="49">
        <v>3000</v>
      </c>
      <c r="F298" s="396">
        <f>SUM(F299)</f>
        <v>80000</v>
      </c>
      <c r="G298" s="109"/>
      <c r="H298" s="96"/>
      <c r="I298" s="451"/>
    </row>
    <row r="299" spans="2:9" ht="12.75">
      <c r="B299" s="97"/>
      <c r="C299" s="84"/>
      <c r="D299" s="49"/>
      <c r="E299" s="44">
        <v>3303</v>
      </c>
      <c r="F299" s="367">
        <v>80000</v>
      </c>
      <c r="G299" s="109"/>
      <c r="H299" s="96"/>
      <c r="I299" s="451"/>
    </row>
    <row r="300" spans="2:9" ht="12.75">
      <c r="B300" s="97"/>
      <c r="C300" s="84"/>
      <c r="D300" s="49"/>
      <c r="E300" s="44">
        <v>5000</v>
      </c>
      <c r="F300" s="396">
        <f>SUM(F301)</f>
        <v>3000</v>
      </c>
      <c r="G300" s="109"/>
      <c r="H300" s="96"/>
      <c r="I300" s="451"/>
    </row>
    <row r="301" spans="2:9" ht="12.75">
      <c r="B301" s="97"/>
      <c r="C301" s="84"/>
      <c r="D301" s="49"/>
      <c r="E301" s="44">
        <v>5204</v>
      </c>
      <c r="F301" s="367">
        <v>3000</v>
      </c>
      <c r="G301" s="109"/>
      <c r="H301" s="96"/>
      <c r="I301" s="451"/>
    </row>
    <row r="302" spans="2:9" ht="12.75">
      <c r="B302" s="97">
        <v>32</v>
      </c>
      <c r="C302" s="378" t="s">
        <v>711</v>
      </c>
      <c r="D302" s="48">
        <f>+F302+F304</f>
        <v>113873.5</v>
      </c>
      <c r="E302" s="49">
        <v>2000</v>
      </c>
      <c r="F302" s="396">
        <f>+F303</f>
        <v>7500</v>
      </c>
      <c r="G302" s="109"/>
      <c r="H302" s="96"/>
      <c r="I302" s="451"/>
    </row>
    <row r="303" spans="2:9" ht="12.75">
      <c r="B303" s="97"/>
      <c r="C303" s="379"/>
      <c r="D303" s="48"/>
      <c r="E303" s="44">
        <v>2601</v>
      </c>
      <c r="F303" s="367">
        <v>7500</v>
      </c>
      <c r="G303" s="109"/>
      <c r="H303" s="96"/>
      <c r="I303" s="451"/>
    </row>
    <row r="304" spans="2:9" ht="12.75">
      <c r="B304" s="97"/>
      <c r="C304" s="379"/>
      <c r="D304" s="48"/>
      <c r="E304" s="49">
        <v>3000</v>
      </c>
      <c r="F304" s="396">
        <f>SUM(F305:F307)</f>
        <v>106373.5</v>
      </c>
      <c r="G304" s="109"/>
      <c r="H304" s="96"/>
      <c r="I304" s="451"/>
    </row>
    <row r="305" spans="2:9" ht="12.75">
      <c r="B305" s="97"/>
      <c r="C305" s="379"/>
      <c r="D305" s="48"/>
      <c r="E305" s="44">
        <v>3303</v>
      </c>
      <c r="F305" s="367">
        <v>95873.5</v>
      </c>
      <c r="G305" s="109"/>
      <c r="H305" s="96"/>
      <c r="I305" s="451"/>
    </row>
    <row r="306" spans="2:9" ht="12.75">
      <c r="B306" s="97"/>
      <c r="C306" s="379"/>
      <c r="D306" s="48"/>
      <c r="E306" s="44">
        <v>3702</v>
      </c>
      <c r="F306" s="367">
        <v>7500</v>
      </c>
      <c r="G306" s="109"/>
      <c r="H306" s="96"/>
      <c r="I306" s="451"/>
    </row>
    <row r="307" spans="2:9" ht="12.75">
      <c r="B307" s="97"/>
      <c r="C307" s="84"/>
      <c r="D307" s="49"/>
      <c r="E307" s="44">
        <v>3703</v>
      </c>
      <c r="F307" s="367">
        <v>3000</v>
      </c>
      <c r="G307" s="109"/>
      <c r="H307" s="96"/>
      <c r="I307" s="451"/>
    </row>
    <row r="308" spans="2:9" ht="12.75">
      <c r="B308" s="97">
        <v>32</v>
      </c>
      <c r="C308" s="378" t="s">
        <v>713</v>
      </c>
      <c r="D308" s="48">
        <f>+F308</f>
        <v>205039</v>
      </c>
      <c r="E308" s="49">
        <v>3000</v>
      </c>
      <c r="F308" s="396">
        <f>SUM(F309)</f>
        <v>205039</v>
      </c>
      <c r="G308" s="109"/>
      <c r="H308" s="96"/>
      <c r="I308" s="451"/>
    </row>
    <row r="309" spans="2:9" ht="12.75">
      <c r="B309" s="97"/>
      <c r="C309" s="84"/>
      <c r="D309" s="49"/>
      <c r="E309" s="44">
        <v>3303</v>
      </c>
      <c r="F309" s="367">
        <v>205039</v>
      </c>
      <c r="G309" s="109"/>
      <c r="H309" s="96"/>
      <c r="I309" s="451"/>
    </row>
    <row r="310" spans="2:9" ht="25.5">
      <c r="B310" s="97">
        <v>33</v>
      </c>
      <c r="C310" s="378" t="s">
        <v>679</v>
      </c>
      <c r="D310" s="48">
        <f>+F310</f>
        <v>150000</v>
      </c>
      <c r="E310" s="49">
        <v>3000</v>
      </c>
      <c r="F310" s="59">
        <f>SUM(F312)</f>
        <v>150000</v>
      </c>
      <c r="G310" s="109"/>
      <c r="H310" s="96"/>
      <c r="I310" s="451"/>
    </row>
    <row r="311" spans="2:9" ht="12.75">
      <c r="B311" s="172"/>
      <c r="C311" s="385"/>
      <c r="D311" s="171"/>
      <c r="E311" s="44">
        <v>3301</v>
      </c>
      <c r="F311" s="367"/>
      <c r="G311" s="109"/>
      <c r="H311" s="96"/>
      <c r="I311" s="451"/>
    </row>
    <row r="312" spans="2:9" ht="12.75">
      <c r="B312" s="172"/>
      <c r="C312" s="380"/>
      <c r="D312" s="176"/>
      <c r="E312" s="44">
        <v>3303</v>
      </c>
      <c r="F312" s="367">
        <v>150000</v>
      </c>
      <c r="G312" s="109"/>
      <c r="H312" s="96"/>
      <c r="I312" s="451"/>
    </row>
    <row r="313" spans="2:9" ht="24">
      <c r="B313" s="95"/>
      <c r="C313" s="383" t="s">
        <v>755</v>
      </c>
      <c r="D313" s="382">
        <f>SUM(D314:D450)</f>
        <v>5974651</v>
      </c>
      <c r="E313" s="382"/>
      <c r="F313" s="382">
        <f>SUM(F314:F450)/2</f>
        <v>5974651</v>
      </c>
      <c r="G313" s="395"/>
      <c r="H313" s="96"/>
      <c r="I313" s="451"/>
    </row>
    <row r="314" spans="2:9" ht="25.5">
      <c r="B314" s="97">
        <v>34</v>
      </c>
      <c r="C314" s="84" t="s">
        <v>682</v>
      </c>
      <c r="D314" s="48">
        <f>+F314+F324</f>
        <v>678018</v>
      </c>
      <c r="E314" s="49">
        <v>2000</v>
      </c>
      <c r="F314" s="59">
        <f>SUM(F315:F323)</f>
        <v>295640</v>
      </c>
      <c r="G314" s="109"/>
      <c r="H314" s="96"/>
      <c r="I314" s="451"/>
    </row>
    <row r="315" spans="2:9" ht="12.75">
      <c r="B315" s="97"/>
      <c r="C315" s="377"/>
      <c r="D315" s="49"/>
      <c r="E315" s="44">
        <v>2101</v>
      </c>
      <c r="F315" s="58">
        <v>96751</v>
      </c>
      <c r="G315" s="109"/>
      <c r="H315" s="96"/>
      <c r="I315" s="451"/>
    </row>
    <row r="316" spans="2:9" ht="12.75">
      <c r="B316" s="97"/>
      <c r="C316" s="75"/>
      <c r="D316" s="49"/>
      <c r="E316" s="44">
        <v>2104</v>
      </c>
      <c r="F316" s="58">
        <v>22177</v>
      </c>
      <c r="G316" s="109"/>
      <c r="H316" s="96"/>
      <c r="I316" s="451"/>
    </row>
    <row r="317" spans="2:9" ht="12.75">
      <c r="B317" s="97"/>
      <c r="C317" s="75"/>
      <c r="D317" s="49"/>
      <c r="E317" s="44">
        <v>2105</v>
      </c>
      <c r="F317" s="58">
        <v>23184</v>
      </c>
      <c r="G317" s="109"/>
      <c r="H317" s="96"/>
      <c r="I317" s="451"/>
    </row>
    <row r="318" spans="2:9" ht="12.75">
      <c r="B318" s="97"/>
      <c r="C318" s="75"/>
      <c r="D318" s="49"/>
      <c r="E318" s="44">
        <v>2106</v>
      </c>
      <c r="F318" s="58">
        <v>17819</v>
      </c>
      <c r="G318" s="109"/>
      <c r="H318" s="96"/>
      <c r="I318" s="451"/>
    </row>
    <row r="319" spans="2:9" ht="12.75">
      <c r="B319" s="97"/>
      <c r="C319" s="75"/>
      <c r="D319" s="49"/>
      <c r="E319" s="44">
        <v>2201</v>
      </c>
      <c r="F319" s="58">
        <v>72646</v>
      </c>
      <c r="G319" s="109"/>
      <c r="H319" s="96"/>
      <c r="I319" s="451"/>
    </row>
    <row r="320" spans="2:9" ht="12.75">
      <c r="B320" s="97"/>
      <c r="C320" s="75"/>
      <c r="D320" s="49"/>
      <c r="E320" s="44">
        <v>2206</v>
      </c>
      <c r="F320" s="58">
        <v>453</v>
      </c>
      <c r="G320" s="109"/>
      <c r="H320" s="96"/>
      <c r="I320" s="451"/>
    </row>
    <row r="321" spans="2:9" ht="12.75">
      <c r="B321" s="97"/>
      <c r="C321" s="75"/>
      <c r="D321" s="49"/>
      <c r="E321" s="44">
        <v>2304</v>
      </c>
      <c r="F321" s="58">
        <v>1256</v>
      </c>
      <c r="G321" s="109"/>
      <c r="H321" s="96"/>
      <c r="I321" s="451"/>
    </row>
    <row r="322" spans="2:9" ht="12.75">
      <c r="B322" s="97"/>
      <c r="C322" s="75"/>
      <c r="D322" s="49"/>
      <c r="E322" s="44">
        <v>2403</v>
      </c>
      <c r="F322" s="58">
        <v>12954</v>
      </c>
      <c r="G322" s="109"/>
      <c r="H322" s="96"/>
      <c r="I322" s="451"/>
    </row>
    <row r="323" spans="2:9" ht="12.75">
      <c r="B323" s="97"/>
      <c r="C323" s="75"/>
      <c r="D323" s="49"/>
      <c r="E323" s="44">
        <v>2601</v>
      </c>
      <c r="F323" s="58">
        <v>48400</v>
      </c>
      <c r="G323" s="109" t="s">
        <v>154</v>
      </c>
      <c r="H323" s="96"/>
      <c r="I323" s="451"/>
    </row>
    <row r="324" spans="2:9" ht="12.75">
      <c r="B324" s="97"/>
      <c r="C324" s="75"/>
      <c r="D324" s="49"/>
      <c r="E324" s="49">
        <v>3000</v>
      </c>
      <c r="F324" s="59">
        <f>SUM(F325:F331)</f>
        <v>382378</v>
      </c>
      <c r="G324" s="109"/>
      <c r="H324" s="96"/>
      <c r="I324" s="451"/>
    </row>
    <row r="325" spans="2:9" ht="12.75">
      <c r="B325" s="97"/>
      <c r="C325" s="75"/>
      <c r="D325" s="49"/>
      <c r="E325" s="44">
        <v>3103</v>
      </c>
      <c r="F325" s="58">
        <v>5000</v>
      </c>
      <c r="G325" s="109"/>
      <c r="H325" s="96"/>
      <c r="I325" s="451"/>
    </row>
    <row r="326" spans="2:9" ht="12.75">
      <c r="B326" s="97"/>
      <c r="C326" s="75"/>
      <c r="D326" s="49"/>
      <c r="E326" s="44">
        <v>3205</v>
      </c>
      <c r="F326" s="58">
        <v>16798</v>
      </c>
      <c r="G326" s="109"/>
      <c r="H326" s="96"/>
      <c r="I326" s="451"/>
    </row>
    <row r="327" spans="2:9" ht="12.75">
      <c r="B327" s="97"/>
      <c r="C327" s="75"/>
      <c r="D327" s="49"/>
      <c r="E327" s="44">
        <v>3401</v>
      </c>
      <c r="F327" s="58">
        <v>2137</v>
      </c>
      <c r="G327" s="109"/>
      <c r="H327" s="96"/>
      <c r="I327" s="451"/>
    </row>
    <row r="328" spans="2:9" ht="12.75">
      <c r="B328" s="97"/>
      <c r="C328" s="75"/>
      <c r="D328" s="49"/>
      <c r="E328" s="44">
        <v>3701</v>
      </c>
      <c r="F328" s="58">
        <v>135000</v>
      </c>
      <c r="G328" s="109" t="s">
        <v>232</v>
      </c>
      <c r="H328" s="96"/>
      <c r="I328" s="451"/>
    </row>
    <row r="329" spans="2:9" ht="12.75">
      <c r="B329" s="97"/>
      <c r="C329" s="75"/>
      <c r="D329" s="49"/>
      <c r="E329" s="44">
        <v>3702</v>
      </c>
      <c r="F329" s="58">
        <v>60000</v>
      </c>
      <c r="G329" s="109" t="s">
        <v>232</v>
      </c>
      <c r="H329" s="96"/>
      <c r="I329" s="451"/>
    </row>
    <row r="330" spans="2:9" ht="12.75">
      <c r="B330" s="97"/>
      <c r="C330" s="75"/>
      <c r="D330" s="49"/>
      <c r="E330" s="44">
        <v>3801</v>
      </c>
      <c r="F330" s="58">
        <v>161246</v>
      </c>
      <c r="G330" s="109"/>
      <c r="H330" s="96"/>
      <c r="I330" s="451"/>
    </row>
    <row r="331" spans="2:9" ht="12.75">
      <c r="B331" s="97"/>
      <c r="C331" s="75"/>
      <c r="D331" s="49"/>
      <c r="E331" s="44">
        <v>3903</v>
      </c>
      <c r="F331" s="58">
        <v>2197</v>
      </c>
      <c r="G331" s="109"/>
      <c r="H331" s="96"/>
      <c r="I331" s="451"/>
    </row>
    <row r="332" spans="2:9" ht="25.5">
      <c r="B332" s="97">
        <v>35</v>
      </c>
      <c r="C332" s="224" t="s">
        <v>692</v>
      </c>
      <c r="D332" s="48">
        <f>+F332+F342</f>
        <v>451701</v>
      </c>
      <c r="E332" s="49">
        <v>2000</v>
      </c>
      <c r="F332" s="59">
        <f>SUM(F333:F341)</f>
        <v>118714</v>
      </c>
      <c r="G332" s="109"/>
      <c r="H332" s="96"/>
      <c r="I332" s="451"/>
    </row>
    <row r="333" spans="2:9" ht="12.75">
      <c r="B333" s="97"/>
      <c r="C333" s="84"/>
      <c r="D333" s="48"/>
      <c r="E333" s="44">
        <v>2101</v>
      </c>
      <c r="F333" s="58">
        <v>32250</v>
      </c>
      <c r="G333" s="109"/>
      <c r="H333" s="96"/>
      <c r="I333" s="451"/>
    </row>
    <row r="334" spans="2:9" ht="12.75">
      <c r="B334" s="97"/>
      <c r="C334" s="84"/>
      <c r="D334" s="48"/>
      <c r="E334" s="44">
        <v>2104</v>
      </c>
      <c r="F334" s="58">
        <v>7392</v>
      </c>
      <c r="G334" s="109"/>
      <c r="H334" s="96"/>
      <c r="I334" s="451"/>
    </row>
    <row r="335" spans="2:9" ht="12.75">
      <c r="B335" s="97"/>
      <c r="C335" s="84"/>
      <c r="D335" s="48"/>
      <c r="E335" s="44">
        <v>2105</v>
      </c>
      <c r="F335" s="58">
        <v>7728</v>
      </c>
      <c r="G335" s="109"/>
      <c r="H335" s="96"/>
      <c r="I335" s="451"/>
    </row>
    <row r="336" spans="2:9" ht="12.75">
      <c r="B336" s="97"/>
      <c r="C336" s="84"/>
      <c r="D336" s="48"/>
      <c r="E336" s="44">
        <v>2106</v>
      </c>
      <c r="F336" s="58">
        <v>5940</v>
      </c>
      <c r="G336" s="109"/>
      <c r="H336" s="96"/>
      <c r="I336" s="451"/>
    </row>
    <row r="337" spans="2:9" ht="12.75">
      <c r="B337" s="97"/>
      <c r="C337" s="84"/>
      <c r="D337" s="48"/>
      <c r="E337" s="44">
        <v>2201</v>
      </c>
      <c r="F337" s="58">
        <v>24215</v>
      </c>
      <c r="G337" s="109"/>
      <c r="H337" s="96"/>
      <c r="I337" s="451"/>
    </row>
    <row r="338" spans="2:9" ht="12.75">
      <c r="B338" s="97"/>
      <c r="C338" s="84"/>
      <c r="D338" s="48"/>
      <c r="E338" s="44">
        <v>2206</v>
      </c>
      <c r="F338" s="58">
        <v>152</v>
      </c>
      <c r="G338" s="109"/>
      <c r="H338" s="96"/>
      <c r="I338" s="451"/>
    </row>
    <row r="339" spans="2:9" ht="12.75">
      <c r="B339" s="97"/>
      <c r="C339" s="84"/>
      <c r="D339" s="48"/>
      <c r="E339" s="44">
        <v>2304</v>
      </c>
      <c r="F339" s="58">
        <v>419</v>
      </c>
      <c r="G339" s="109"/>
      <c r="H339" s="96"/>
      <c r="I339" s="451"/>
    </row>
    <row r="340" spans="2:9" ht="12.75">
      <c r="B340" s="97"/>
      <c r="C340" s="84"/>
      <c r="D340" s="48"/>
      <c r="E340" s="44">
        <v>2403</v>
      </c>
      <c r="F340" s="58">
        <v>4318</v>
      </c>
      <c r="G340" s="109"/>
      <c r="H340" s="96"/>
      <c r="I340" s="451"/>
    </row>
    <row r="341" spans="2:9" ht="12.75">
      <c r="B341" s="97"/>
      <c r="C341" s="84"/>
      <c r="D341" s="48"/>
      <c r="E341" s="44">
        <v>2601</v>
      </c>
      <c r="F341" s="196">
        <v>36300</v>
      </c>
      <c r="G341" s="109" t="s">
        <v>154</v>
      </c>
      <c r="H341" s="96"/>
      <c r="I341" s="451"/>
    </row>
    <row r="342" spans="2:9" ht="12.75">
      <c r="B342" s="97"/>
      <c r="C342" s="84"/>
      <c r="D342" s="48"/>
      <c r="E342" s="49">
        <v>3000</v>
      </c>
      <c r="F342" s="59">
        <f>SUM(F343:F349)</f>
        <v>332987</v>
      </c>
      <c r="G342" s="109"/>
      <c r="H342" s="96"/>
      <c r="I342" s="451"/>
    </row>
    <row r="343" spans="2:9" ht="12.75">
      <c r="B343" s="97"/>
      <c r="C343" s="84"/>
      <c r="D343" s="48"/>
      <c r="E343" s="44">
        <v>3205</v>
      </c>
      <c r="F343" s="58">
        <v>5599</v>
      </c>
      <c r="G343" s="109"/>
      <c r="H343" s="96"/>
      <c r="I343" s="451"/>
    </row>
    <row r="344" spans="2:9" ht="12.75">
      <c r="B344" s="97"/>
      <c r="C344" s="84"/>
      <c r="D344" s="48"/>
      <c r="E344" s="44">
        <v>3301</v>
      </c>
      <c r="F344" s="58">
        <v>122679</v>
      </c>
      <c r="G344" s="109"/>
      <c r="H344" s="96"/>
      <c r="I344" s="451"/>
    </row>
    <row r="345" spans="2:9" ht="12.75">
      <c r="B345" s="97"/>
      <c r="C345" s="84"/>
      <c r="D345" s="48"/>
      <c r="E345" s="44">
        <v>3401</v>
      </c>
      <c r="F345" s="58">
        <v>711</v>
      </c>
      <c r="G345" s="109"/>
      <c r="H345" s="96"/>
      <c r="I345" s="451"/>
    </row>
    <row r="346" spans="2:9" ht="12.75">
      <c r="B346" s="97"/>
      <c r="C346" s="84"/>
      <c r="D346" s="48"/>
      <c r="E346" s="44">
        <v>3702</v>
      </c>
      <c r="F346" s="58">
        <v>96000</v>
      </c>
      <c r="G346" s="109" t="s">
        <v>232</v>
      </c>
      <c r="H346" s="96"/>
      <c r="I346" s="451"/>
    </row>
    <row r="347" spans="2:9" ht="12.75">
      <c r="B347" s="97"/>
      <c r="C347" s="84"/>
      <c r="D347" s="48"/>
      <c r="E347" s="44">
        <v>3703</v>
      </c>
      <c r="F347" s="367">
        <v>20000</v>
      </c>
      <c r="G347" s="109"/>
      <c r="H347" s="96"/>
      <c r="I347" s="451"/>
    </row>
    <row r="348" spans="2:9" ht="12.75">
      <c r="B348" s="97"/>
      <c r="C348" s="84"/>
      <c r="D348" s="48"/>
      <c r="E348" s="44">
        <v>3801</v>
      </c>
      <c r="F348" s="367">
        <v>50000</v>
      </c>
      <c r="G348" s="109"/>
      <c r="H348" s="96"/>
      <c r="I348" s="451"/>
    </row>
    <row r="349" spans="2:9" ht="12.75">
      <c r="B349" s="97"/>
      <c r="C349" s="76"/>
      <c r="D349" s="49"/>
      <c r="E349" s="44">
        <v>3903</v>
      </c>
      <c r="F349" s="58">
        <v>37998</v>
      </c>
      <c r="G349" s="109"/>
      <c r="H349" s="96"/>
      <c r="I349" s="451"/>
    </row>
    <row r="350" spans="2:9" ht="25.5">
      <c r="B350" s="97">
        <v>36</v>
      </c>
      <c r="C350" s="224" t="s">
        <v>695</v>
      </c>
      <c r="D350" s="48">
        <f>+F350+F353</f>
        <v>1135140</v>
      </c>
      <c r="E350" s="49">
        <v>2000</v>
      </c>
      <c r="F350" s="59">
        <f>SUM(F351:F352)</f>
        <v>127000</v>
      </c>
      <c r="G350" s="109"/>
      <c r="H350" s="96"/>
      <c r="I350" s="451"/>
    </row>
    <row r="351" spans="2:9" ht="12.75">
      <c r="B351" s="97"/>
      <c r="C351" s="84"/>
      <c r="D351" s="48"/>
      <c r="E351" s="44">
        <v>2201</v>
      </c>
      <c r="F351" s="58">
        <v>120000</v>
      </c>
      <c r="G351" s="109"/>
      <c r="H351" s="96"/>
      <c r="I351" s="451"/>
    </row>
    <row r="352" spans="2:9" ht="12.75">
      <c r="B352" s="97"/>
      <c r="C352" s="84"/>
      <c r="D352" s="48"/>
      <c r="E352" s="44">
        <v>2601</v>
      </c>
      <c r="F352" s="58">
        <v>7000</v>
      </c>
      <c r="G352" s="109" t="s">
        <v>154</v>
      </c>
      <c r="H352" s="96"/>
      <c r="I352" s="451"/>
    </row>
    <row r="353" spans="2:9" ht="12.75">
      <c r="B353" s="97"/>
      <c r="C353" s="75"/>
      <c r="D353" s="49"/>
      <c r="E353" s="49">
        <v>3000</v>
      </c>
      <c r="F353" s="59">
        <f>SUM(F354:F362)</f>
        <v>1008140</v>
      </c>
      <c r="G353" s="109"/>
      <c r="H353" s="96"/>
      <c r="I353" s="451"/>
    </row>
    <row r="354" spans="2:9" ht="12.75">
      <c r="B354" s="97"/>
      <c r="C354" s="75"/>
      <c r="D354" s="49"/>
      <c r="E354" s="44">
        <v>3301</v>
      </c>
      <c r="F354" s="58">
        <v>222640</v>
      </c>
      <c r="G354" s="109"/>
      <c r="H354" s="96"/>
      <c r="I354" s="451"/>
    </row>
    <row r="355" spans="2:9" ht="12.75">
      <c r="B355" s="97"/>
      <c r="C355" s="75"/>
      <c r="D355" s="49"/>
      <c r="E355" s="44">
        <v>3304</v>
      </c>
      <c r="F355" s="58">
        <v>1500</v>
      </c>
      <c r="G355" s="109"/>
      <c r="H355" s="96"/>
      <c r="I355" s="451"/>
    </row>
    <row r="356" spans="2:9" ht="12.75">
      <c r="B356" s="97"/>
      <c r="C356" s="75"/>
      <c r="D356" s="49"/>
      <c r="E356" s="44">
        <v>3401</v>
      </c>
      <c r="F356" s="58">
        <v>13000</v>
      </c>
      <c r="G356" s="109"/>
      <c r="H356" s="96"/>
      <c r="I356" s="451"/>
    </row>
    <row r="357" spans="2:9" ht="12.75">
      <c r="B357" s="97"/>
      <c r="C357" s="75"/>
      <c r="D357" s="49"/>
      <c r="E357" s="44">
        <v>3604</v>
      </c>
      <c r="F357" s="58">
        <v>1000</v>
      </c>
      <c r="G357" s="109"/>
      <c r="H357" s="96"/>
      <c r="I357" s="451"/>
    </row>
    <row r="358" spans="2:9" ht="12.75">
      <c r="B358" s="97"/>
      <c r="C358" s="75"/>
      <c r="D358" s="49"/>
      <c r="E358" s="44">
        <v>3701</v>
      </c>
      <c r="F358" s="58">
        <v>324000</v>
      </c>
      <c r="G358" s="109" t="s">
        <v>232</v>
      </c>
      <c r="H358" s="96"/>
      <c r="I358" s="451"/>
    </row>
    <row r="359" spans="2:9" ht="12.75">
      <c r="B359" s="97"/>
      <c r="C359" s="75"/>
      <c r="D359" s="49"/>
      <c r="E359" s="44">
        <v>3702</v>
      </c>
      <c r="F359" s="58">
        <v>288000</v>
      </c>
      <c r="G359" s="109" t="s">
        <v>232</v>
      </c>
      <c r="H359" s="96"/>
      <c r="I359" s="451"/>
    </row>
    <row r="360" spans="2:9" ht="12.75">
      <c r="B360" s="97"/>
      <c r="C360" s="75"/>
      <c r="D360" s="49"/>
      <c r="E360" s="44">
        <v>3703</v>
      </c>
      <c r="F360" s="367">
        <v>36000</v>
      </c>
      <c r="G360" s="109"/>
      <c r="H360" s="96"/>
      <c r="I360" s="451"/>
    </row>
    <row r="361" spans="2:9" ht="12.75">
      <c r="B361" s="97"/>
      <c r="C361" s="75"/>
      <c r="D361" s="49"/>
      <c r="E361" s="44">
        <v>3801</v>
      </c>
      <c r="F361" s="367">
        <v>120000</v>
      </c>
      <c r="G361" s="109"/>
      <c r="H361" s="96"/>
      <c r="I361" s="451"/>
    </row>
    <row r="362" spans="2:9" ht="12.75">
      <c r="B362" s="97"/>
      <c r="C362" s="75"/>
      <c r="D362" s="49"/>
      <c r="E362" s="44">
        <v>3903</v>
      </c>
      <c r="F362" s="58">
        <v>2000</v>
      </c>
      <c r="G362" s="109"/>
      <c r="H362" s="96"/>
      <c r="I362" s="451"/>
    </row>
    <row r="363" spans="2:9" ht="38.25">
      <c r="B363" s="97">
        <v>37</v>
      </c>
      <c r="C363" s="224" t="s">
        <v>697</v>
      </c>
      <c r="D363" s="48">
        <f>+F363+F375+F384</f>
        <v>3054572</v>
      </c>
      <c r="E363" s="49">
        <v>2000</v>
      </c>
      <c r="F363" s="59">
        <f>SUM(F364:F374)</f>
        <v>422967</v>
      </c>
      <c r="G363" s="109"/>
      <c r="H363" s="96"/>
      <c r="I363" s="451"/>
    </row>
    <row r="364" spans="2:9" ht="12.75">
      <c r="B364" s="97"/>
      <c r="C364" s="84"/>
      <c r="D364" s="48"/>
      <c r="E364" s="44">
        <v>2101</v>
      </c>
      <c r="F364" s="58">
        <v>54947</v>
      </c>
      <c r="G364" s="109"/>
      <c r="H364" s="96"/>
      <c r="I364" s="451"/>
    </row>
    <row r="365" spans="2:9" ht="12.75">
      <c r="B365" s="97"/>
      <c r="C365" s="84"/>
      <c r="D365" s="48"/>
      <c r="E365" s="44">
        <v>2103</v>
      </c>
      <c r="F365" s="58">
        <v>35</v>
      </c>
      <c r="G365" s="109"/>
      <c r="H365" s="96"/>
      <c r="I365" s="451"/>
    </row>
    <row r="366" spans="2:9" ht="12.75">
      <c r="B366" s="97"/>
      <c r="C366" s="84"/>
      <c r="D366" s="48"/>
      <c r="E366" s="44">
        <v>2105</v>
      </c>
      <c r="F366" s="58">
        <v>58217</v>
      </c>
      <c r="G366" s="109"/>
      <c r="H366" s="96"/>
      <c r="I366" s="451"/>
    </row>
    <row r="367" spans="2:9" ht="12.75">
      <c r="B367" s="97"/>
      <c r="C367" s="84"/>
      <c r="D367" s="48"/>
      <c r="E367" s="44">
        <v>2106</v>
      </c>
      <c r="F367" s="58">
        <v>21000</v>
      </c>
      <c r="G367" s="109"/>
      <c r="H367" s="96"/>
      <c r="I367" s="451"/>
    </row>
    <row r="368" spans="2:9" ht="12.75">
      <c r="B368" s="97"/>
      <c r="C368" s="84"/>
      <c r="D368" s="48"/>
      <c r="E368" s="44">
        <v>2201</v>
      </c>
      <c r="F368" s="58">
        <v>52000</v>
      </c>
      <c r="G368" s="109"/>
      <c r="H368" s="96"/>
      <c r="I368" s="451"/>
    </row>
    <row r="369" spans="2:9" ht="12.75">
      <c r="B369" s="97"/>
      <c r="C369" s="84"/>
      <c r="D369" s="48"/>
      <c r="E369" s="44">
        <v>2204</v>
      </c>
      <c r="F369" s="58">
        <v>14328</v>
      </c>
      <c r="G369" s="109"/>
      <c r="H369" s="96"/>
      <c r="I369" s="451"/>
    </row>
    <row r="370" spans="2:9" ht="12.75">
      <c r="B370" s="97"/>
      <c r="C370" s="84"/>
      <c r="D370" s="48"/>
      <c r="E370" s="44">
        <v>2206</v>
      </c>
      <c r="F370" s="58">
        <v>3300</v>
      </c>
      <c r="G370" s="109"/>
      <c r="H370" s="96"/>
      <c r="I370" s="451"/>
    </row>
    <row r="371" spans="2:9" ht="12.75">
      <c r="B371" s="97"/>
      <c r="C371" s="75"/>
      <c r="D371" s="49"/>
      <c r="E371" s="44">
        <v>2207</v>
      </c>
      <c r="F371" s="58">
        <v>1560</v>
      </c>
      <c r="G371" s="109"/>
      <c r="H371" s="96"/>
      <c r="I371" s="451"/>
    </row>
    <row r="372" spans="2:9" ht="12.75">
      <c r="B372" s="97"/>
      <c r="C372" s="75"/>
      <c r="D372" s="49"/>
      <c r="E372" s="44">
        <v>2302</v>
      </c>
      <c r="F372" s="58">
        <v>180</v>
      </c>
      <c r="G372" s="109"/>
      <c r="H372" s="96"/>
      <c r="I372" s="451"/>
    </row>
    <row r="373" spans="2:9" ht="12.75">
      <c r="B373" s="97"/>
      <c r="C373" s="75"/>
      <c r="D373" s="49"/>
      <c r="E373" s="44">
        <v>2304</v>
      </c>
      <c r="F373" s="58">
        <v>185400</v>
      </c>
      <c r="G373" s="109"/>
      <c r="H373" s="96"/>
      <c r="I373" s="451"/>
    </row>
    <row r="374" spans="2:9" ht="12.75">
      <c r="B374" s="97"/>
      <c r="C374" s="75"/>
      <c r="D374" s="49"/>
      <c r="E374" s="44">
        <v>2701</v>
      </c>
      <c r="F374" s="58">
        <v>32000</v>
      </c>
      <c r="G374" s="109"/>
      <c r="H374" s="96"/>
      <c r="I374" s="451"/>
    </row>
    <row r="375" spans="2:9" ht="12.75">
      <c r="B375" s="97"/>
      <c r="C375" s="75"/>
      <c r="D375" s="49"/>
      <c r="E375" s="49">
        <v>3000</v>
      </c>
      <c r="F375" s="59">
        <f>SUM(F376:F383)</f>
        <v>2293905</v>
      </c>
      <c r="G375" s="109"/>
      <c r="H375" s="96"/>
      <c r="I375" s="451"/>
    </row>
    <row r="376" spans="2:9" ht="12.75">
      <c r="B376" s="97"/>
      <c r="C376" s="75"/>
      <c r="D376" s="49"/>
      <c r="E376" s="44">
        <v>3204</v>
      </c>
      <c r="F376" s="367">
        <v>280000</v>
      </c>
      <c r="G376" s="109"/>
      <c r="H376" s="96"/>
      <c r="I376" s="451"/>
    </row>
    <row r="377" spans="2:9" ht="12.75">
      <c r="B377" s="97"/>
      <c r="C377" s="75"/>
      <c r="D377" s="49"/>
      <c r="E377" s="44">
        <v>3301</v>
      </c>
      <c r="F377" s="367">
        <v>380000</v>
      </c>
      <c r="G377" s="109"/>
      <c r="H377" s="96"/>
      <c r="I377" s="451"/>
    </row>
    <row r="378" spans="2:9" ht="12.75">
      <c r="B378" s="97"/>
      <c r="C378" s="75"/>
      <c r="D378" s="49"/>
      <c r="E378" s="44">
        <v>3303</v>
      </c>
      <c r="F378" s="58">
        <v>1317905</v>
      </c>
      <c r="G378" s="109"/>
      <c r="H378" s="96"/>
      <c r="I378" s="451"/>
    </row>
    <row r="379" spans="2:9" ht="12.75">
      <c r="B379" s="97"/>
      <c r="C379" s="75"/>
      <c r="D379" s="49"/>
      <c r="E379" s="44">
        <v>3515</v>
      </c>
      <c r="F379" s="58">
        <v>50000</v>
      </c>
      <c r="G379" s="109"/>
      <c r="H379" s="96"/>
      <c r="I379" s="451"/>
    </row>
    <row r="380" spans="2:9" ht="12.75">
      <c r="B380" s="97"/>
      <c r="C380" s="75"/>
      <c r="D380" s="49"/>
      <c r="E380" s="44">
        <v>3701</v>
      </c>
      <c r="F380" s="58">
        <v>180000</v>
      </c>
      <c r="G380" s="109" t="s">
        <v>232</v>
      </c>
      <c r="H380" s="96"/>
      <c r="I380" s="451"/>
    </row>
    <row r="381" spans="2:9" ht="12.75">
      <c r="B381" s="97"/>
      <c r="C381" s="75"/>
      <c r="D381" s="49"/>
      <c r="E381" s="44">
        <v>3702</v>
      </c>
      <c r="F381" s="58">
        <v>60000</v>
      </c>
      <c r="G381" s="109" t="s">
        <v>232</v>
      </c>
      <c r="H381" s="96"/>
      <c r="I381" s="451"/>
    </row>
    <row r="382" spans="2:9" ht="12.75">
      <c r="B382" s="97"/>
      <c r="C382" s="75"/>
      <c r="D382" s="49"/>
      <c r="E382" s="44">
        <v>3703</v>
      </c>
      <c r="F382" s="58">
        <v>6000</v>
      </c>
      <c r="G382" s="109"/>
      <c r="H382" s="96"/>
      <c r="I382" s="451"/>
    </row>
    <row r="383" spans="2:9" ht="12.75">
      <c r="B383" s="97"/>
      <c r="C383" s="75"/>
      <c r="D383" s="49"/>
      <c r="E383" s="44">
        <v>3802</v>
      </c>
      <c r="F383" s="58">
        <v>20000</v>
      </c>
      <c r="G383" s="109" t="s">
        <v>232</v>
      </c>
      <c r="H383" s="96"/>
      <c r="I383" s="451"/>
    </row>
    <row r="384" spans="2:9" ht="12.75">
      <c r="B384" s="97"/>
      <c r="C384" s="75"/>
      <c r="D384" s="49"/>
      <c r="E384" s="49">
        <v>5000</v>
      </c>
      <c r="F384" s="59">
        <f>SUM(F385:F387)</f>
        <v>337700</v>
      </c>
      <c r="G384" s="109"/>
      <c r="H384" s="96"/>
      <c r="I384" s="451"/>
    </row>
    <row r="385" spans="2:9" ht="12.75">
      <c r="B385" s="97"/>
      <c r="C385" s="75"/>
      <c r="D385" s="49"/>
      <c r="E385" s="44">
        <v>5101</v>
      </c>
      <c r="F385" s="58">
        <v>16200</v>
      </c>
      <c r="G385" s="109"/>
      <c r="H385" s="96"/>
      <c r="I385" s="451"/>
    </row>
    <row r="386" spans="2:9" ht="12.75">
      <c r="B386" s="97"/>
      <c r="C386" s="75"/>
      <c r="D386" s="49"/>
      <c r="E386" s="44">
        <v>5102</v>
      </c>
      <c r="F386" s="58">
        <v>1500</v>
      </c>
      <c r="G386" s="109"/>
      <c r="H386" s="96"/>
      <c r="I386" s="451"/>
    </row>
    <row r="387" spans="2:9" ht="12.75">
      <c r="B387" s="97"/>
      <c r="C387" s="75"/>
      <c r="D387" s="49"/>
      <c r="E387" s="44">
        <v>5206</v>
      </c>
      <c r="F387" s="58">
        <v>320000</v>
      </c>
      <c r="G387" s="109"/>
      <c r="H387" s="96"/>
      <c r="I387" s="451"/>
    </row>
    <row r="388" spans="2:9" ht="25.5">
      <c r="B388" s="97">
        <v>38</v>
      </c>
      <c r="C388" s="224" t="s">
        <v>699</v>
      </c>
      <c r="D388" s="48">
        <f>+F388+F393</f>
        <v>73067</v>
      </c>
      <c r="E388" s="49">
        <v>2000</v>
      </c>
      <c r="F388" s="59">
        <f>SUM(F389:F392)</f>
        <v>33067</v>
      </c>
      <c r="G388" s="109"/>
      <c r="H388" s="98"/>
      <c r="I388" s="452"/>
    </row>
    <row r="389" spans="2:9" ht="12.75">
      <c r="B389" s="97"/>
      <c r="C389" s="75"/>
      <c r="D389" s="49"/>
      <c r="E389" s="44">
        <v>2101</v>
      </c>
      <c r="F389" s="58">
        <v>10989</v>
      </c>
      <c r="G389" s="109"/>
      <c r="H389" s="98"/>
      <c r="I389" s="452"/>
    </row>
    <row r="390" spans="2:9" ht="12.75">
      <c r="B390" s="97"/>
      <c r="C390" s="75"/>
      <c r="D390" s="49"/>
      <c r="E390" s="44">
        <v>2103</v>
      </c>
      <c r="F390" s="58">
        <v>35</v>
      </c>
      <c r="G390" s="109"/>
      <c r="H390" s="98"/>
      <c r="I390" s="452"/>
    </row>
    <row r="391" spans="2:9" ht="12.75">
      <c r="B391" s="97"/>
      <c r="C391" s="75"/>
      <c r="D391" s="49"/>
      <c r="E391" s="44">
        <v>2105</v>
      </c>
      <c r="F391" s="58">
        <v>11643</v>
      </c>
      <c r="G391" s="109"/>
      <c r="H391" s="98"/>
      <c r="I391" s="452"/>
    </row>
    <row r="392" spans="2:9" ht="12.75">
      <c r="B392" s="97"/>
      <c r="C392" s="75"/>
      <c r="D392" s="49"/>
      <c r="E392" s="44">
        <v>2201</v>
      </c>
      <c r="F392" s="58">
        <v>10400</v>
      </c>
      <c r="G392" s="109"/>
      <c r="H392" s="98"/>
      <c r="I392" s="452"/>
    </row>
    <row r="393" spans="2:9" ht="12.75">
      <c r="B393" s="97"/>
      <c r="C393" s="75"/>
      <c r="D393" s="386"/>
      <c r="E393" s="386">
        <v>3000</v>
      </c>
      <c r="F393" s="387">
        <f>SUM(F394)</f>
        <v>40000</v>
      </c>
      <c r="G393" s="107"/>
      <c r="H393" s="98"/>
      <c r="I393" s="452"/>
    </row>
    <row r="394" spans="2:9" ht="12.75">
      <c r="B394" s="97"/>
      <c r="C394" s="75"/>
      <c r="D394" s="49"/>
      <c r="E394" s="44">
        <v>3303</v>
      </c>
      <c r="F394" s="367">
        <v>40000</v>
      </c>
      <c r="G394" s="107"/>
      <c r="H394" s="98"/>
      <c r="I394" s="452"/>
    </row>
    <row r="395" spans="2:23" s="389" customFormat="1" ht="38.25">
      <c r="B395" s="97">
        <v>39</v>
      </c>
      <c r="C395" s="394" t="s">
        <v>748</v>
      </c>
      <c r="D395" s="48">
        <f>+F395</f>
        <v>10478</v>
      </c>
      <c r="E395" s="49">
        <v>2000</v>
      </c>
      <c r="F395" s="59">
        <f>SUM(F396:F399)</f>
        <v>10478</v>
      </c>
      <c r="G395" s="109"/>
      <c r="H395" s="96"/>
      <c r="I395" s="451"/>
      <c r="J395" s="388"/>
      <c r="K395" s="388"/>
      <c r="L395" s="388"/>
      <c r="M395" s="388"/>
      <c r="N395" s="388"/>
      <c r="O395" s="388"/>
      <c r="P395" s="388"/>
      <c r="Q395" s="388"/>
      <c r="R395" s="388"/>
      <c r="S395" s="388"/>
      <c r="T395" s="388"/>
      <c r="U395" s="388"/>
      <c r="V395" s="388"/>
      <c r="W395" s="388"/>
    </row>
    <row r="396" spans="2:23" s="389" customFormat="1" ht="12.75">
      <c r="B396" s="97"/>
      <c r="C396" s="75"/>
      <c r="D396" s="49"/>
      <c r="E396" s="44">
        <v>2101</v>
      </c>
      <c r="F396" s="390">
        <v>1500</v>
      </c>
      <c r="G396" s="109"/>
      <c r="H396" s="96"/>
      <c r="I396" s="451"/>
      <c r="J396" s="388"/>
      <c r="K396" s="388"/>
      <c r="L396" s="388"/>
      <c r="M396" s="388"/>
      <c r="N396" s="388"/>
      <c r="O396" s="388"/>
      <c r="P396" s="388"/>
      <c r="Q396" s="388"/>
      <c r="R396" s="388"/>
      <c r="S396" s="388"/>
      <c r="T396" s="388"/>
      <c r="U396" s="388"/>
      <c r="V396" s="388"/>
      <c r="W396" s="388"/>
    </row>
    <row r="397" spans="2:23" s="389" customFormat="1" ht="12.75">
      <c r="B397" s="97"/>
      <c r="C397" s="75"/>
      <c r="D397" s="49"/>
      <c r="E397" s="44">
        <v>2104</v>
      </c>
      <c r="F397" s="390">
        <v>5035</v>
      </c>
      <c r="G397" s="109"/>
      <c r="H397" s="96"/>
      <c r="I397" s="451"/>
      <c r="J397" s="388"/>
      <c r="K397" s="388"/>
      <c r="L397" s="388"/>
      <c r="M397" s="388"/>
      <c r="N397" s="388"/>
      <c r="O397" s="388"/>
      <c r="P397" s="388"/>
      <c r="Q397" s="388"/>
      <c r="R397" s="388"/>
      <c r="S397" s="388"/>
      <c r="T397" s="388"/>
      <c r="U397" s="388"/>
      <c r="V397" s="388"/>
      <c r="W397" s="388"/>
    </row>
    <row r="398" spans="2:23" s="389" customFormat="1" ht="12.75">
      <c r="B398" s="97"/>
      <c r="C398" s="75"/>
      <c r="D398" s="49"/>
      <c r="E398" s="44">
        <v>2105</v>
      </c>
      <c r="F398" s="390">
        <v>1643</v>
      </c>
      <c r="G398" s="109"/>
      <c r="H398" s="96"/>
      <c r="I398" s="451"/>
      <c r="J398" s="388"/>
      <c r="K398" s="388"/>
      <c r="L398" s="388"/>
      <c r="M398" s="388"/>
      <c r="N398" s="388"/>
      <c r="O398" s="388"/>
      <c r="P398" s="388"/>
      <c r="Q398" s="388"/>
      <c r="R398" s="388"/>
      <c r="S398" s="388"/>
      <c r="T398" s="388"/>
      <c r="U398" s="388"/>
      <c r="V398" s="388"/>
      <c r="W398" s="388"/>
    </row>
    <row r="399" spans="2:23" s="389" customFormat="1" ht="12.75">
      <c r="B399" s="97"/>
      <c r="C399" s="75"/>
      <c r="D399" s="49"/>
      <c r="E399" s="44">
        <v>2201</v>
      </c>
      <c r="F399" s="390">
        <v>2300</v>
      </c>
      <c r="G399" s="109"/>
      <c r="H399" s="96"/>
      <c r="I399" s="451"/>
      <c r="J399" s="388"/>
      <c r="K399" s="388"/>
      <c r="L399" s="388"/>
      <c r="M399" s="388"/>
      <c r="N399" s="388"/>
      <c r="O399" s="388"/>
      <c r="P399" s="388"/>
      <c r="Q399" s="388"/>
      <c r="R399" s="388"/>
      <c r="S399" s="388"/>
      <c r="T399" s="388"/>
      <c r="U399" s="388"/>
      <c r="V399" s="388"/>
      <c r="W399" s="388"/>
    </row>
    <row r="400" spans="2:23" s="389" customFormat="1" ht="38.25">
      <c r="B400" s="97">
        <v>40</v>
      </c>
      <c r="C400" s="394" t="s">
        <v>749</v>
      </c>
      <c r="D400" s="48">
        <f>+F400</f>
        <v>21848</v>
      </c>
      <c r="E400" s="49">
        <v>2000</v>
      </c>
      <c r="F400" s="59">
        <f>SUM(F401:F404)</f>
        <v>21848</v>
      </c>
      <c r="G400" s="109"/>
      <c r="H400" s="96"/>
      <c r="I400" s="451"/>
      <c r="J400" s="388"/>
      <c r="K400" s="388"/>
      <c r="L400" s="388"/>
      <c r="M400" s="388"/>
      <c r="N400" s="388"/>
      <c r="O400" s="388"/>
      <c r="P400" s="388"/>
      <c r="Q400" s="388"/>
      <c r="R400" s="388"/>
      <c r="S400" s="388"/>
      <c r="T400" s="388"/>
      <c r="U400" s="388"/>
      <c r="V400" s="388"/>
      <c r="W400" s="388"/>
    </row>
    <row r="401" spans="2:23" s="389" customFormat="1" ht="12.75">
      <c r="B401" s="97"/>
      <c r="C401" s="75"/>
      <c r="D401" s="49"/>
      <c r="E401" s="44">
        <v>2101</v>
      </c>
      <c r="F401" s="390">
        <v>3000</v>
      </c>
      <c r="G401" s="109"/>
      <c r="H401" s="96"/>
      <c r="I401" s="451"/>
      <c r="J401" s="388"/>
      <c r="K401" s="388"/>
      <c r="L401" s="388"/>
      <c r="M401" s="388"/>
      <c r="N401" s="388"/>
      <c r="O401" s="388"/>
      <c r="P401" s="388"/>
      <c r="Q401" s="388"/>
      <c r="R401" s="388"/>
      <c r="S401" s="388"/>
      <c r="T401" s="388"/>
      <c r="U401" s="388"/>
      <c r="V401" s="388"/>
      <c r="W401" s="388"/>
    </row>
    <row r="402" spans="2:23" s="389" customFormat="1" ht="12.75">
      <c r="B402" s="97"/>
      <c r="C402" s="75"/>
      <c r="D402" s="386"/>
      <c r="E402" s="44">
        <v>2104</v>
      </c>
      <c r="F402" s="390">
        <v>5035</v>
      </c>
      <c r="G402" s="107"/>
      <c r="H402" s="96"/>
      <c r="I402" s="451"/>
      <c r="J402" s="388"/>
      <c r="K402" s="388"/>
      <c r="L402" s="388"/>
      <c r="M402" s="388"/>
      <c r="N402" s="388"/>
      <c r="O402" s="388"/>
      <c r="P402" s="388"/>
      <c r="Q402" s="388"/>
      <c r="R402" s="388"/>
      <c r="S402" s="388"/>
      <c r="T402" s="388"/>
      <c r="U402" s="388"/>
      <c r="V402" s="388"/>
      <c r="W402" s="388"/>
    </row>
    <row r="403" spans="2:23" s="389" customFormat="1" ht="12.75">
      <c r="B403" s="97"/>
      <c r="C403" s="75"/>
      <c r="D403" s="386"/>
      <c r="E403" s="44">
        <v>2105</v>
      </c>
      <c r="F403" s="390">
        <v>6643</v>
      </c>
      <c r="G403" s="107"/>
      <c r="H403" s="96"/>
      <c r="I403" s="451"/>
      <c r="J403" s="388"/>
      <c r="K403" s="388"/>
      <c r="L403" s="388"/>
      <c r="M403" s="388"/>
      <c r="N403" s="388"/>
      <c r="O403" s="388"/>
      <c r="P403" s="388"/>
      <c r="Q403" s="388"/>
      <c r="R403" s="388"/>
      <c r="S403" s="388"/>
      <c r="T403" s="388"/>
      <c r="U403" s="388"/>
      <c r="V403" s="388"/>
      <c r="W403" s="388"/>
    </row>
    <row r="404" spans="2:23" s="389" customFormat="1" ht="12.75">
      <c r="B404" s="97"/>
      <c r="C404" s="75"/>
      <c r="D404" s="386"/>
      <c r="E404" s="44">
        <v>2201</v>
      </c>
      <c r="F404" s="390">
        <v>7170</v>
      </c>
      <c r="G404" s="107"/>
      <c r="H404" s="96"/>
      <c r="I404" s="451"/>
      <c r="J404" s="388"/>
      <c r="K404" s="388"/>
      <c r="L404" s="388"/>
      <c r="M404" s="388"/>
      <c r="N404" s="388"/>
      <c r="O404" s="388"/>
      <c r="P404" s="388"/>
      <c r="Q404" s="388"/>
      <c r="R404" s="388"/>
      <c r="S404" s="388"/>
      <c r="T404" s="388"/>
      <c r="U404" s="388"/>
      <c r="V404" s="388"/>
      <c r="W404" s="388"/>
    </row>
    <row r="405" spans="2:23" s="389" customFormat="1" ht="25.5">
      <c r="B405" s="97">
        <v>41</v>
      </c>
      <c r="C405" s="224" t="s">
        <v>701</v>
      </c>
      <c r="D405" s="48">
        <f>+F405+F411</f>
        <v>400058</v>
      </c>
      <c r="E405" s="50">
        <v>2000</v>
      </c>
      <c r="F405" s="391">
        <f>SUM(F406:F410)</f>
        <v>145872</v>
      </c>
      <c r="G405" s="117"/>
      <c r="H405" s="96"/>
      <c r="I405" s="451"/>
      <c r="J405" s="388"/>
      <c r="K405" s="388"/>
      <c r="L405" s="388"/>
      <c r="M405" s="388"/>
      <c r="N405" s="388"/>
      <c r="O405" s="388"/>
      <c r="P405" s="388"/>
      <c r="Q405" s="388"/>
      <c r="R405" s="388"/>
      <c r="S405" s="388"/>
      <c r="T405" s="388"/>
      <c r="U405" s="388"/>
      <c r="V405" s="388"/>
      <c r="W405" s="388"/>
    </row>
    <row r="406" spans="2:23" s="389" customFormat="1" ht="12.75">
      <c r="B406" s="95"/>
      <c r="C406" s="75"/>
      <c r="D406" s="37"/>
      <c r="E406" s="45">
        <v>2101</v>
      </c>
      <c r="F406" s="392">
        <v>12980</v>
      </c>
      <c r="G406" s="110"/>
      <c r="H406" s="96"/>
      <c r="I406" s="451"/>
      <c r="J406" s="388"/>
      <c r="K406" s="388"/>
      <c r="L406" s="388"/>
      <c r="M406" s="388"/>
      <c r="N406" s="388"/>
      <c r="O406" s="388"/>
      <c r="P406" s="388"/>
      <c r="Q406" s="388"/>
      <c r="R406" s="388"/>
      <c r="S406" s="388"/>
      <c r="T406" s="388"/>
      <c r="U406" s="388"/>
      <c r="V406" s="388"/>
      <c r="W406" s="388"/>
    </row>
    <row r="407" spans="2:23" s="389" customFormat="1" ht="12.75">
      <c r="B407" s="95"/>
      <c r="C407" s="75"/>
      <c r="D407" s="37"/>
      <c r="E407" s="45">
        <v>2105</v>
      </c>
      <c r="F407" s="392">
        <v>23900</v>
      </c>
      <c r="G407" s="110"/>
      <c r="H407" s="96"/>
      <c r="I407" s="451"/>
      <c r="J407" s="388"/>
      <c r="K407" s="388"/>
      <c r="L407" s="388"/>
      <c r="M407" s="388"/>
      <c r="N407" s="388"/>
      <c r="O407" s="388"/>
      <c r="P407" s="388"/>
      <c r="Q407" s="388"/>
      <c r="R407" s="388"/>
      <c r="S407" s="388"/>
      <c r="T407" s="388"/>
      <c r="U407" s="388"/>
      <c r="V407" s="388"/>
      <c r="W407" s="388"/>
    </row>
    <row r="408" spans="2:23" s="389" customFormat="1" ht="12.75">
      <c r="B408" s="95"/>
      <c r="C408" s="75"/>
      <c r="D408" s="37"/>
      <c r="E408" s="45">
        <v>2201</v>
      </c>
      <c r="F408" s="392">
        <v>3750</v>
      </c>
      <c r="G408" s="110"/>
      <c r="H408" s="96"/>
      <c r="I408" s="451"/>
      <c r="J408" s="388"/>
      <c r="K408" s="388"/>
      <c r="L408" s="388"/>
      <c r="M408" s="388"/>
      <c r="N408" s="388"/>
      <c r="O408" s="388"/>
      <c r="P408" s="388"/>
      <c r="Q408" s="388"/>
      <c r="R408" s="388"/>
      <c r="S408" s="388"/>
      <c r="T408" s="388"/>
      <c r="U408" s="388"/>
      <c r="V408" s="388"/>
      <c r="W408" s="388"/>
    </row>
    <row r="409" spans="2:23" s="389" customFormat="1" ht="12.75">
      <c r="B409" s="95"/>
      <c r="C409" s="75"/>
      <c r="D409" s="37"/>
      <c r="E409" s="45">
        <v>2304</v>
      </c>
      <c r="F409" s="392">
        <v>53850</v>
      </c>
      <c r="G409" s="110"/>
      <c r="H409" s="96"/>
      <c r="I409" s="451"/>
      <c r="J409" s="388"/>
      <c r="K409" s="388"/>
      <c r="L409" s="388"/>
      <c r="M409" s="388"/>
      <c r="N409" s="388"/>
      <c r="O409" s="388"/>
      <c r="P409" s="388"/>
      <c r="Q409" s="388"/>
      <c r="R409" s="388"/>
      <c r="S409" s="388"/>
      <c r="T409" s="388"/>
      <c r="U409" s="388"/>
      <c r="V409" s="388"/>
      <c r="W409" s="388"/>
    </row>
    <row r="410" spans="2:23" s="389" customFormat="1" ht="12.75">
      <c r="B410" s="97"/>
      <c r="C410" s="75"/>
      <c r="D410" s="37"/>
      <c r="E410" s="45">
        <v>2601</v>
      </c>
      <c r="F410" s="392">
        <v>51392</v>
      </c>
      <c r="G410" s="109" t="s">
        <v>154</v>
      </c>
      <c r="H410" s="98"/>
      <c r="I410" s="452"/>
      <c r="J410" s="388"/>
      <c r="K410" s="388"/>
      <c r="L410" s="388"/>
      <c r="M410" s="388"/>
      <c r="N410" s="388"/>
      <c r="O410" s="388"/>
      <c r="P410" s="388"/>
      <c r="Q410" s="388"/>
      <c r="R410" s="388"/>
      <c r="S410" s="388"/>
      <c r="T410" s="388"/>
      <c r="U410" s="388"/>
      <c r="V410" s="388"/>
      <c r="W410" s="388"/>
    </row>
    <row r="411" spans="2:23" s="389" customFormat="1" ht="12.75">
      <c r="B411" s="97"/>
      <c r="C411" s="75"/>
      <c r="D411" s="37"/>
      <c r="E411" s="50">
        <v>3000</v>
      </c>
      <c r="F411" s="391">
        <f>SUM(F412:F414)</f>
        <v>254186</v>
      </c>
      <c r="G411" s="110"/>
      <c r="H411" s="98"/>
      <c r="I411" s="452"/>
      <c r="J411" s="388"/>
      <c r="K411" s="388"/>
      <c r="L411" s="388"/>
      <c r="M411" s="388"/>
      <c r="N411" s="388"/>
      <c r="O411" s="388"/>
      <c r="P411" s="388"/>
      <c r="Q411" s="388"/>
      <c r="R411" s="388"/>
      <c r="S411" s="388"/>
      <c r="T411" s="388"/>
      <c r="U411" s="388"/>
      <c r="V411" s="388"/>
      <c r="W411" s="388"/>
    </row>
    <row r="412" spans="2:23" s="389" customFormat="1" ht="12.75">
      <c r="B412" s="97"/>
      <c r="C412" s="75"/>
      <c r="D412" s="37"/>
      <c r="E412" s="45">
        <v>3702</v>
      </c>
      <c r="F412" s="392">
        <v>231100</v>
      </c>
      <c r="G412" s="108" t="s">
        <v>232</v>
      </c>
      <c r="H412" s="98"/>
      <c r="I412" s="452"/>
      <c r="J412" s="388"/>
      <c r="K412" s="388"/>
      <c r="L412" s="388"/>
      <c r="M412" s="388"/>
      <c r="N412" s="388"/>
      <c r="O412" s="388"/>
      <c r="P412" s="388"/>
      <c r="Q412" s="388"/>
      <c r="R412" s="388"/>
      <c r="S412" s="388"/>
      <c r="T412" s="388"/>
      <c r="U412" s="388"/>
      <c r="V412" s="388"/>
      <c r="W412" s="388"/>
    </row>
    <row r="413" spans="2:23" s="389" customFormat="1" ht="12.75">
      <c r="B413" s="97"/>
      <c r="C413" s="75"/>
      <c r="D413" s="37"/>
      <c r="E413" s="45">
        <v>3703</v>
      </c>
      <c r="F413" s="392">
        <v>17300</v>
      </c>
      <c r="G413" s="108"/>
      <c r="H413" s="98"/>
      <c r="I413" s="452"/>
      <c r="J413" s="388"/>
      <c r="K413" s="388"/>
      <c r="L413" s="388"/>
      <c r="M413" s="388"/>
      <c r="N413" s="388"/>
      <c r="O413" s="388"/>
      <c r="P413" s="388"/>
      <c r="Q413" s="388"/>
      <c r="R413" s="388"/>
      <c r="S413" s="388"/>
      <c r="T413" s="388"/>
      <c r="U413" s="388"/>
      <c r="V413" s="388"/>
      <c r="W413" s="388"/>
    </row>
    <row r="414" spans="2:23" s="389" customFormat="1" ht="12.75">
      <c r="B414" s="97"/>
      <c r="C414" s="76"/>
      <c r="D414" s="52"/>
      <c r="E414" s="45">
        <v>3903</v>
      </c>
      <c r="F414" s="392">
        <v>5786</v>
      </c>
      <c r="G414" s="110"/>
      <c r="H414" s="98"/>
      <c r="I414" s="452"/>
      <c r="J414" s="388"/>
      <c r="K414" s="388"/>
      <c r="L414" s="388"/>
      <c r="M414" s="388"/>
      <c r="N414" s="388"/>
      <c r="O414" s="388"/>
      <c r="P414" s="388"/>
      <c r="Q414" s="388"/>
      <c r="R414" s="388"/>
      <c r="S414" s="388"/>
      <c r="T414" s="388"/>
      <c r="U414" s="388"/>
      <c r="V414" s="388"/>
      <c r="W414" s="388"/>
    </row>
    <row r="415" spans="2:23" s="389" customFormat="1" ht="25.5">
      <c r="B415" s="97">
        <v>42</v>
      </c>
      <c r="C415" s="75" t="s">
        <v>720</v>
      </c>
      <c r="D415" s="48">
        <f>+F415</f>
        <v>81134</v>
      </c>
      <c r="E415" s="49">
        <v>2000</v>
      </c>
      <c r="F415" s="393">
        <f>SUM(F416:F420)</f>
        <v>81134</v>
      </c>
      <c r="G415" s="109"/>
      <c r="H415" s="98"/>
      <c r="I415" s="452"/>
      <c r="J415" s="388"/>
      <c r="K415" s="388"/>
      <c r="L415" s="388"/>
      <c r="M415" s="388"/>
      <c r="N415" s="388"/>
      <c r="O415" s="388"/>
      <c r="P415" s="388"/>
      <c r="Q415" s="388"/>
      <c r="R415" s="388"/>
      <c r="S415" s="388"/>
      <c r="T415" s="388"/>
      <c r="U415" s="388"/>
      <c r="V415" s="388"/>
      <c r="W415" s="388"/>
    </row>
    <row r="416" spans="2:23" s="389" customFormat="1" ht="12.75">
      <c r="B416" s="97"/>
      <c r="C416" s="75"/>
      <c r="D416" s="49"/>
      <c r="E416" s="44">
        <v>2101</v>
      </c>
      <c r="F416" s="390">
        <v>1480</v>
      </c>
      <c r="G416" s="109"/>
      <c r="H416" s="98"/>
      <c r="I416" s="452"/>
      <c r="J416" s="388"/>
      <c r="K416" s="388"/>
      <c r="L416" s="388"/>
      <c r="M416" s="388"/>
      <c r="N416" s="388"/>
      <c r="O416" s="388"/>
      <c r="P416" s="388"/>
      <c r="Q416" s="388"/>
      <c r="R416" s="388"/>
      <c r="S416" s="388"/>
      <c r="T416" s="388"/>
      <c r="U416" s="388"/>
      <c r="V416" s="388"/>
      <c r="W416" s="388"/>
    </row>
    <row r="417" spans="2:23" s="389" customFormat="1" ht="12.75">
      <c r="B417" s="97"/>
      <c r="C417" s="75"/>
      <c r="D417" s="49"/>
      <c r="E417" s="44">
        <v>2104</v>
      </c>
      <c r="F417" s="390">
        <v>1520</v>
      </c>
      <c r="G417" s="109"/>
      <c r="H417" s="98"/>
      <c r="I417" s="452"/>
      <c r="J417" s="388"/>
      <c r="K417" s="388"/>
      <c r="L417" s="388"/>
      <c r="M417" s="388"/>
      <c r="N417" s="388"/>
      <c r="O417" s="388"/>
      <c r="P417" s="388"/>
      <c r="Q417" s="388"/>
      <c r="R417" s="388"/>
      <c r="S417" s="388"/>
      <c r="T417" s="388"/>
      <c r="U417" s="388"/>
      <c r="V417" s="388"/>
      <c r="W417" s="388"/>
    </row>
    <row r="418" spans="2:23" s="389" customFormat="1" ht="12.75">
      <c r="B418" s="97"/>
      <c r="C418" s="75"/>
      <c r="D418" s="49"/>
      <c r="E418" s="44">
        <v>2105</v>
      </c>
      <c r="F418" s="390">
        <v>1684</v>
      </c>
      <c r="G418" s="109"/>
      <c r="H418" s="98"/>
      <c r="I418" s="452"/>
      <c r="J418" s="388"/>
      <c r="K418" s="388"/>
      <c r="L418" s="388"/>
      <c r="M418" s="388"/>
      <c r="N418" s="388"/>
      <c r="O418" s="388"/>
      <c r="P418" s="388"/>
      <c r="Q418" s="388"/>
      <c r="R418" s="388"/>
      <c r="S418" s="388"/>
      <c r="T418" s="388"/>
      <c r="U418" s="388"/>
      <c r="V418" s="388"/>
      <c r="W418" s="388"/>
    </row>
    <row r="419" spans="2:23" s="389" customFormat="1" ht="12.75">
      <c r="B419" s="97"/>
      <c r="C419" s="75"/>
      <c r="D419" s="49"/>
      <c r="E419" s="44">
        <v>2201</v>
      </c>
      <c r="F419" s="390">
        <v>1450</v>
      </c>
      <c r="G419" s="109"/>
      <c r="H419" s="98"/>
      <c r="I419" s="452"/>
      <c r="J419" s="388"/>
      <c r="K419" s="388"/>
      <c r="L419" s="388"/>
      <c r="M419" s="388"/>
      <c r="N419" s="388"/>
      <c r="O419" s="388"/>
      <c r="P419" s="388"/>
      <c r="Q419" s="388"/>
      <c r="R419" s="388"/>
      <c r="S419" s="388"/>
      <c r="T419" s="388"/>
      <c r="U419" s="388"/>
      <c r="V419" s="388"/>
      <c r="W419" s="388"/>
    </row>
    <row r="420" spans="2:23" s="389" customFormat="1" ht="12.75">
      <c r="B420" s="97"/>
      <c r="C420" s="75"/>
      <c r="D420" s="49"/>
      <c r="E420" s="44">
        <v>2304</v>
      </c>
      <c r="F420" s="390">
        <v>75000</v>
      </c>
      <c r="G420" s="109"/>
      <c r="H420" s="98"/>
      <c r="I420" s="452"/>
      <c r="J420" s="388"/>
      <c r="K420" s="388"/>
      <c r="L420" s="388"/>
      <c r="M420" s="388"/>
      <c r="N420" s="388"/>
      <c r="O420" s="388"/>
      <c r="P420" s="388"/>
      <c r="Q420" s="388"/>
      <c r="R420" s="388"/>
      <c r="S420" s="388"/>
      <c r="T420" s="388"/>
      <c r="U420" s="388"/>
      <c r="V420" s="388"/>
      <c r="W420" s="388"/>
    </row>
    <row r="421" spans="2:23" s="389" customFormat="1" ht="38.25">
      <c r="B421" s="97">
        <v>43</v>
      </c>
      <c r="C421" s="178" t="s">
        <v>721</v>
      </c>
      <c r="D421" s="48">
        <f>+F421</f>
        <v>11485</v>
      </c>
      <c r="E421" s="49">
        <v>2000</v>
      </c>
      <c r="F421" s="393">
        <f>SUM(F422:F425)</f>
        <v>11485</v>
      </c>
      <c r="G421" s="109"/>
      <c r="H421" s="98"/>
      <c r="I421" s="452"/>
      <c r="J421" s="388"/>
      <c r="K421" s="388"/>
      <c r="L421" s="388"/>
      <c r="M421" s="388"/>
      <c r="N421" s="388"/>
      <c r="O421" s="388"/>
      <c r="P421" s="388"/>
      <c r="Q421" s="388"/>
      <c r="R421" s="388"/>
      <c r="S421" s="388"/>
      <c r="T421" s="388"/>
      <c r="U421" s="388"/>
      <c r="V421" s="388"/>
      <c r="W421" s="388"/>
    </row>
    <row r="422" spans="2:23" s="389" customFormat="1" ht="12.75">
      <c r="B422" s="97"/>
      <c r="C422" s="75"/>
      <c r="D422" s="48"/>
      <c r="E422" s="44">
        <v>2101</v>
      </c>
      <c r="F422" s="390">
        <v>6982</v>
      </c>
      <c r="G422" s="109"/>
      <c r="H422" s="98"/>
      <c r="I422" s="452"/>
      <c r="J422" s="388"/>
      <c r="K422" s="388"/>
      <c r="L422" s="388"/>
      <c r="M422" s="388"/>
      <c r="N422" s="388"/>
      <c r="O422" s="388"/>
      <c r="P422" s="388"/>
      <c r="Q422" s="388"/>
      <c r="R422" s="388"/>
      <c r="S422" s="388"/>
      <c r="T422" s="388"/>
      <c r="U422" s="388"/>
      <c r="V422" s="388"/>
      <c r="W422" s="388"/>
    </row>
    <row r="423" spans="2:23" s="389" customFormat="1" ht="12.75">
      <c r="B423" s="97"/>
      <c r="C423" s="75"/>
      <c r="D423" s="48"/>
      <c r="E423" s="44">
        <v>2104</v>
      </c>
      <c r="F423" s="390">
        <v>1520</v>
      </c>
      <c r="G423" s="109"/>
      <c r="H423" s="98"/>
      <c r="I423" s="452"/>
      <c r="J423" s="388"/>
      <c r="K423" s="388"/>
      <c r="L423" s="388"/>
      <c r="M423" s="388"/>
      <c r="N423" s="388"/>
      <c r="O423" s="388"/>
      <c r="P423" s="388"/>
      <c r="Q423" s="388"/>
      <c r="R423" s="388"/>
      <c r="S423" s="388"/>
      <c r="T423" s="388"/>
      <c r="U423" s="388"/>
      <c r="V423" s="388"/>
      <c r="W423" s="388"/>
    </row>
    <row r="424" spans="2:23" s="389" customFormat="1" ht="12.75">
      <c r="B424" s="97"/>
      <c r="C424" s="75"/>
      <c r="D424" s="48"/>
      <c r="E424" s="44">
        <v>2105</v>
      </c>
      <c r="F424" s="390">
        <v>1643</v>
      </c>
      <c r="G424" s="109"/>
      <c r="H424" s="98"/>
      <c r="I424" s="452"/>
      <c r="J424" s="388"/>
      <c r="K424" s="388"/>
      <c r="L424" s="388"/>
      <c r="M424" s="388"/>
      <c r="N424" s="388"/>
      <c r="O424" s="388"/>
      <c r="P424" s="388"/>
      <c r="Q424" s="388"/>
      <c r="R424" s="388"/>
      <c r="S424" s="388"/>
      <c r="T424" s="388"/>
      <c r="U424" s="388"/>
      <c r="V424" s="388"/>
      <c r="W424" s="388"/>
    </row>
    <row r="425" spans="2:23" s="389" customFormat="1" ht="12.75">
      <c r="B425" s="97"/>
      <c r="C425" s="75"/>
      <c r="D425" s="48"/>
      <c r="E425" s="44">
        <v>2201</v>
      </c>
      <c r="F425" s="390">
        <v>1340</v>
      </c>
      <c r="G425" s="109"/>
      <c r="H425" s="98"/>
      <c r="I425" s="452"/>
      <c r="J425" s="388"/>
      <c r="K425" s="388"/>
      <c r="L425" s="388"/>
      <c r="M425" s="388"/>
      <c r="N425" s="388"/>
      <c r="O425" s="388"/>
      <c r="P425" s="388"/>
      <c r="Q425" s="388"/>
      <c r="R425" s="388"/>
      <c r="S425" s="388"/>
      <c r="T425" s="388"/>
      <c r="U425" s="388"/>
      <c r="V425" s="388"/>
      <c r="W425" s="388"/>
    </row>
    <row r="426" spans="2:23" s="389" customFormat="1" ht="38.25">
      <c r="B426" s="97">
        <v>44</v>
      </c>
      <c r="C426" s="178" t="s">
        <v>722</v>
      </c>
      <c r="D426" s="48">
        <f>+F426</f>
        <v>10443</v>
      </c>
      <c r="E426" s="49">
        <v>2000</v>
      </c>
      <c r="F426" s="393">
        <f>SUM(F427:F430)</f>
        <v>10443</v>
      </c>
      <c r="G426" s="109"/>
      <c r="H426" s="96"/>
      <c r="I426" s="451"/>
      <c r="J426" s="388"/>
      <c r="K426" s="388"/>
      <c r="L426" s="388"/>
      <c r="M426" s="388"/>
      <c r="N426" s="388"/>
      <c r="O426" s="388"/>
      <c r="P426" s="388"/>
      <c r="Q426" s="388"/>
      <c r="R426" s="388"/>
      <c r="S426" s="388"/>
      <c r="T426" s="388"/>
      <c r="U426" s="388"/>
      <c r="V426" s="388"/>
      <c r="W426" s="388"/>
    </row>
    <row r="427" spans="2:23" s="389" customFormat="1" ht="12.75">
      <c r="B427" s="97"/>
      <c r="C427" s="75"/>
      <c r="D427" s="49"/>
      <c r="E427" s="44">
        <v>2101</v>
      </c>
      <c r="F427" s="390">
        <v>5840</v>
      </c>
      <c r="G427" s="109"/>
      <c r="H427" s="96"/>
      <c r="I427" s="451"/>
      <c r="J427" s="388"/>
      <c r="K427" s="388"/>
      <c r="L427" s="388"/>
      <c r="M427" s="388"/>
      <c r="N427" s="388"/>
      <c r="O427" s="388"/>
      <c r="P427" s="388"/>
      <c r="Q427" s="388"/>
      <c r="R427" s="388"/>
      <c r="S427" s="388"/>
      <c r="T427" s="388"/>
      <c r="U427" s="388"/>
      <c r="V427" s="388"/>
      <c r="W427" s="388"/>
    </row>
    <row r="428" spans="2:23" s="389" customFormat="1" ht="12.75">
      <c r="B428" s="97"/>
      <c r="C428" s="75"/>
      <c r="D428" s="49"/>
      <c r="E428" s="44">
        <v>2104</v>
      </c>
      <c r="F428" s="390">
        <v>1620</v>
      </c>
      <c r="G428" s="109"/>
      <c r="H428" s="96"/>
      <c r="I428" s="451"/>
      <c r="J428" s="388"/>
      <c r="K428" s="388"/>
      <c r="L428" s="388"/>
      <c r="M428" s="388"/>
      <c r="N428" s="388"/>
      <c r="O428" s="388"/>
      <c r="P428" s="388"/>
      <c r="Q428" s="388"/>
      <c r="R428" s="388"/>
      <c r="S428" s="388"/>
      <c r="T428" s="388"/>
      <c r="U428" s="388"/>
      <c r="V428" s="388"/>
      <c r="W428" s="388"/>
    </row>
    <row r="429" spans="2:23" s="389" customFormat="1" ht="12.75">
      <c r="B429" s="172"/>
      <c r="C429" s="75"/>
      <c r="D429" s="176"/>
      <c r="E429" s="44">
        <v>2105</v>
      </c>
      <c r="F429" s="390">
        <v>1643</v>
      </c>
      <c r="G429" s="109"/>
      <c r="H429" s="96"/>
      <c r="I429" s="451"/>
      <c r="J429" s="388"/>
      <c r="K429" s="388"/>
      <c r="L429" s="388"/>
      <c r="M429" s="388"/>
      <c r="N429" s="388"/>
      <c r="O429" s="388"/>
      <c r="P429" s="388"/>
      <c r="Q429" s="388"/>
      <c r="R429" s="388"/>
      <c r="S429" s="388"/>
      <c r="T429" s="388"/>
      <c r="U429" s="388"/>
      <c r="V429" s="388"/>
      <c r="W429" s="388"/>
    </row>
    <row r="430" spans="2:23" s="389" customFormat="1" ht="12.75">
      <c r="B430" s="97"/>
      <c r="C430" s="75"/>
      <c r="D430" s="49"/>
      <c r="E430" s="44">
        <v>2201</v>
      </c>
      <c r="F430" s="390">
        <v>1340</v>
      </c>
      <c r="G430" s="109"/>
      <c r="H430" s="96"/>
      <c r="I430" s="451"/>
      <c r="J430" s="388"/>
      <c r="K430" s="388"/>
      <c r="L430" s="388"/>
      <c r="M430" s="388"/>
      <c r="N430" s="388"/>
      <c r="O430" s="388"/>
      <c r="P430" s="388"/>
      <c r="Q430" s="388"/>
      <c r="R430" s="388"/>
      <c r="S430" s="388"/>
      <c r="T430" s="388"/>
      <c r="U430" s="388"/>
      <c r="V430" s="388"/>
      <c r="W430" s="388"/>
    </row>
    <row r="431" spans="2:23" s="389" customFormat="1" ht="25.5">
      <c r="B431" s="97">
        <v>45</v>
      </c>
      <c r="C431" s="178" t="s">
        <v>723</v>
      </c>
      <c r="D431" s="48">
        <f>+F431</f>
        <v>10875</v>
      </c>
      <c r="E431" s="49">
        <v>2000</v>
      </c>
      <c r="F431" s="393">
        <f>SUM(F432:F435)</f>
        <v>10875</v>
      </c>
      <c r="G431" s="109"/>
      <c r="H431" s="96"/>
      <c r="I431" s="451"/>
      <c r="J431" s="388"/>
      <c r="K431" s="388"/>
      <c r="L431" s="388"/>
      <c r="M431" s="388"/>
      <c r="N431" s="388"/>
      <c r="O431" s="388"/>
      <c r="P431" s="388"/>
      <c r="Q431" s="388"/>
      <c r="R431" s="388"/>
      <c r="S431" s="388"/>
      <c r="T431" s="388"/>
      <c r="U431" s="388"/>
      <c r="V431" s="388"/>
      <c r="W431" s="388"/>
    </row>
    <row r="432" spans="2:23" s="389" customFormat="1" ht="12.75">
      <c r="B432" s="97"/>
      <c r="C432" s="75"/>
      <c r="D432" s="48"/>
      <c r="E432" s="44">
        <v>2101</v>
      </c>
      <c r="F432" s="390">
        <v>5540</v>
      </c>
      <c r="G432" s="109"/>
      <c r="H432" s="96"/>
      <c r="I432" s="451"/>
      <c r="J432" s="388"/>
      <c r="K432" s="388"/>
      <c r="L432" s="388"/>
      <c r="M432" s="388"/>
      <c r="N432" s="388"/>
      <c r="O432" s="388"/>
      <c r="P432" s="388"/>
      <c r="Q432" s="388"/>
      <c r="R432" s="388"/>
      <c r="S432" s="388"/>
      <c r="T432" s="388"/>
      <c r="U432" s="388"/>
      <c r="V432" s="388"/>
      <c r="W432" s="388"/>
    </row>
    <row r="433" spans="2:23" s="389" customFormat="1" ht="12.75">
      <c r="B433" s="97"/>
      <c r="C433" s="75"/>
      <c r="D433" s="48"/>
      <c r="E433" s="44">
        <v>2104</v>
      </c>
      <c r="F433" s="390">
        <v>1700</v>
      </c>
      <c r="G433" s="109"/>
      <c r="H433" s="96"/>
      <c r="I433" s="451"/>
      <c r="J433" s="388"/>
      <c r="K433" s="388"/>
      <c r="L433" s="388"/>
      <c r="M433" s="388"/>
      <c r="N433" s="388"/>
      <c r="O433" s="388"/>
      <c r="P433" s="388"/>
      <c r="Q433" s="388"/>
      <c r="R433" s="388"/>
      <c r="S433" s="388"/>
      <c r="T433" s="388"/>
      <c r="U433" s="388"/>
      <c r="V433" s="388"/>
      <c r="W433" s="388"/>
    </row>
    <row r="434" spans="2:23" s="389" customFormat="1" ht="12.75">
      <c r="B434" s="97"/>
      <c r="C434" s="75"/>
      <c r="D434" s="48"/>
      <c r="E434" s="44">
        <v>2105</v>
      </c>
      <c r="F434" s="390">
        <v>1420</v>
      </c>
      <c r="G434" s="163"/>
      <c r="H434" s="96"/>
      <c r="I434" s="451"/>
      <c r="J434" s="388"/>
      <c r="K434" s="388"/>
      <c r="L434" s="388"/>
      <c r="M434" s="388"/>
      <c r="N434" s="388"/>
      <c r="O434" s="388"/>
      <c r="P434" s="388"/>
      <c r="Q434" s="388"/>
      <c r="R434" s="388"/>
      <c r="S434" s="388"/>
      <c r="T434" s="388"/>
      <c r="U434" s="388"/>
      <c r="V434" s="388"/>
      <c r="W434" s="388"/>
    </row>
    <row r="435" spans="2:23" s="389" customFormat="1" ht="12.75">
      <c r="B435" s="97"/>
      <c r="C435" s="75"/>
      <c r="D435" s="48"/>
      <c r="E435" s="44">
        <v>2201</v>
      </c>
      <c r="F435" s="390">
        <v>2215</v>
      </c>
      <c r="G435" s="109"/>
      <c r="H435" s="96"/>
      <c r="I435" s="451"/>
      <c r="J435" s="388"/>
      <c r="K435" s="388"/>
      <c r="L435" s="388"/>
      <c r="M435" s="388"/>
      <c r="N435" s="388"/>
      <c r="O435" s="388"/>
      <c r="P435" s="388"/>
      <c r="Q435" s="388"/>
      <c r="R435" s="388"/>
      <c r="S435" s="388"/>
      <c r="T435" s="388"/>
      <c r="U435" s="388"/>
      <c r="V435" s="388"/>
      <c r="W435" s="388"/>
    </row>
    <row r="436" spans="2:23" s="389" customFormat="1" ht="38.25">
      <c r="B436" s="97">
        <v>46</v>
      </c>
      <c r="C436" s="178" t="s">
        <v>724</v>
      </c>
      <c r="D436" s="48">
        <f>+F436</f>
        <v>5760</v>
      </c>
      <c r="E436" s="49">
        <v>2000</v>
      </c>
      <c r="F436" s="393">
        <f>SUM(F437:F440)</f>
        <v>5760</v>
      </c>
      <c r="G436" s="107"/>
      <c r="H436" s="96"/>
      <c r="I436" s="451"/>
      <c r="J436" s="388"/>
      <c r="K436" s="388"/>
      <c r="L436" s="388"/>
      <c r="M436" s="388"/>
      <c r="N436" s="388"/>
      <c r="O436" s="388"/>
      <c r="P436" s="388"/>
      <c r="Q436" s="388"/>
      <c r="R436" s="388"/>
      <c r="S436" s="388"/>
      <c r="T436" s="388"/>
      <c r="U436" s="388"/>
      <c r="V436" s="388"/>
      <c r="W436" s="388"/>
    </row>
    <row r="437" spans="2:23" s="389" customFormat="1" ht="12.75">
      <c r="B437" s="97"/>
      <c r="C437" s="75"/>
      <c r="D437" s="50"/>
      <c r="E437" s="44">
        <v>2101</v>
      </c>
      <c r="F437" s="390">
        <v>1450</v>
      </c>
      <c r="G437" s="107"/>
      <c r="H437" s="96"/>
      <c r="I437" s="451"/>
      <c r="J437" s="388"/>
      <c r="K437" s="388"/>
      <c r="L437" s="388"/>
      <c r="M437" s="388"/>
      <c r="N437" s="388"/>
      <c r="O437" s="388"/>
      <c r="P437" s="388"/>
      <c r="Q437" s="388"/>
      <c r="R437" s="388"/>
      <c r="S437" s="388"/>
      <c r="T437" s="388"/>
      <c r="U437" s="388"/>
      <c r="V437" s="388"/>
      <c r="W437" s="388"/>
    </row>
    <row r="438" spans="2:23" s="389" customFormat="1" ht="12.75">
      <c r="B438" s="97"/>
      <c r="C438" s="75"/>
      <c r="D438" s="51"/>
      <c r="E438" s="44">
        <v>2104</v>
      </c>
      <c r="F438" s="390">
        <v>1320</v>
      </c>
      <c r="G438" s="107"/>
      <c r="H438" s="96"/>
      <c r="I438" s="451"/>
      <c r="J438" s="388"/>
      <c r="K438" s="388"/>
      <c r="L438" s="388"/>
      <c r="M438" s="388"/>
      <c r="N438" s="388"/>
      <c r="O438" s="388"/>
      <c r="P438" s="388"/>
      <c r="Q438" s="388"/>
      <c r="R438" s="388"/>
      <c r="S438" s="388"/>
      <c r="T438" s="388"/>
      <c r="U438" s="388"/>
      <c r="V438" s="388"/>
      <c r="W438" s="388"/>
    </row>
    <row r="439" spans="2:23" s="389" customFormat="1" ht="12.75">
      <c r="B439" s="97"/>
      <c r="C439" s="75"/>
      <c r="D439" s="50"/>
      <c r="E439" s="44">
        <v>2105</v>
      </c>
      <c r="F439" s="390">
        <v>1560</v>
      </c>
      <c r="G439" s="107"/>
      <c r="H439" s="96"/>
      <c r="I439" s="451"/>
      <c r="J439" s="388"/>
      <c r="K439" s="388"/>
      <c r="L439" s="388"/>
      <c r="M439" s="388"/>
      <c r="N439" s="388"/>
      <c r="O439" s="388"/>
      <c r="P439" s="388"/>
      <c r="Q439" s="388"/>
      <c r="R439" s="388"/>
      <c r="S439" s="388"/>
      <c r="T439" s="388"/>
      <c r="U439" s="388"/>
      <c r="V439" s="388"/>
      <c r="W439" s="388"/>
    </row>
    <row r="440" spans="2:23" s="389" customFormat="1" ht="12.75">
      <c r="B440" s="97"/>
      <c r="C440" s="75"/>
      <c r="D440" s="37"/>
      <c r="E440" s="44">
        <v>2201</v>
      </c>
      <c r="F440" s="390">
        <v>1430</v>
      </c>
      <c r="G440" s="107"/>
      <c r="H440" s="96"/>
      <c r="I440" s="451"/>
      <c r="J440" s="388"/>
      <c r="K440" s="388"/>
      <c r="L440" s="388"/>
      <c r="M440" s="388"/>
      <c r="N440" s="388"/>
      <c r="O440" s="388"/>
      <c r="P440" s="388"/>
      <c r="Q440" s="388"/>
      <c r="R440" s="388"/>
      <c r="S440" s="388"/>
      <c r="T440" s="388"/>
      <c r="U440" s="388"/>
      <c r="V440" s="388"/>
      <c r="W440" s="388"/>
    </row>
    <row r="441" spans="2:23" s="389" customFormat="1" ht="25.5">
      <c r="B441" s="172">
        <v>47</v>
      </c>
      <c r="C441" s="178" t="s">
        <v>725</v>
      </c>
      <c r="D441" s="171">
        <f>+F441</f>
        <v>20050</v>
      </c>
      <c r="E441" s="49">
        <v>2000</v>
      </c>
      <c r="F441" s="393">
        <f>SUM(F442:F445)</f>
        <v>20050</v>
      </c>
      <c r="G441" s="107"/>
      <c r="H441" s="96"/>
      <c r="I441" s="451"/>
      <c r="J441" s="388"/>
      <c r="K441" s="388"/>
      <c r="L441" s="388"/>
      <c r="M441" s="388"/>
      <c r="N441" s="388"/>
      <c r="O441" s="388"/>
      <c r="P441" s="388"/>
      <c r="Q441" s="388"/>
      <c r="R441" s="388"/>
      <c r="S441" s="388"/>
      <c r="T441" s="388"/>
      <c r="U441" s="388"/>
      <c r="V441" s="388"/>
      <c r="W441" s="388"/>
    </row>
    <row r="442" spans="2:23" s="389" customFormat="1" ht="12.75">
      <c r="B442" s="97"/>
      <c r="C442" s="75"/>
      <c r="D442" s="50"/>
      <c r="E442" s="44">
        <v>2101</v>
      </c>
      <c r="F442" s="390">
        <v>7982</v>
      </c>
      <c r="G442" s="107"/>
      <c r="H442" s="96"/>
      <c r="I442" s="451"/>
      <c r="J442" s="388"/>
      <c r="K442" s="388"/>
      <c r="L442" s="388"/>
      <c r="M442" s="388"/>
      <c r="N442" s="388"/>
      <c r="O442" s="388"/>
      <c r="P442" s="388"/>
      <c r="Q442" s="388"/>
      <c r="R442" s="388"/>
      <c r="S442" s="388"/>
      <c r="T442" s="388"/>
      <c r="U442" s="388"/>
      <c r="V442" s="388"/>
      <c r="W442" s="388"/>
    </row>
    <row r="443" spans="2:23" s="389" customFormat="1" ht="12.75">
      <c r="B443" s="97"/>
      <c r="C443" s="75"/>
      <c r="D443" s="51"/>
      <c r="E443" s="44">
        <v>2104</v>
      </c>
      <c r="F443" s="390">
        <v>2560</v>
      </c>
      <c r="G443" s="107"/>
      <c r="H443" s="96"/>
      <c r="I443" s="451"/>
      <c r="J443" s="388"/>
      <c r="K443" s="388"/>
      <c r="L443" s="388"/>
      <c r="M443" s="388"/>
      <c r="N443" s="388"/>
      <c r="O443" s="388"/>
      <c r="P443" s="388"/>
      <c r="Q443" s="388"/>
      <c r="R443" s="388"/>
      <c r="S443" s="388"/>
      <c r="T443" s="388"/>
      <c r="U443" s="388"/>
      <c r="V443" s="388"/>
      <c r="W443" s="388"/>
    </row>
    <row r="444" spans="2:23" s="389" customFormat="1" ht="12.75">
      <c r="B444" s="97"/>
      <c r="C444" s="75"/>
      <c r="D444" s="50"/>
      <c r="E444" s="44">
        <v>2105</v>
      </c>
      <c r="F444" s="390">
        <v>3168</v>
      </c>
      <c r="G444" s="107"/>
      <c r="H444" s="96"/>
      <c r="I444" s="451"/>
      <c r="J444" s="388"/>
      <c r="K444" s="388"/>
      <c r="L444" s="388"/>
      <c r="M444" s="388"/>
      <c r="N444" s="388"/>
      <c r="O444" s="388"/>
      <c r="P444" s="388"/>
      <c r="Q444" s="388"/>
      <c r="R444" s="388"/>
      <c r="S444" s="388"/>
      <c r="T444" s="388"/>
      <c r="U444" s="388"/>
      <c r="V444" s="388"/>
      <c r="W444" s="388"/>
    </row>
    <row r="445" spans="2:23" s="389" customFormat="1" ht="12.75">
      <c r="B445" s="97"/>
      <c r="C445" s="75"/>
      <c r="D445" s="37"/>
      <c r="E445" s="44">
        <v>2201</v>
      </c>
      <c r="F445" s="390">
        <v>6340</v>
      </c>
      <c r="G445" s="107"/>
      <c r="H445" s="96"/>
      <c r="I445" s="451"/>
      <c r="J445" s="388"/>
      <c r="K445" s="388"/>
      <c r="L445" s="388"/>
      <c r="M445" s="388"/>
      <c r="N445" s="388"/>
      <c r="O445" s="388"/>
      <c r="P445" s="388"/>
      <c r="Q445" s="388"/>
      <c r="R445" s="388"/>
      <c r="S445" s="388"/>
      <c r="T445" s="388"/>
      <c r="U445" s="388"/>
      <c r="V445" s="388"/>
      <c r="W445" s="388"/>
    </row>
    <row r="446" spans="2:23" s="389" customFormat="1" ht="25.5">
      <c r="B446" s="97">
        <v>48</v>
      </c>
      <c r="C446" s="178" t="s">
        <v>726</v>
      </c>
      <c r="D446" s="48">
        <f>+F446</f>
        <v>10022</v>
      </c>
      <c r="E446" s="49">
        <v>2000</v>
      </c>
      <c r="F446" s="393">
        <f>SUM(F447:F450)</f>
        <v>10022</v>
      </c>
      <c r="G446" s="107"/>
      <c r="H446" s="96"/>
      <c r="I446" s="451"/>
      <c r="J446" s="388"/>
      <c r="K446" s="388"/>
      <c r="L446" s="388"/>
      <c r="M446" s="388"/>
      <c r="N446" s="388"/>
      <c r="O446" s="388"/>
      <c r="P446" s="388"/>
      <c r="Q446" s="388"/>
      <c r="R446" s="388"/>
      <c r="S446" s="388"/>
      <c r="T446" s="388"/>
      <c r="U446" s="388"/>
      <c r="V446" s="388"/>
      <c r="W446" s="388"/>
    </row>
    <row r="447" spans="2:23" s="389" customFormat="1" ht="12.75">
      <c r="B447" s="97"/>
      <c r="C447" s="75"/>
      <c r="D447" s="48"/>
      <c r="E447" s="44">
        <v>2101</v>
      </c>
      <c r="F447" s="390">
        <v>3450</v>
      </c>
      <c r="G447" s="107"/>
      <c r="H447" s="96"/>
      <c r="I447" s="451"/>
      <c r="J447" s="388"/>
      <c r="K447" s="388"/>
      <c r="L447" s="388"/>
      <c r="M447" s="388"/>
      <c r="N447" s="388"/>
      <c r="O447" s="388"/>
      <c r="P447" s="388"/>
      <c r="Q447" s="388"/>
      <c r="R447" s="388"/>
      <c r="S447" s="388"/>
      <c r="T447" s="388"/>
      <c r="U447" s="388"/>
      <c r="V447" s="388"/>
      <c r="W447" s="388"/>
    </row>
    <row r="448" spans="2:23" s="389" customFormat="1" ht="12.75">
      <c r="B448" s="97"/>
      <c r="C448" s="75"/>
      <c r="D448" s="48"/>
      <c r="E448" s="44">
        <v>2104</v>
      </c>
      <c r="F448" s="390">
        <v>2035</v>
      </c>
      <c r="G448" s="107"/>
      <c r="H448" s="96"/>
      <c r="I448" s="451"/>
      <c r="J448" s="388"/>
      <c r="K448" s="388"/>
      <c r="L448" s="388"/>
      <c r="M448" s="388"/>
      <c r="N448" s="388"/>
      <c r="O448" s="388"/>
      <c r="P448" s="388"/>
      <c r="Q448" s="388"/>
      <c r="R448" s="388"/>
      <c r="S448" s="388"/>
      <c r="T448" s="388"/>
      <c r="U448" s="388"/>
      <c r="V448" s="388"/>
      <c r="W448" s="388"/>
    </row>
    <row r="449" spans="2:23" s="389" customFormat="1" ht="12.75">
      <c r="B449" s="97"/>
      <c r="C449" s="75"/>
      <c r="D449" s="48"/>
      <c r="E449" s="44">
        <v>2105</v>
      </c>
      <c r="F449" s="390">
        <v>1643</v>
      </c>
      <c r="G449" s="107"/>
      <c r="H449" s="96"/>
      <c r="I449" s="451"/>
      <c r="J449" s="388"/>
      <c r="K449" s="388"/>
      <c r="L449" s="388"/>
      <c r="M449" s="388"/>
      <c r="N449" s="388"/>
      <c r="O449" s="388"/>
      <c r="P449" s="388"/>
      <c r="Q449" s="388"/>
      <c r="R449" s="388"/>
      <c r="S449" s="388"/>
      <c r="T449" s="388"/>
      <c r="U449" s="388"/>
      <c r="V449" s="388"/>
      <c r="W449" s="388"/>
    </row>
    <row r="450" spans="2:23" s="389" customFormat="1" ht="12.75">
      <c r="B450" s="97"/>
      <c r="C450" s="75"/>
      <c r="D450" s="48"/>
      <c r="E450" s="44">
        <v>2201</v>
      </c>
      <c r="F450" s="390">
        <v>2894</v>
      </c>
      <c r="G450" s="107"/>
      <c r="H450" s="96"/>
      <c r="I450" s="451"/>
      <c r="J450" s="388"/>
      <c r="K450" s="388"/>
      <c r="L450" s="388"/>
      <c r="M450" s="388"/>
      <c r="N450" s="388"/>
      <c r="O450" s="388"/>
      <c r="P450" s="388"/>
      <c r="Q450" s="388"/>
      <c r="R450" s="388"/>
      <c r="S450" s="388"/>
      <c r="T450" s="388"/>
      <c r="U450" s="388"/>
      <c r="V450" s="388"/>
      <c r="W450" s="388"/>
    </row>
    <row r="451" spans="2:9" ht="12.75">
      <c r="B451" s="95"/>
      <c r="C451" s="383" t="s">
        <v>7</v>
      </c>
      <c r="D451" s="382">
        <f>SUM(D452:D473)</f>
        <v>135000</v>
      </c>
      <c r="E451" s="382"/>
      <c r="F451" s="382">
        <f>SUM(F452:F473)/2</f>
        <v>135000</v>
      </c>
      <c r="G451" s="395"/>
      <c r="H451" s="96"/>
      <c r="I451" s="451"/>
    </row>
    <row r="452" spans="2:9" ht="25.5">
      <c r="B452" s="97">
        <v>22</v>
      </c>
      <c r="C452" s="221" t="s">
        <v>663</v>
      </c>
      <c r="D452" s="48">
        <f>+F452+F455</f>
        <v>30000</v>
      </c>
      <c r="E452" s="49">
        <v>2000</v>
      </c>
      <c r="F452" s="59">
        <f>SUM(F453:F454)</f>
        <v>13000</v>
      </c>
      <c r="G452" s="109"/>
      <c r="H452" s="96"/>
      <c r="I452" s="451"/>
    </row>
    <row r="453" spans="2:9" ht="12.75">
      <c r="B453" s="97"/>
      <c r="C453" s="84"/>
      <c r="D453" s="48"/>
      <c r="E453" s="44">
        <v>2101</v>
      </c>
      <c r="F453" s="58">
        <v>3000</v>
      </c>
      <c r="G453" s="109"/>
      <c r="H453" s="96"/>
      <c r="I453" s="451"/>
    </row>
    <row r="454" spans="2:9" ht="12.75">
      <c r="B454" s="97"/>
      <c r="C454" s="75"/>
      <c r="D454" s="49"/>
      <c r="E454" s="44">
        <v>2601</v>
      </c>
      <c r="F454" s="58">
        <v>10000</v>
      </c>
      <c r="G454" s="109" t="s">
        <v>154</v>
      </c>
      <c r="H454" s="96"/>
      <c r="I454" s="451"/>
    </row>
    <row r="455" spans="2:9" ht="12.75">
      <c r="B455" s="97"/>
      <c r="C455" s="75"/>
      <c r="D455" s="49"/>
      <c r="E455" s="49">
        <v>3000</v>
      </c>
      <c r="F455" s="59">
        <f>SUM(F456:F458)</f>
        <v>17000</v>
      </c>
      <c r="G455" s="109"/>
      <c r="H455" s="96"/>
      <c r="I455" s="451"/>
    </row>
    <row r="456" spans="2:9" ht="12.75">
      <c r="B456" s="97"/>
      <c r="C456" s="75"/>
      <c r="D456" s="49"/>
      <c r="E456" s="44">
        <v>3702</v>
      </c>
      <c r="F456" s="58">
        <v>10000</v>
      </c>
      <c r="G456" s="109" t="s">
        <v>232</v>
      </c>
      <c r="H456" s="96"/>
      <c r="I456" s="451"/>
    </row>
    <row r="457" spans="2:9" ht="12.75">
      <c r="B457" s="97"/>
      <c r="C457" s="75"/>
      <c r="D457" s="49"/>
      <c r="E457" s="44">
        <v>3703</v>
      </c>
      <c r="F457" s="58">
        <v>5000</v>
      </c>
      <c r="G457" s="109"/>
      <c r="H457" s="96"/>
      <c r="I457" s="451"/>
    </row>
    <row r="458" spans="2:9" ht="12.75">
      <c r="B458" s="97"/>
      <c r="C458" s="76"/>
      <c r="D458" s="49"/>
      <c r="E458" s="44">
        <v>3903</v>
      </c>
      <c r="F458" s="58">
        <v>2000</v>
      </c>
      <c r="G458" s="109"/>
      <c r="H458" s="96"/>
      <c r="I458" s="451"/>
    </row>
    <row r="459" spans="2:9" ht="25.5">
      <c r="B459" s="97">
        <v>23</v>
      </c>
      <c r="C459" s="221" t="s">
        <v>666</v>
      </c>
      <c r="D459" s="48">
        <f>+F459+F462</f>
        <v>65000</v>
      </c>
      <c r="E459" s="49">
        <v>2000</v>
      </c>
      <c r="F459" s="59">
        <f>SUM(F460:F461)</f>
        <v>19000</v>
      </c>
      <c r="G459" s="109"/>
      <c r="H459" s="96"/>
      <c r="I459" s="451"/>
    </row>
    <row r="460" spans="2:9" ht="12.75">
      <c r="B460" s="97"/>
      <c r="C460" s="75"/>
      <c r="D460" s="49"/>
      <c r="E460" s="44">
        <v>2101</v>
      </c>
      <c r="F460" s="58">
        <v>4000</v>
      </c>
      <c r="G460" s="109"/>
      <c r="H460" s="96"/>
      <c r="I460" s="451"/>
    </row>
    <row r="461" spans="2:9" ht="12.75">
      <c r="B461" s="97"/>
      <c r="C461" s="75"/>
      <c r="D461" s="49"/>
      <c r="E461" s="44">
        <v>2601</v>
      </c>
      <c r="F461" s="58">
        <v>15000</v>
      </c>
      <c r="G461" s="109" t="s">
        <v>154</v>
      </c>
      <c r="H461" s="96"/>
      <c r="I461" s="451"/>
    </row>
    <row r="462" spans="2:9" ht="12.75">
      <c r="B462" s="97"/>
      <c r="C462" s="75"/>
      <c r="D462" s="49"/>
      <c r="E462" s="49">
        <v>3000</v>
      </c>
      <c r="F462" s="59">
        <f>SUM(F463:F466)</f>
        <v>46000</v>
      </c>
      <c r="G462" s="109"/>
      <c r="H462" s="96"/>
      <c r="I462" s="451"/>
    </row>
    <row r="463" spans="2:9" ht="12.75">
      <c r="B463" s="97"/>
      <c r="C463" s="75"/>
      <c r="D463" s="49"/>
      <c r="E463" s="44">
        <v>3701</v>
      </c>
      <c r="F463" s="58">
        <v>10000</v>
      </c>
      <c r="G463" s="109" t="s">
        <v>232</v>
      </c>
      <c r="H463" s="96"/>
      <c r="I463" s="451"/>
    </row>
    <row r="464" spans="2:9" ht="12.75">
      <c r="B464" s="97"/>
      <c r="C464" s="75"/>
      <c r="D464" s="49"/>
      <c r="E464" s="44">
        <v>3702</v>
      </c>
      <c r="F464" s="58">
        <v>20000</v>
      </c>
      <c r="G464" s="109" t="s">
        <v>232</v>
      </c>
      <c r="H464" s="96"/>
      <c r="I464" s="451"/>
    </row>
    <row r="465" spans="2:9" ht="12.75">
      <c r="B465" s="97"/>
      <c r="C465" s="75"/>
      <c r="D465" s="49"/>
      <c r="E465" s="44">
        <v>3703</v>
      </c>
      <c r="F465" s="58">
        <v>13000</v>
      </c>
      <c r="G465" s="109"/>
      <c r="H465" s="96"/>
      <c r="I465" s="451"/>
    </row>
    <row r="466" spans="2:9" ht="12.75">
      <c r="B466" s="97"/>
      <c r="C466" s="76"/>
      <c r="D466" s="49"/>
      <c r="E466" s="44">
        <v>3903</v>
      </c>
      <c r="F466" s="58">
        <v>3000</v>
      </c>
      <c r="G466" s="109"/>
      <c r="H466" s="96"/>
      <c r="I466" s="451"/>
    </row>
    <row r="467" spans="2:9" ht="25.5">
      <c r="B467" s="97">
        <v>24</v>
      </c>
      <c r="C467" s="221" t="s">
        <v>667</v>
      </c>
      <c r="D467" s="48">
        <f>+F467+F470</f>
        <v>40000</v>
      </c>
      <c r="E467" s="49">
        <v>2000</v>
      </c>
      <c r="F467" s="59">
        <f>SUM(F468:F469)</f>
        <v>13000</v>
      </c>
      <c r="G467" s="109"/>
      <c r="H467" s="96"/>
      <c r="I467" s="451"/>
    </row>
    <row r="468" spans="2:9" ht="12.75">
      <c r="B468" s="97"/>
      <c r="C468" s="75"/>
      <c r="D468" s="49"/>
      <c r="E468" s="44">
        <v>2101</v>
      </c>
      <c r="F468" s="58">
        <v>3000</v>
      </c>
      <c r="G468" s="109"/>
      <c r="H468" s="96"/>
      <c r="I468" s="451"/>
    </row>
    <row r="469" spans="2:9" ht="12.75">
      <c r="B469" s="97"/>
      <c r="C469" s="75"/>
      <c r="D469" s="49"/>
      <c r="E469" s="44">
        <v>2601</v>
      </c>
      <c r="F469" s="58">
        <v>10000</v>
      </c>
      <c r="G469" s="109" t="s">
        <v>154</v>
      </c>
      <c r="H469" s="96"/>
      <c r="I469" s="451"/>
    </row>
    <row r="470" spans="2:9" ht="12.75">
      <c r="B470" s="97"/>
      <c r="C470" s="75"/>
      <c r="D470" s="49"/>
      <c r="E470" s="49">
        <v>3000</v>
      </c>
      <c r="F470" s="59">
        <f>SUM(F471:F473)</f>
        <v>27000</v>
      </c>
      <c r="G470" s="109"/>
      <c r="H470" s="96"/>
      <c r="I470" s="451"/>
    </row>
    <row r="471" spans="2:9" ht="12.75">
      <c r="B471" s="97"/>
      <c r="C471" s="75"/>
      <c r="D471" s="49"/>
      <c r="E471" s="44">
        <v>3702</v>
      </c>
      <c r="F471" s="58">
        <v>20000</v>
      </c>
      <c r="G471" s="109" t="s">
        <v>232</v>
      </c>
      <c r="H471" s="96"/>
      <c r="I471" s="451"/>
    </row>
    <row r="472" spans="2:9" ht="12.75">
      <c r="B472" s="97"/>
      <c r="C472" s="75"/>
      <c r="D472" s="49"/>
      <c r="E472" s="44">
        <v>3703</v>
      </c>
      <c r="F472" s="58">
        <v>5000</v>
      </c>
      <c r="G472" s="109"/>
      <c r="H472" s="96"/>
      <c r="I472" s="451"/>
    </row>
    <row r="473" spans="2:9" ht="12.75">
      <c r="B473" s="97"/>
      <c r="C473" s="76"/>
      <c r="D473" s="49"/>
      <c r="E473" s="44">
        <v>3903</v>
      </c>
      <c r="F473" s="58">
        <v>2000</v>
      </c>
      <c r="G473" s="109"/>
      <c r="H473" s="96"/>
      <c r="I473" s="451"/>
    </row>
    <row r="474" spans="2:9" ht="12.75">
      <c r="B474" s="95"/>
      <c r="C474" s="381" t="s">
        <v>597</v>
      </c>
      <c r="D474" s="382">
        <f>SUM(D475:D606)</f>
        <v>24967579.25</v>
      </c>
      <c r="E474" s="382"/>
      <c r="F474" s="382">
        <f>SUM(F475:F606)/2</f>
        <v>24967579.25</v>
      </c>
      <c r="G474" s="107"/>
      <c r="H474" s="96"/>
      <c r="I474" s="451"/>
    </row>
    <row r="475" spans="2:9" ht="25.5">
      <c r="B475" s="97">
        <v>40</v>
      </c>
      <c r="C475" s="224" t="s">
        <v>39</v>
      </c>
      <c r="D475" s="73">
        <f>+F475+F478</f>
        <v>183600</v>
      </c>
      <c r="E475" s="50">
        <v>2000</v>
      </c>
      <c r="F475" s="60">
        <f>SUM(F476:F477)</f>
        <v>3800</v>
      </c>
      <c r="G475" s="110"/>
      <c r="H475" s="98"/>
      <c r="I475" s="452"/>
    </row>
    <row r="476" spans="2:9" ht="12.75">
      <c r="B476" s="97"/>
      <c r="C476" s="75"/>
      <c r="D476" s="37"/>
      <c r="E476" s="45">
        <v>2101</v>
      </c>
      <c r="F476" s="61">
        <v>1400</v>
      </c>
      <c r="G476" s="110"/>
      <c r="H476" s="98"/>
      <c r="I476" s="452"/>
    </row>
    <row r="477" spans="2:9" ht="12.75">
      <c r="B477" s="97"/>
      <c r="C477" s="75"/>
      <c r="D477" s="37"/>
      <c r="E477" s="45">
        <v>2105</v>
      </c>
      <c r="F477" s="61">
        <v>2400</v>
      </c>
      <c r="G477" s="110"/>
      <c r="H477" s="98"/>
      <c r="I477" s="452"/>
    </row>
    <row r="478" spans="2:9" ht="12.75">
      <c r="B478" s="97"/>
      <c r="C478" s="75"/>
      <c r="D478" s="37"/>
      <c r="E478" s="50">
        <v>3000</v>
      </c>
      <c r="F478" s="60">
        <f>SUM(F479)</f>
        <v>179800</v>
      </c>
      <c r="G478" s="110"/>
      <c r="H478" s="98"/>
      <c r="I478" s="452"/>
    </row>
    <row r="479" spans="2:9" ht="12.75">
      <c r="B479" s="97"/>
      <c r="C479" s="75"/>
      <c r="D479" s="52"/>
      <c r="E479" s="45">
        <v>3301</v>
      </c>
      <c r="F479" s="61">
        <v>179800</v>
      </c>
      <c r="G479" s="110"/>
      <c r="H479" s="98"/>
      <c r="I479" s="452"/>
    </row>
    <row r="480" spans="2:15" ht="25.5">
      <c r="B480" s="97">
        <v>41</v>
      </c>
      <c r="C480" s="224" t="s">
        <v>56</v>
      </c>
      <c r="D480" s="73">
        <f>+F480+F484</f>
        <v>128600</v>
      </c>
      <c r="E480" s="50">
        <v>2000</v>
      </c>
      <c r="F480" s="60">
        <f>SUM(F481:F483)</f>
        <v>66800</v>
      </c>
      <c r="G480" s="185"/>
      <c r="H480" s="98"/>
      <c r="I480" s="452"/>
      <c r="O480" s="450"/>
    </row>
    <row r="481" spans="2:15" ht="12.75">
      <c r="B481" s="97"/>
      <c r="C481" s="75"/>
      <c r="D481" s="37"/>
      <c r="E481" s="45">
        <v>2101</v>
      </c>
      <c r="F481" s="61">
        <v>2000</v>
      </c>
      <c r="G481" s="185"/>
      <c r="H481" s="98"/>
      <c r="I481" s="452"/>
      <c r="O481" s="450"/>
    </row>
    <row r="482" spans="2:9" ht="12.75">
      <c r="B482" s="172"/>
      <c r="C482" s="75"/>
      <c r="D482" s="187"/>
      <c r="E482" s="45">
        <v>2105</v>
      </c>
      <c r="F482" s="61">
        <v>4000</v>
      </c>
      <c r="G482" s="185"/>
      <c r="H482" s="98"/>
      <c r="I482" s="452"/>
    </row>
    <row r="483" spans="2:9" ht="12.75">
      <c r="B483" s="172"/>
      <c r="C483" s="75"/>
      <c r="D483" s="187"/>
      <c r="E483" s="45">
        <v>2601</v>
      </c>
      <c r="F483" s="61">
        <v>60800</v>
      </c>
      <c r="G483" s="109" t="s">
        <v>154</v>
      </c>
      <c r="H483" s="98"/>
      <c r="I483" s="452"/>
    </row>
    <row r="484" spans="2:9" ht="12.75">
      <c r="B484" s="172"/>
      <c r="C484" s="75"/>
      <c r="D484" s="187"/>
      <c r="E484" s="50">
        <v>3000</v>
      </c>
      <c r="F484" s="60">
        <f>SUM(F485:F486)</f>
        <v>61800</v>
      </c>
      <c r="G484" s="185"/>
      <c r="H484" s="98"/>
      <c r="I484" s="452"/>
    </row>
    <row r="485" spans="2:9" ht="12.75">
      <c r="B485" s="172"/>
      <c r="C485" s="75"/>
      <c r="D485" s="187"/>
      <c r="E485" s="38">
        <v>3702</v>
      </c>
      <c r="F485" s="61">
        <v>41800</v>
      </c>
      <c r="G485" s="185"/>
      <c r="H485" s="98"/>
      <c r="I485" s="452"/>
    </row>
    <row r="486" spans="2:9" ht="12.75">
      <c r="B486" s="97"/>
      <c r="C486" s="186"/>
      <c r="D486" s="201"/>
      <c r="E486" s="446">
        <v>3703</v>
      </c>
      <c r="F486" s="392">
        <v>20000</v>
      </c>
      <c r="G486" s="185"/>
      <c r="H486" s="98"/>
      <c r="I486" s="452"/>
    </row>
    <row r="487" spans="2:9" ht="38.25">
      <c r="B487" s="97">
        <v>42</v>
      </c>
      <c r="C487" s="224" t="s">
        <v>57</v>
      </c>
      <c r="D487" s="73">
        <f>+F487+F505+F511</f>
        <v>10035500</v>
      </c>
      <c r="E487" s="50">
        <v>2000</v>
      </c>
      <c r="F487" s="60">
        <f>SUM(F488:F504)</f>
        <v>2615500</v>
      </c>
      <c r="G487" s="185"/>
      <c r="H487" s="98"/>
      <c r="I487" s="452"/>
    </row>
    <row r="488" spans="2:9" ht="12.75">
      <c r="B488" s="97"/>
      <c r="C488" s="84"/>
      <c r="D488" s="73"/>
      <c r="E488" s="45">
        <v>2101</v>
      </c>
      <c r="F488" s="61">
        <v>420000</v>
      </c>
      <c r="G488" s="185"/>
      <c r="H488" s="98"/>
      <c r="I488" s="452"/>
    </row>
    <row r="489" spans="2:9" ht="12.75">
      <c r="B489" s="97"/>
      <c r="C489" s="75"/>
      <c r="D489" s="37"/>
      <c r="E489" s="45">
        <v>2102</v>
      </c>
      <c r="F489" s="61">
        <v>10000</v>
      </c>
      <c r="G489" s="185"/>
      <c r="H489" s="98"/>
      <c r="I489" s="452"/>
    </row>
    <row r="490" spans="2:9" ht="12.75">
      <c r="B490" s="97"/>
      <c r="C490" s="75"/>
      <c r="D490" s="187"/>
      <c r="E490" s="45">
        <v>2103</v>
      </c>
      <c r="F490" s="392">
        <v>50000</v>
      </c>
      <c r="G490" s="185"/>
      <c r="H490" s="98"/>
      <c r="I490" s="452"/>
    </row>
    <row r="491" spans="2:9" ht="12.75">
      <c r="B491" s="97"/>
      <c r="C491" s="75"/>
      <c r="D491" s="187"/>
      <c r="E491" s="45">
        <v>2104</v>
      </c>
      <c r="F491" s="61">
        <v>54000</v>
      </c>
      <c r="G491" s="185"/>
      <c r="H491" s="98"/>
      <c r="I491" s="452"/>
    </row>
    <row r="492" spans="2:9" ht="12.75">
      <c r="B492" s="97"/>
      <c r="C492" s="75"/>
      <c r="D492" s="187"/>
      <c r="E492" s="45">
        <v>2105</v>
      </c>
      <c r="F492" s="61">
        <v>640000</v>
      </c>
      <c r="G492" s="185"/>
      <c r="H492" s="98"/>
      <c r="I492" s="452"/>
    </row>
    <row r="493" spans="2:9" ht="12.75">
      <c r="B493" s="97"/>
      <c r="C493" s="75"/>
      <c r="D493" s="187"/>
      <c r="E493" s="45">
        <v>2302</v>
      </c>
      <c r="F493" s="61">
        <v>180000</v>
      </c>
      <c r="G493" s="185"/>
      <c r="H493" s="98"/>
      <c r="I493" s="452"/>
    </row>
    <row r="494" spans="2:9" ht="12.75">
      <c r="B494" s="97"/>
      <c r="C494" s="75"/>
      <c r="D494" s="187"/>
      <c r="E494" s="45">
        <v>2304</v>
      </c>
      <c r="F494" s="61">
        <v>75000</v>
      </c>
      <c r="G494" s="185"/>
      <c r="H494" s="98"/>
      <c r="I494" s="452"/>
    </row>
    <row r="495" spans="2:9" ht="12.75">
      <c r="B495" s="97"/>
      <c r="C495" s="75"/>
      <c r="D495" s="187"/>
      <c r="E495" s="45">
        <v>2401</v>
      </c>
      <c r="F495" s="61">
        <v>50000</v>
      </c>
      <c r="G495" s="185"/>
      <c r="H495" s="98"/>
      <c r="I495" s="452"/>
    </row>
    <row r="496" spans="2:9" ht="12.75">
      <c r="B496" s="97"/>
      <c r="C496" s="75"/>
      <c r="D496" s="187"/>
      <c r="E496" s="45">
        <v>2402</v>
      </c>
      <c r="F496" s="61">
        <v>45000</v>
      </c>
      <c r="G496" s="185"/>
      <c r="H496" s="98"/>
      <c r="I496" s="452"/>
    </row>
    <row r="497" spans="2:9" ht="12.75">
      <c r="B497" s="97"/>
      <c r="C497" s="75"/>
      <c r="D497" s="187"/>
      <c r="E497" s="45">
        <v>2403</v>
      </c>
      <c r="F497" s="392">
        <v>900000</v>
      </c>
      <c r="G497" s="185"/>
      <c r="H497" s="98"/>
      <c r="I497" s="452"/>
    </row>
    <row r="498" spans="2:9" ht="12.75">
      <c r="B498" s="97"/>
      <c r="C498" s="75"/>
      <c r="D498" s="187"/>
      <c r="E498" s="45">
        <v>2404</v>
      </c>
      <c r="F498" s="392">
        <v>50000</v>
      </c>
      <c r="G498" s="185"/>
      <c r="H498" s="98"/>
      <c r="I498" s="452"/>
    </row>
    <row r="499" spans="2:9" ht="12.75">
      <c r="B499" s="97"/>
      <c r="C499" s="75"/>
      <c r="D499" s="187"/>
      <c r="E499" s="45">
        <v>2501</v>
      </c>
      <c r="F499" s="61">
        <v>20000</v>
      </c>
      <c r="G499" s="185"/>
      <c r="H499" s="98"/>
      <c r="I499" s="452"/>
    </row>
    <row r="500" spans="2:9" ht="12.75">
      <c r="B500" s="97"/>
      <c r="C500" s="75"/>
      <c r="D500" s="187"/>
      <c r="E500" s="45">
        <v>2502</v>
      </c>
      <c r="F500" s="61">
        <v>1500</v>
      </c>
      <c r="G500" s="185"/>
      <c r="H500" s="98"/>
      <c r="I500" s="452"/>
    </row>
    <row r="501" spans="2:9" ht="12.75">
      <c r="B501" s="97"/>
      <c r="C501" s="75"/>
      <c r="D501" s="187"/>
      <c r="E501" s="45">
        <v>2503</v>
      </c>
      <c r="F501" s="61">
        <v>15000</v>
      </c>
      <c r="G501" s="185"/>
      <c r="H501" s="98"/>
      <c r="I501" s="452"/>
    </row>
    <row r="502" spans="2:9" ht="12.75">
      <c r="B502" s="97"/>
      <c r="C502" s="75"/>
      <c r="D502" s="187"/>
      <c r="E502" s="45">
        <v>2505</v>
      </c>
      <c r="F502" s="61">
        <v>15000</v>
      </c>
      <c r="G502" s="185"/>
      <c r="H502" s="98"/>
      <c r="I502" s="452"/>
    </row>
    <row r="503" spans="2:9" ht="12.75">
      <c r="B503" s="97"/>
      <c r="C503" s="75"/>
      <c r="D503" s="187"/>
      <c r="E503" s="45">
        <v>2701</v>
      </c>
      <c r="F503" s="61">
        <v>70000</v>
      </c>
      <c r="G503" s="185"/>
      <c r="H503" s="98"/>
      <c r="I503" s="452"/>
    </row>
    <row r="504" spans="2:9" ht="12.75">
      <c r="B504" s="97"/>
      <c r="C504" s="75"/>
      <c r="D504" s="187"/>
      <c r="E504" s="45">
        <v>2703</v>
      </c>
      <c r="F504" s="61">
        <v>20000</v>
      </c>
      <c r="G504" s="185"/>
      <c r="H504" s="98"/>
      <c r="I504" s="452"/>
    </row>
    <row r="505" spans="2:9" ht="12.75">
      <c r="B505" s="97"/>
      <c r="C505" s="75"/>
      <c r="D505" s="187"/>
      <c r="E505" s="50">
        <v>3000</v>
      </c>
      <c r="F505" s="60">
        <f>SUM(F506:F510)</f>
        <v>872000</v>
      </c>
      <c r="G505" s="185"/>
      <c r="H505" s="98"/>
      <c r="I505" s="452"/>
    </row>
    <row r="506" spans="2:9" ht="12.75">
      <c r="B506" s="97"/>
      <c r="C506" s="75"/>
      <c r="D506" s="187"/>
      <c r="E506" s="38">
        <v>3303</v>
      </c>
      <c r="F506" s="61">
        <v>500000</v>
      </c>
      <c r="G506" s="185"/>
      <c r="H506" s="98"/>
      <c r="I506" s="452"/>
    </row>
    <row r="507" spans="2:9" ht="12.75">
      <c r="B507" s="97"/>
      <c r="C507" s="75"/>
      <c r="D507" s="187"/>
      <c r="E507" s="38">
        <v>3401</v>
      </c>
      <c r="F507" s="61">
        <v>18000</v>
      </c>
      <c r="G507" s="185"/>
      <c r="H507" s="98"/>
      <c r="I507" s="452"/>
    </row>
    <row r="508" spans="2:9" ht="12.75">
      <c r="B508" s="97"/>
      <c r="C508" s="75"/>
      <c r="D508" s="187"/>
      <c r="E508" s="38">
        <v>3503</v>
      </c>
      <c r="F508" s="61">
        <v>180000</v>
      </c>
      <c r="G508" s="185"/>
      <c r="H508" s="98"/>
      <c r="I508" s="452"/>
    </row>
    <row r="509" spans="2:9" ht="12.75">
      <c r="B509" s="97"/>
      <c r="C509" s="75"/>
      <c r="D509" s="187"/>
      <c r="E509" s="38">
        <v>3601</v>
      </c>
      <c r="F509" s="61">
        <v>24000</v>
      </c>
      <c r="G509" s="185"/>
      <c r="H509" s="98"/>
      <c r="I509" s="452"/>
    </row>
    <row r="510" spans="2:9" ht="12.75">
      <c r="B510" s="97"/>
      <c r="C510" s="75"/>
      <c r="D510" s="187"/>
      <c r="E510" s="38">
        <v>3604</v>
      </c>
      <c r="F510" s="392">
        <v>150000</v>
      </c>
      <c r="G510" s="185"/>
      <c r="H510" s="98"/>
      <c r="I510" s="452"/>
    </row>
    <row r="511" spans="2:9" ht="12.75">
      <c r="B511" s="97"/>
      <c r="C511" s="75"/>
      <c r="D511" s="187"/>
      <c r="E511" s="52">
        <v>5000</v>
      </c>
      <c r="F511" s="60">
        <f>SUM(F512:F523)</f>
        <v>6548000</v>
      </c>
      <c r="G511" s="185"/>
      <c r="H511" s="98"/>
      <c r="I511" s="452"/>
    </row>
    <row r="512" spans="2:9" ht="12.75">
      <c r="B512" s="97"/>
      <c r="C512" s="75"/>
      <c r="D512" s="187"/>
      <c r="E512" s="38">
        <v>5101</v>
      </c>
      <c r="F512" s="392">
        <v>4000000</v>
      </c>
      <c r="G512" s="185"/>
      <c r="H512" s="98"/>
      <c r="I512" s="452"/>
    </row>
    <row r="513" spans="2:9" ht="12.75">
      <c r="B513" s="97"/>
      <c r="C513" s="75"/>
      <c r="D513" s="187"/>
      <c r="E513" s="38">
        <v>5102</v>
      </c>
      <c r="F513" s="392">
        <v>500000</v>
      </c>
      <c r="G513" s="185"/>
      <c r="H513" s="98"/>
      <c r="I513" s="452"/>
    </row>
    <row r="514" spans="2:9" ht="12.75">
      <c r="B514" s="97"/>
      <c r="C514" s="75"/>
      <c r="D514" s="187"/>
      <c r="E514" s="38">
        <v>5103</v>
      </c>
      <c r="F514" s="61">
        <v>3000</v>
      </c>
      <c r="G514" s="185"/>
      <c r="H514" s="98"/>
      <c r="I514" s="452"/>
    </row>
    <row r="515" spans="2:9" ht="12.75">
      <c r="B515" s="97"/>
      <c r="C515" s="75"/>
      <c r="D515" s="187"/>
      <c r="E515" s="38">
        <v>5104</v>
      </c>
      <c r="F515" s="61">
        <v>20000</v>
      </c>
      <c r="G515" s="185"/>
      <c r="H515" s="98"/>
      <c r="I515" s="452"/>
    </row>
    <row r="516" spans="2:9" ht="12.75">
      <c r="B516" s="97"/>
      <c r="C516" s="75"/>
      <c r="D516" s="187"/>
      <c r="E516" s="38">
        <v>5105</v>
      </c>
      <c r="F516" s="61">
        <v>0</v>
      </c>
      <c r="G516" s="185"/>
      <c r="H516" s="98"/>
      <c r="I516" s="452"/>
    </row>
    <row r="517" spans="2:9" ht="12.75">
      <c r="B517" s="97"/>
      <c r="C517" s="75"/>
      <c r="D517" s="187"/>
      <c r="E517" s="38">
        <v>5202</v>
      </c>
      <c r="F517" s="392">
        <v>50000</v>
      </c>
      <c r="G517" s="185"/>
      <c r="H517" s="98"/>
      <c r="I517" s="452"/>
    </row>
    <row r="518" spans="2:9" ht="12.75">
      <c r="B518" s="97"/>
      <c r="C518" s="75"/>
      <c r="D518" s="187"/>
      <c r="E518" s="38">
        <v>5204</v>
      </c>
      <c r="F518" s="61">
        <v>60000</v>
      </c>
      <c r="G518" s="185"/>
      <c r="H518" s="98"/>
      <c r="I518" s="452"/>
    </row>
    <row r="519" spans="2:9" ht="12.75">
      <c r="B519" s="97"/>
      <c r="C519" s="75"/>
      <c r="D519" s="187"/>
      <c r="E519" s="38">
        <v>5205</v>
      </c>
      <c r="F519" s="392">
        <v>100000</v>
      </c>
      <c r="G519" s="185"/>
      <c r="H519" s="98"/>
      <c r="I519" s="452"/>
    </row>
    <row r="520" spans="2:9" ht="12.75">
      <c r="B520" s="97"/>
      <c r="C520" s="75"/>
      <c r="D520" s="187"/>
      <c r="E520" s="38">
        <v>5206</v>
      </c>
      <c r="F520" s="61">
        <v>1200000</v>
      </c>
      <c r="G520" s="185"/>
      <c r="H520" s="98"/>
      <c r="I520" s="452"/>
    </row>
    <row r="521" spans="2:9" ht="12.75">
      <c r="B521" s="97"/>
      <c r="C521" s="75"/>
      <c r="D521" s="187"/>
      <c r="E521" s="38">
        <v>5301</v>
      </c>
      <c r="F521" s="61">
        <v>600000</v>
      </c>
      <c r="G521" s="185"/>
      <c r="H521" s="98"/>
      <c r="I521" s="452"/>
    </row>
    <row r="522" spans="2:9" ht="12.75">
      <c r="B522" s="97"/>
      <c r="C522" s="75"/>
      <c r="D522" s="187"/>
      <c r="E522" s="38">
        <v>5501</v>
      </c>
      <c r="F522" s="61">
        <v>15000</v>
      </c>
      <c r="G522" s="185"/>
      <c r="H522" s="98"/>
      <c r="I522" s="452"/>
    </row>
    <row r="523" spans="2:9" ht="12.75">
      <c r="B523" s="97"/>
      <c r="C523" s="186"/>
      <c r="D523" s="201"/>
      <c r="E523" s="38">
        <v>5502</v>
      </c>
      <c r="F523" s="392">
        <v>0</v>
      </c>
      <c r="G523" s="185"/>
      <c r="H523" s="98"/>
      <c r="I523" s="452"/>
    </row>
    <row r="524" spans="2:9" ht="25.5">
      <c r="B524" s="97">
        <v>43</v>
      </c>
      <c r="C524" s="224" t="s">
        <v>59</v>
      </c>
      <c r="D524" s="73">
        <f>+F524</f>
        <v>5000</v>
      </c>
      <c r="E524" s="50">
        <v>2000</v>
      </c>
      <c r="F524" s="60">
        <f>SUM(F525:F526)</f>
        <v>5000</v>
      </c>
      <c r="G524" s="185"/>
      <c r="H524" s="98"/>
      <c r="I524" s="452"/>
    </row>
    <row r="525" spans="2:9" ht="12.75">
      <c r="B525" s="97"/>
      <c r="C525" s="75"/>
      <c r="D525" s="37"/>
      <c r="E525" s="45">
        <v>2101</v>
      </c>
      <c r="F525" s="61">
        <v>3000</v>
      </c>
      <c r="G525" s="185"/>
      <c r="H525" s="98"/>
      <c r="I525" s="452"/>
    </row>
    <row r="526" spans="2:9" ht="12.75">
      <c r="B526" s="97"/>
      <c r="C526" s="75"/>
      <c r="D526" s="187"/>
      <c r="E526" s="45">
        <v>2105</v>
      </c>
      <c r="F526" s="61">
        <v>2000</v>
      </c>
      <c r="G526" s="185"/>
      <c r="H526" s="98"/>
      <c r="I526" s="452"/>
    </row>
    <row r="527" spans="2:9" ht="29.25" customHeight="1">
      <c r="B527" s="97">
        <v>44</v>
      </c>
      <c r="C527" s="224" t="s">
        <v>61</v>
      </c>
      <c r="D527" s="65">
        <f>+F527+F530</f>
        <v>119300</v>
      </c>
      <c r="E527" s="50">
        <v>2000</v>
      </c>
      <c r="F527" s="60">
        <f>SUM(F528:F529)</f>
        <v>4300</v>
      </c>
      <c r="G527" s="185"/>
      <c r="H527" s="98"/>
      <c r="I527" s="452"/>
    </row>
    <row r="528" spans="2:9" ht="12.75">
      <c r="B528" s="97"/>
      <c r="C528" s="75"/>
      <c r="D528" s="37"/>
      <c r="E528" s="45">
        <v>2101</v>
      </c>
      <c r="F528" s="61">
        <v>2000</v>
      </c>
      <c r="G528" s="185"/>
      <c r="H528" s="98"/>
      <c r="I528" s="452"/>
    </row>
    <row r="529" spans="2:9" ht="12.75">
      <c r="B529" s="97"/>
      <c r="C529" s="75"/>
      <c r="D529" s="187"/>
      <c r="E529" s="45">
        <v>2105</v>
      </c>
      <c r="F529" s="61">
        <v>2300</v>
      </c>
      <c r="G529" s="185"/>
      <c r="H529" s="98"/>
      <c r="I529" s="452"/>
    </row>
    <row r="530" spans="2:9" ht="12.75">
      <c r="B530" s="97"/>
      <c r="C530" s="75"/>
      <c r="D530" s="187"/>
      <c r="E530" s="50">
        <v>3000</v>
      </c>
      <c r="F530" s="60">
        <f>SUM(F531:F532)</f>
        <v>115000</v>
      </c>
      <c r="G530" s="185"/>
      <c r="H530" s="98"/>
      <c r="I530" s="452"/>
    </row>
    <row r="531" spans="2:9" ht="12.75">
      <c r="B531" s="97"/>
      <c r="C531" s="75"/>
      <c r="D531" s="187"/>
      <c r="E531" s="38">
        <v>3301</v>
      </c>
      <c r="F531" s="61">
        <v>25000</v>
      </c>
      <c r="G531" s="185"/>
      <c r="H531" s="98"/>
      <c r="I531" s="452"/>
    </row>
    <row r="532" spans="2:9" ht="12.75">
      <c r="B532" s="97"/>
      <c r="C532" s="75"/>
      <c r="D532" s="52"/>
      <c r="E532" s="38">
        <v>3608</v>
      </c>
      <c r="F532" s="61">
        <v>90000</v>
      </c>
      <c r="G532" s="185"/>
      <c r="H532" s="98"/>
      <c r="I532" s="452"/>
    </row>
    <row r="533" spans="2:9" ht="25.5">
      <c r="B533" s="97">
        <v>45</v>
      </c>
      <c r="C533" s="224" t="s">
        <v>63</v>
      </c>
      <c r="D533" s="73">
        <f>+F533+F537+F544</f>
        <v>1002000</v>
      </c>
      <c r="E533" s="50">
        <v>2000</v>
      </c>
      <c r="F533" s="60">
        <f>SUM(F534:F536)</f>
        <v>80000</v>
      </c>
      <c r="G533" s="185"/>
      <c r="H533" s="98"/>
      <c r="I533" s="452"/>
    </row>
    <row r="534" spans="2:9" ht="12.75">
      <c r="B534" s="97"/>
      <c r="C534" s="75"/>
      <c r="D534" s="37"/>
      <c r="E534" s="45">
        <v>2101</v>
      </c>
      <c r="F534" s="61">
        <f>5000+5000+10000+20000</f>
        <v>40000</v>
      </c>
      <c r="G534" s="185"/>
      <c r="H534" s="98"/>
      <c r="I534" s="452"/>
    </row>
    <row r="535" spans="2:9" ht="12.75">
      <c r="B535" s="97"/>
      <c r="C535" s="75"/>
      <c r="D535" s="187"/>
      <c r="E535" s="45">
        <v>2201</v>
      </c>
      <c r="F535" s="61">
        <v>30000</v>
      </c>
      <c r="G535" s="185"/>
      <c r="H535" s="98"/>
      <c r="I535" s="452"/>
    </row>
    <row r="536" spans="2:9" ht="12.75">
      <c r="B536" s="97"/>
      <c r="C536" s="75"/>
      <c r="D536" s="187"/>
      <c r="E536" s="45">
        <v>2304</v>
      </c>
      <c r="F536" s="61">
        <v>10000</v>
      </c>
      <c r="G536" s="185"/>
      <c r="H536" s="98"/>
      <c r="I536" s="452"/>
    </row>
    <row r="537" spans="2:9" ht="12.75">
      <c r="B537" s="97"/>
      <c r="C537" s="75"/>
      <c r="D537" s="187"/>
      <c r="E537" s="50">
        <v>3000</v>
      </c>
      <c r="F537" s="60">
        <f>SUM(F538:F543)</f>
        <v>822000</v>
      </c>
      <c r="G537" s="185"/>
      <c r="H537" s="98"/>
      <c r="I537" s="452"/>
    </row>
    <row r="538" spans="2:9" ht="12.75">
      <c r="B538" s="97"/>
      <c r="C538" s="75"/>
      <c r="D538" s="187"/>
      <c r="E538" s="38">
        <v>3301</v>
      </c>
      <c r="F538" s="392">
        <f>10000+25000+600000</f>
        <v>635000</v>
      </c>
      <c r="G538" s="185"/>
      <c r="H538" s="98"/>
      <c r="I538" s="452"/>
    </row>
    <row r="539" spans="2:9" ht="12.75">
      <c r="B539" s="97"/>
      <c r="C539" s="75"/>
      <c r="D539" s="187"/>
      <c r="E539" s="38">
        <v>3303</v>
      </c>
      <c r="F539" s="61">
        <v>15000</v>
      </c>
      <c r="G539" s="185"/>
      <c r="H539" s="98"/>
      <c r="I539" s="452"/>
    </row>
    <row r="540" spans="2:9" ht="12.75">
      <c r="B540" s="97"/>
      <c r="C540" s="75"/>
      <c r="D540" s="187"/>
      <c r="E540" s="38">
        <v>3306</v>
      </c>
      <c r="F540" s="61">
        <v>20000</v>
      </c>
      <c r="G540" s="185"/>
      <c r="H540" s="98"/>
      <c r="I540" s="452"/>
    </row>
    <row r="541" spans="2:9" ht="12.75">
      <c r="B541" s="97"/>
      <c r="C541" s="75"/>
      <c r="D541" s="187"/>
      <c r="E541" s="38">
        <v>3701</v>
      </c>
      <c r="F541" s="61">
        <f>15000+33000</f>
        <v>48000</v>
      </c>
      <c r="G541" s="109" t="s">
        <v>232</v>
      </c>
      <c r="H541" s="98"/>
      <c r="I541" s="452"/>
    </row>
    <row r="542" spans="2:9" ht="12.75">
      <c r="B542" s="97"/>
      <c r="C542" s="75"/>
      <c r="D542" s="187"/>
      <c r="E542" s="38">
        <v>3702</v>
      </c>
      <c r="F542" s="61">
        <f>20000+24000+50000</f>
        <v>94000</v>
      </c>
      <c r="G542" s="109" t="s">
        <v>232</v>
      </c>
      <c r="H542" s="98"/>
      <c r="I542" s="452"/>
    </row>
    <row r="543" spans="2:9" ht="12.75">
      <c r="B543" s="97"/>
      <c r="C543" s="75"/>
      <c r="D543" s="187"/>
      <c r="E543" s="38">
        <v>3703</v>
      </c>
      <c r="F543" s="61">
        <v>10000</v>
      </c>
      <c r="G543" s="185"/>
      <c r="H543" s="98"/>
      <c r="I543" s="452"/>
    </row>
    <row r="544" spans="2:9" ht="12.75">
      <c r="B544" s="97"/>
      <c r="C544" s="75"/>
      <c r="D544" s="187"/>
      <c r="E544" s="52">
        <v>5000</v>
      </c>
      <c r="F544" s="60">
        <f>SUM(F545:F546)</f>
        <v>100000</v>
      </c>
      <c r="G544" s="185"/>
      <c r="H544" s="98"/>
      <c r="I544" s="452"/>
    </row>
    <row r="545" spans="2:9" ht="12.75">
      <c r="B545" s="97"/>
      <c r="C545" s="75"/>
      <c r="D545" s="187"/>
      <c r="E545" s="38">
        <v>5101</v>
      </c>
      <c r="F545" s="61">
        <v>55000</v>
      </c>
      <c r="G545" s="185"/>
      <c r="H545" s="98"/>
      <c r="I545" s="452"/>
    </row>
    <row r="546" spans="2:9" ht="12.75">
      <c r="B546" s="97"/>
      <c r="C546" s="186"/>
      <c r="D546" s="201"/>
      <c r="E546" s="38">
        <v>5206</v>
      </c>
      <c r="F546" s="61">
        <v>45000</v>
      </c>
      <c r="G546" s="185"/>
      <c r="H546" s="98"/>
      <c r="I546" s="452"/>
    </row>
    <row r="547" spans="2:9" ht="25.5">
      <c r="B547" s="97">
        <v>46</v>
      </c>
      <c r="C547" s="224" t="s">
        <v>112</v>
      </c>
      <c r="D547" s="99">
        <f>+F547+F550</f>
        <v>7113353</v>
      </c>
      <c r="E547" s="78">
        <v>2000</v>
      </c>
      <c r="F547" s="79">
        <f>SUM(F548:F549)</f>
        <v>106150</v>
      </c>
      <c r="G547" s="107"/>
      <c r="H547" s="98"/>
      <c r="I547" s="452"/>
    </row>
    <row r="548" spans="2:9" ht="12.75">
      <c r="B548" s="97"/>
      <c r="C548" s="75"/>
      <c r="D548" s="100"/>
      <c r="E548" s="44">
        <v>2104</v>
      </c>
      <c r="F548" s="58">
        <v>90000</v>
      </c>
      <c r="G548" s="109"/>
      <c r="H548" s="98"/>
      <c r="I548" s="452"/>
    </row>
    <row r="549" spans="2:9" ht="12.75">
      <c r="B549" s="97"/>
      <c r="C549" s="75"/>
      <c r="D549" s="100"/>
      <c r="E549" s="44">
        <v>2207</v>
      </c>
      <c r="F549" s="390">
        <v>16150</v>
      </c>
      <c r="G549" s="109"/>
      <c r="H549" s="98"/>
      <c r="I549" s="452"/>
    </row>
    <row r="550" spans="2:9" ht="12.75">
      <c r="B550" s="97"/>
      <c r="C550" s="75"/>
      <c r="D550" s="100"/>
      <c r="E550" s="49">
        <v>3000</v>
      </c>
      <c r="F550" s="59">
        <f>SUM(F551:F570)</f>
        <v>7007203</v>
      </c>
      <c r="G550" s="109"/>
      <c r="H550" s="98"/>
      <c r="I550" s="452"/>
    </row>
    <row r="551" spans="2:9" ht="12.75">
      <c r="B551" s="97"/>
      <c r="C551" s="75"/>
      <c r="D551" s="100"/>
      <c r="E551" s="44">
        <v>3103</v>
      </c>
      <c r="F551" s="390">
        <v>466366</v>
      </c>
      <c r="G551" s="109"/>
      <c r="H551" s="98"/>
      <c r="I551" s="452"/>
    </row>
    <row r="552" spans="2:9" ht="12.75">
      <c r="B552" s="97"/>
      <c r="C552" s="75"/>
      <c r="D552" s="100"/>
      <c r="E552" s="44">
        <v>3104</v>
      </c>
      <c r="F552" s="390">
        <v>744000</v>
      </c>
      <c r="G552" s="109"/>
      <c r="H552" s="98"/>
      <c r="I552" s="452"/>
    </row>
    <row r="553" spans="2:9" ht="12.75">
      <c r="B553" s="97"/>
      <c r="C553" s="75"/>
      <c r="D553" s="100"/>
      <c r="E553" s="44">
        <v>3106</v>
      </c>
      <c r="F553" s="58">
        <v>26250</v>
      </c>
      <c r="G553" s="109"/>
      <c r="H553" s="98"/>
      <c r="I553" s="452"/>
    </row>
    <row r="554" spans="2:9" ht="12.75">
      <c r="B554" s="97"/>
      <c r="C554" s="75"/>
      <c r="D554" s="100"/>
      <c r="E554" s="44">
        <v>3107</v>
      </c>
      <c r="F554" s="58">
        <v>0</v>
      </c>
      <c r="G554" s="109"/>
      <c r="H554" s="98"/>
      <c r="I554" s="452"/>
    </row>
    <row r="555" spans="2:9" ht="12.75">
      <c r="B555" s="97"/>
      <c r="C555" s="75"/>
      <c r="D555" s="100"/>
      <c r="E555" s="44">
        <v>3108</v>
      </c>
      <c r="F555" s="58">
        <v>0</v>
      </c>
      <c r="G555" s="109"/>
      <c r="H555" s="98"/>
      <c r="I555" s="452"/>
    </row>
    <row r="556" spans="2:9" ht="12.75">
      <c r="B556" s="97"/>
      <c r="C556" s="75"/>
      <c r="D556" s="100"/>
      <c r="E556" s="44">
        <v>3109</v>
      </c>
      <c r="F556" s="58">
        <v>0</v>
      </c>
      <c r="G556" s="109"/>
      <c r="H556" s="98"/>
      <c r="I556" s="452"/>
    </row>
    <row r="557" spans="2:9" ht="12.75">
      <c r="B557" s="97"/>
      <c r="C557" s="75"/>
      <c r="D557" s="100"/>
      <c r="E557" s="44">
        <v>3201</v>
      </c>
      <c r="F557" s="390">
        <v>2591100</v>
      </c>
      <c r="G557" s="109"/>
      <c r="H557" s="98"/>
      <c r="I557" s="452"/>
    </row>
    <row r="558" spans="2:9" ht="12.75">
      <c r="B558" s="97"/>
      <c r="C558" s="75"/>
      <c r="D558" s="100"/>
      <c r="E558" s="44">
        <v>3202</v>
      </c>
      <c r="F558" s="58">
        <v>130000</v>
      </c>
      <c r="G558" s="109"/>
      <c r="H558" s="98"/>
      <c r="I558" s="452"/>
    </row>
    <row r="559" spans="2:9" ht="12.75">
      <c r="B559" s="97"/>
      <c r="C559" s="75"/>
      <c r="D559" s="100"/>
      <c r="E559" s="44">
        <v>3203</v>
      </c>
      <c r="F559" s="58">
        <v>130000</v>
      </c>
      <c r="G559" s="109"/>
      <c r="H559" s="98"/>
      <c r="I559" s="452"/>
    </row>
    <row r="560" spans="2:9" ht="12.75">
      <c r="B560" s="97"/>
      <c r="C560" s="75"/>
      <c r="D560" s="100"/>
      <c r="E560" s="44">
        <v>3204</v>
      </c>
      <c r="F560" s="58">
        <v>63000</v>
      </c>
      <c r="G560" s="109"/>
      <c r="H560" s="98"/>
      <c r="I560" s="452"/>
    </row>
    <row r="561" spans="2:9" ht="12.75">
      <c r="B561" s="97"/>
      <c r="C561" s="75"/>
      <c r="D561" s="100"/>
      <c r="E561" s="44">
        <v>3205</v>
      </c>
      <c r="F561" s="58">
        <v>15000</v>
      </c>
      <c r="G561" s="109"/>
      <c r="H561" s="98"/>
      <c r="I561" s="452"/>
    </row>
    <row r="562" spans="2:9" ht="12.75">
      <c r="B562" s="97"/>
      <c r="C562" s="75"/>
      <c r="D562" s="100"/>
      <c r="E562" s="44">
        <v>3207</v>
      </c>
      <c r="F562" s="390">
        <v>0</v>
      </c>
      <c r="G562" s="109"/>
      <c r="H562" s="98"/>
      <c r="I562" s="452"/>
    </row>
    <row r="563" spans="2:9" ht="12.75">
      <c r="B563" s="97"/>
      <c r="C563" s="75"/>
      <c r="D563" s="100"/>
      <c r="E563" s="44">
        <v>3301</v>
      </c>
      <c r="F563" s="58">
        <v>150000</v>
      </c>
      <c r="G563" s="109"/>
      <c r="H563" s="98"/>
      <c r="I563" s="452"/>
    </row>
    <row r="564" spans="2:9" ht="12.75">
      <c r="B564" s="97"/>
      <c r="C564" s="75"/>
      <c r="D564" s="100"/>
      <c r="E564" s="44">
        <v>3303</v>
      </c>
      <c r="F564" s="58">
        <v>1138500</v>
      </c>
      <c r="G564" s="109"/>
      <c r="H564" s="98"/>
      <c r="I564" s="452"/>
    </row>
    <row r="565" spans="2:9" ht="12.75">
      <c r="B565" s="97"/>
      <c r="C565" s="75"/>
      <c r="D565" s="100"/>
      <c r="E565" s="44">
        <v>3304</v>
      </c>
      <c r="F565" s="58">
        <v>15000</v>
      </c>
      <c r="G565" s="109"/>
      <c r="H565" s="98"/>
      <c r="I565" s="452"/>
    </row>
    <row r="566" spans="2:9" ht="12.75">
      <c r="B566" s="97"/>
      <c r="C566" s="75"/>
      <c r="D566" s="100"/>
      <c r="E566" s="44">
        <v>3401</v>
      </c>
      <c r="F566" s="58">
        <v>117500</v>
      </c>
      <c r="G566" s="109"/>
      <c r="H566" s="98"/>
      <c r="I566" s="452"/>
    </row>
    <row r="567" spans="2:9" ht="12.75">
      <c r="B567" s="97"/>
      <c r="C567" s="75"/>
      <c r="D567" s="100"/>
      <c r="E567" s="44">
        <v>3407</v>
      </c>
      <c r="F567" s="58">
        <v>1141087</v>
      </c>
      <c r="G567" s="109"/>
      <c r="H567" s="98"/>
      <c r="I567" s="452"/>
    </row>
    <row r="568" spans="2:9" ht="12.75">
      <c r="B568" s="97"/>
      <c r="C568" s="75"/>
      <c r="D568" s="100"/>
      <c r="E568" s="44">
        <v>3504</v>
      </c>
      <c r="F568" s="58">
        <v>62400</v>
      </c>
      <c r="G568" s="109"/>
      <c r="H568" s="98"/>
      <c r="I568" s="452"/>
    </row>
    <row r="569" spans="2:9" ht="12.75">
      <c r="B569" s="97"/>
      <c r="C569" s="75"/>
      <c r="D569" s="100"/>
      <c r="E569" s="44">
        <v>3606</v>
      </c>
      <c r="F569" s="58">
        <v>57000</v>
      </c>
      <c r="G569" s="109"/>
      <c r="H569" s="98"/>
      <c r="I569" s="452"/>
    </row>
    <row r="570" spans="2:9" ht="12.75">
      <c r="B570" s="97"/>
      <c r="C570" s="76"/>
      <c r="D570" s="100"/>
      <c r="E570" s="44">
        <v>3608</v>
      </c>
      <c r="F570" s="58">
        <v>160000</v>
      </c>
      <c r="G570" s="109"/>
      <c r="H570" s="98"/>
      <c r="I570" s="452"/>
    </row>
    <row r="571" spans="2:9" ht="25.5">
      <c r="B571" s="97">
        <v>47</v>
      </c>
      <c r="C571" s="224" t="s">
        <v>92</v>
      </c>
      <c r="D571" s="101">
        <f>+F571+F573</f>
        <v>4410000</v>
      </c>
      <c r="E571" s="49">
        <v>2000</v>
      </c>
      <c r="F571" s="59">
        <f>SUM(F572)</f>
        <v>1320000</v>
      </c>
      <c r="G571" s="109"/>
      <c r="H571" s="98"/>
      <c r="I571" s="452"/>
    </row>
    <row r="572" spans="2:9" ht="12.75">
      <c r="B572" s="97"/>
      <c r="C572" s="75"/>
      <c r="D572" s="100"/>
      <c r="E572" s="44">
        <v>2601</v>
      </c>
      <c r="F572" s="390">
        <v>1320000</v>
      </c>
      <c r="G572" s="109" t="s">
        <v>154</v>
      </c>
      <c r="H572" s="98"/>
      <c r="I572" s="452"/>
    </row>
    <row r="573" spans="2:9" ht="12.75">
      <c r="B573" s="97"/>
      <c r="C573" s="75"/>
      <c r="D573" s="100"/>
      <c r="E573" s="49">
        <v>3000</v>
      </c>
      <c r="F573" s="59">
        <f>SUM(F574:F584)</f>
        <v>3090000</v>
      </c>
      <c r="G573" s="109"/>
      <c r="H573" s="98"/>
      <c r="I573" s="452"/>
    </row>
    <row r="574" spans="2:9" ht="12.75">
      <c r="B574" s="97"/>
      <c r="C574" s="75"/>
      <c r="D574" s="100"/>
      <c r="E574" s="44">
        <v>3408</v>
      </c>
      <c r="F574" s="390">
        <v>1500000</v>
      </c>
      <c r="G574" s="109"/>
      <c r="H574" s="98"/>
      <c r="I574" s="452"/>
    </row>
    <row r="575" spans="2:9" ht="12.75">
      <c r="B575" s="97"/>
      <c r="C575" s="75"/>
      <c r="D575" s="100"/>
      <c r="E575" s="44">
        <v>3501</v>
      </c>
      <c r="F575" s="58">
        <v>25000</v>
      </c>
      <c r="G575" s="109"/>
      <c r="H575" s="98"/>
      <c r="I575" s="452"/>
    </row>
    <row r="576" spans="2:9" ht="12.75">
      <c r="B576" s="97"/>
      <c r="C576" s="75"/>
      <c r="D576" s="100"/>
      <c r="E576" s="44">
        <v>3502</v>
      </c>
      <c r="F576" s="58">
        <v>70000</v>
      </c>
      <c r="G576" s="109"/>
      <c r="H576" s="98"/>
      <c r="I576" s="452"/>
    </row>
    <row r="577" spans="2:9" ht="12.75">
      <c r="B577" s="97"/>
      <c r="C577" s="75"/>
      <c r="D577" s="100"/>
      <c r="E577" s="44">
        <v>3505</v>
      </c>
      <c r="F577" s="58">
        <v>750000</v>
      </c>
      <c r="G577" s="109"/>
      <c r="H577" s="98"/>
      <c r="I577" s="452"/>
    </row>
    <row r="578" spans="2:9" ht="12.75">
      <c r="B578" s="97"/>
      <c r="C578" s="75"/>
      <c r="D578" s="100"/>
      <c r="E578" s="44">
        <v>3506</v>
      </c>
      <c r="F578" s="58">
        <v>3000</v>
      </c>
      <c r="G578" s="109"/>
      <c r="H578" s="98"/>
      <c r="I578" s="452"/>
    </row>
    <row r="579" spans="2:9" ht="12.75">
      <c r="B579" s="97"/>
      <c r="C579" s="75"/>
      <c r="D579" s="100"/>
      <c r="E579" s="44">
        <v>3507</v>
      </c>
      <c r="F579" s="58">
        <v>500000</v>
      </c>
      <c r="G579" s="109"/>
      <c r="H579" s="98"/>
      <c r="I579" s="452"/>
    </row>
    <row r="580" spans="2:9" ht="12.75">
      <c r="B580" s="97"/>
      <c r="C580" s="75"/>
      <c r="D580" s="100"/>
      <c r="E580" s="44">
        <v>3515</v>
      </c>
      <c r="F580" s="58">
        <v>30000</v>
      </c>
      <c r="G580" s="109"/>
      <c r="H580" s="98"/>
      <c r="I580" s="452"/>
    </row>
    <row r="581" spans="2:9" ht="12.75">
      <c r="B581" s="97"/>
      <c r="C581" s="75"/>
      <c r="D581" s="100"/>
      <c r="E581" s="44">
        <v>3516</v>
      </c>
      <c r="F581" s="58">
        <v>2000</v>
      </c>
      <c r="G581" s="109"/>
      <c r="H581" s="98"/>
      <c r="I581" s="452"/>
    </row>
    <row r="582" spans="2:9" ht="12.75">
      <c r="B582" s="97"/>
      <c r="C582" s="75"/>
      <c r="D582" s="100"/>
      <c r="E582" s="44">
        <v>3702</v>
      </c>
      <c r="F582" s="58">
        <v>150000</v>
      </c>
      <c r="G582" s="109" t="s">
        <v>232</v>
      </c>
      <c r="H582" s="98"/>
      <c r="I582" s="452"/>
    </row>
    <row r="583" spans="2:9" ht="12.75">
      <c r="B583" s="97"/>
      <c r="C583" s="75"/>
      <c r="D583" s="100"/>
      <c r="E583" s="44">
        <v>3703</v>
      </c>
      <c r="F583" s="58">
        <v>30000</v>
      </c>
      <c r="G583" s="109"/>
      <c r="H583" s="98"/>
      <c r="I583" s="452"/>
    </row>
    <row r="584" spans="2:9" ht="12.75">
      <c r="B584" s="97"/>
      <c r="C584" s="76"/>
      <c r="D584" s="100"/>
      <c r="E584" s="44">
        <v>3903</v>
      </c>
      <c r="F584" s="58">
        <v>30000</v>
      </c>
      <c r="G584" s="109"/>
      <c r="H584" s="98"/>
      <c r="I584" s="452"/>
    </row>
    <row r="585" spans="2:9" ht="25.5">
      <c r="B585" s="97">
        <v>48</v>
      </c>
      <c r="C585" s="224" t="s">
        <v>94</v>
      </c>
      <c r="D585" s="48">
        <f>+F585</f>
        <v>857265</v>
      </c>
      <c r="E585" s="49">
        <v>3000</v>
      </c>
      <c r="F585" s="59">
        <f>SUM(F586:F591)</f>
        <v>857265</v>
      </c>
      <c r="G585" s="109"/>
      <c r="H585" s="98"/>
      <c r="I585" s="452"/>
    </row>
    <row r="586" spans="2:9" ht="12.75">
      <c r="B586" s="97"/>
      <c r="C586" s="75"/>
      <c r="D586" s="48"/>
      <c r="E586" s="44">
        <v>3406</v>
      </c>
      <c r="F586" s="58">
        <v>75000</v>
      </c>
      <c r="G586" s="109"/>
      <c r="H586" s="98"/>
      <c r="I586" s="452"/>
    </row>
    <row r="587" spans="2:9" ht="12.75">
      <c r="B587" s="97"/>
      <c r="C587" s="75"/>
      <c r="D587" s="49"/>
      <c r="E587" s="44">
        <v>3503</v>
      </c>
      <c r="F587" s="58">
        <v>196265</v>
      </c>
      <c r="G587" s="109"/>
      <c r="H587" s="98"/>
      <c r="I587" s="452"/>
    </row>
    <row r="588" spans="2:9" ht="12.75">
      <c r="B588" s="97"/>
      <c r="C588" s="75"/>
      <c r="D588" s="49"/>
      <c r="E588" s="44">
        <v>3514</v>
      </c>
      <c r="F588" s="58">
        <v>196000</v>
      </c>
      <c r="G588" s="109"/>
      <c r="H588" s="98"/>
      <c r="I588" s="452"/>
    </row>
    <row r="589" spans="2:9" ht="12.75">
      <c r="B589" s="97"/>
      <c r="C589" s="75"/>
      <c r="D589" s="49"/>
      <c r="E589" s="44">
        <v>3702</v>
      </c>
      <c r="F589" s="58">
        <v>300000</v>
      </c>
      <c r="G589" s="109" t="s">
        <v>232</v>
      </c>
      <c r="H589" s="98"/>
      <c r="I589" s="452"/>
    </row>
    <row r="590" spans="2:9" ht="12.75">
      <c r="B590" s="97"/>
      <c r="C590" s="75"/>
      <c r="D590" s="49"/>
      <c r="E590" s="44">
        <v>3703</v>
      </c>
      <c r="F590" s="58">
        <v>50000</v>
      </c>
      <c r="G590" s="109"/>
      <c r="H590" s="98"/>
      <c r="I590" s="452"/>
    </row>
    <row r="591" spans="2:9" ht="12.75">
      <c r="B591" s="97"/>
      <c r="C591" s="76"/>
      <c r="D591" s="49"/>
      <c r="E591" s="44">
        <v>3903</v>
      </c>
      <c r="F591" s="58">
        <v>40000</v>
      </c>
      <c r="G591" s="109"/>
      <c r="H591" s="98"/>
      <c r="I591" s="452"/>
    </row>
    <row r="592" spans="2:9" ht="25.5">
      <c r="B592" s="97">
        <v>49</v>
      </c>
      <c r="C592" s="224" t="s">
        <v>96</v>
      </c>
      <c r="D592" s="48">
        <f>+F592</f>
        <v>762561.25</v>
      </c>
      <c r="E592" s="49">
        <v>3000</v>
      </c>
      <c r="F592" s="59">
        <f>SUM(F593)</f>
        <v>762561.25</v>
      </c>
      <c r="G592" s="109"/>
      <c r="H592" s="98"/>
      <c r="I592" s="452"/>
    </row>
    <row r="593" spans="2:9" ht="12.75">
      <c r="B593" s="97"/>
      <c r="C593" s="75"/>
      <c r="D593" s="49"/>
      <c r="E593" s="44">
        <v>3403</v>
      </c>
      <c r="F593" s="390">
        <v>762561.25</v>
      </c>
      <c r="G593" s="109"/>
      <c r="H593" s="98"/>
      <c r="I593" s="452"/>
    </row>
    <row r="594" spans="2:9" ht="12.75">
      <c r="B594" s="97">
        <v>50</v>
      </c>
      <c r="C594" s="394" t="s">
        <v>12</v>
      </c>
      <c r="D594" s="48">
        <f>+F594</f>
        <v>150000</v>
      </c>
      <c r="E594" s="49">
        <v>3000</v>
      </c>
      <c r="F594" s="59">
        <f>SUM(F595:F597)</f>
        <v>150000</v>
      </c>
      <c r="G594" s="107"/>
      <c r="H594" s="98"/>
      <c r="I594" s="452"/>
    </row>
    <row r="595" spans="2:9" ht="12.75">
      <c r="B595" s="97"/>
      <c r="C595" s="75"/>
      <c r="D595" s="49"/>
      <c r="E595" s="44">
        <v>3702</v>
      </c>
      <c r="F595" s="390">
        <v>0</v>
      </c>
      <c r="G595" s="107"/>
      <c r="H595" s="98"/>
      <c r="I595" s="452"/>
    </row>
    <row r="596" spans="2:9" ht="12.75">
      <c r="B596" s="97"/>
      <c r="C596" s="75"/>
      <c r="D596" s="49"/>
      <c r="E596" s="44">
        <v>3802</v>
      </c>
      <c r="F596" s="58">
        <v>150000</v>
      </c>
      <c r="G596" s="107"/>
      <c r="H596" s="98"/>
      <c r="I596" s="452"/>
    </row>
    <row r="597" spans="2:14" ht="12.75">
      <c r="B597" s="97"/>
      <c r="C597" s="76"/>
      <c r="D597" s="49"/>
      <c r="E597" s="44">
        <v>3906</v>
      </c>
      <c r="F597" s="390">
        <v>0</v>
      </c>
      <c r="G597" s="107"/>
      <c r="H597" s="98"/>
      <c r="I597" s="454" t="s">
        <v>17</v>
      </c>
      <c r="J597" s="455" t="s">
        <v>13</v>
      </c>
      <c r="K597" s="455" t="s">
        <v>14</v>
      </c>
      <c r="L597" s="455" t="s">
        <v>15</v>
      </c>
      <c r="M597" s="455" t="s">
        <v>16</v>
      </c>
      <c r="N597" s="455" t="s">
        <v>89</v>
      </c>
    </row>
    <row r="598" spans="2:14" ht="29.25" customHeight="1">
      <c r="B598" s="97"/>
      <c r="C598" s="75" t="s">
        <v>19</v>
      </c>
      <c r="D598" s="469">
        <f>+F598+F601</f>
        <v>200400</v>
      </c>
      <c r="E598" s="386">
        <v>2000</v>
      </c>
      <c r="F598" s="468">
        <f>SUM(F599:F600)</f>
        <v>30000</v>
      </c>
      <c r="G598" s="107"/>
      <c r="H598" s="98"/>
      <c r="I598" s="454"/>
      <c r="J598" s="455"/>
      <c r="K598" s="455"/>
      <c r="L598" s="455"/>
      <c r="M598" s="455"/>
      <c r="N598" s="455"/>
    </row>
    <row r="599" spans="2:14" ht="12.75">
      <c r="B599" s="97"/>
      <c r="C599" s="75"/>
      <c r="D599" s="386"/>
      <c r="E599" s="42">
        <v>2201</v>
      </c>
      <c r="F599" s="467">
        <v>24000</v>
      </c>
      <c r="G599" s="107"/>
      <c r="H599" s="98"/>
      <c r="I599" s="454"/>
      <c r="J599" s="455"/>
      <c r="K599" s="455"/>
      <c r="L599" s="455"/>
      <c r="M599" s="455"/>
      <c r="N599" s="455"/>
    </row>
    <row r="600" spans="2:14" ht="12.75">
      <c r="B600" s="97"/>
      <c r="C600" s="75"/>
      <c r="D600" s="386"/>
      <c r="E600" s="42">
        <v>2601</v>
      </c>
      <c r="F600" s="467">
        <v>6000</v>
      </c>
      <c r="G600" s="107"/>
      <c r="H600" s="98"/>
      <c r="I600" s="454"/>
      <c r="J600" s="455"/>
      <c r="K600" s="455"/>
      <c r="L600" s="455"/>
      <c r="M600" s="455"/>
      <c r="N600" s="455"/>
    </row>
    <row r="601" spans="2:14" ht="12.75">
      <c r="B601" s="97"/>
      <c r="C601" s="75"/>
      <c r="D601" s="386"/>
      <c r="E601" s="386">
        <v>3000</v>
      </c>
      <c r="F601" s="468">
        <f>SUM(F602:F606)</f>
        <v>170400</v>
      </c>
      <c r="G601" s="107"/>
      <c r="H601" s="98"/>
      <c r="I601" s="454"/>
      <c r="J601" s="455"/>
      <c r="K601" s="455"/>
      <c r="L601" s="455"/>
      <c r="M601" s="455"/>
      <c r="N601" s="455"/>
    </row>
    <row r="602" spans="2:14" ht="12.75">
      <c r="B602" s="97"/>
      <c r="C602" s="75"/>
      <c r="D602" s="386"/>
      <c r="E602" s="42">
        <v>3103</v>
      </c>
      <c r="F602" s="467">
        <v>6000</v>
      </c>
      <c r="G602" s="107"/>
      <c r="H602" s="98"/>
      <c r="I602" s="454"/>
      <c r="J602" s="455"/>
      <c r="K602" s="455"/>
      <c r="L602" s="455"/>
      <c r="M602" s="455"/>
      <c r="N602" s="455"/>
    </row>
    <row r="603" spans="2:14" ht="12.75">
      <c r="B603" s="97"/>
      <c r="C603" s="75"/>
      <c r="D603" s="386"/>
      <c r="E603" s="42">
        <v>3505</v>
      </c>
      <c r="F603" s="467">
        <v>24000</v>
      </c>
      <c r="G603" s="107"/>
      <c r="H603" s="98"/>
      <c r="I603" s="454"/>
      <c r="J603" s="455"/>
      <c r="K603" s="455"/>
      <c r="L603" s="455"/>
      <c r="M603" s="455"/>
      <c r="N603" s="455"/>
    </row>
    <row r="604" spans="2:14" ht="12.75">
      <c r="B604" s="97"/>
      <c r="C604" s="75"/>
      <c r="D604" s="386"/>
      <c r="E604" s="42">
        <v>3701</v>
      </c>
      <c r="F604" s="467">
        <v>24000</v>
      </c>
      <c r="G604" s="107"/>
      <c r="H604" s="98"/>
      <c r="I604" s="454"/>
      <c r="J604" s="455"/>
      <c r="K604" s="455"/>
      <c r="L604" s="455"/>
      <c r="M604" s="455"/>
      <c r="N604" s="455"/>
    </row>
    <row r="605" spans="2:14" ht="12.75">
      <c r="B605" s="97"/>
      <c r="C605" s="75"/>
      <c r="D605" s="386"/>
      <c r="E605" s="42">
        <v>3702</v>
      </c>
      <c r="F605" s="467">
        <v>96000</v>
      </c>
      <c r="G605" s="107"/>
      <c r="H605" s="98"/>
      <c r="I605" s="454"/>
      <c r="J605" s="455"/>
      <c r="K605" s="455"/>
      <c r="L605" s="455"/>
      <c r="M605" s="455"/>
      <c r="N605" s="455"/>
    </row>
    <row r="606" spans="2:14" ht="12.75">
      <c r="B606" s="97"/>
      <c r="C606" s="75"/>
      <c r="D606" s="386"/>
      <c r="E606" s="42">
        <v>3703</v>
      </c>
      <c r="F606" s="467">
        <v>20400</v>
      </c>
      <c r="G606" s="107"/>
      <c r="H606" s="98"/>
      <c r="I606" s="454"/>
      <c r="J606" s="455"/>
      <c r="K606" s="455"/>
      <c r="L606" s="455"/>
      <c r="M606" s="455"/>
      <c r="N606" s="455"/>
    </row>
    <row r="607" spans="2:14" ht="12.75">
      <c r="B607" s="95"/>
      <c r="C607" s="381" t="s">
        <v>116</v>
      </c>
      <c r="D607" s="382">
        <f>SUM(D608:D671)</f>
        <v>36480094</v>
      </c>
      <c r="E607" s="382"/>
      <c r="F607" s="382">
        <f>SUM(F608:F671)/2</f>
        <v>36480094</v>
      </c>
      <c r="G607" s="447"/>
      <c r="H607" s="96"/>
      <c r="I607" s="456"/>
      <c r="J607" s="456">
        <f>+J608+J627+J659</f>
        <v>1920000</v>
      </c>
      <c r="K607" s="456">
        <f>+K608+K627+K659</f>
        <v>5258026</v>
      </c>
      <c r="L607" s="456">
        <f>+L608+L627+L659</f>
        <v>2047684</v>
      </c>
      <c r="M607" s="456">
        <f>+M608+M627+M659</f>
        <v>1200000</v>
      </c>
      <c r="N607" s="461">
        <f>+N608+N627+N659</f>
        <v>36480094</v>
      </c>
    </row>
    <row r="608" spans="2:14" ht="25.5">
      <c r="B608" s="97">
        <v>51</v>
      </c>
      <c r="C608" s="224" t="s">
        <v>118</v>
      </c>
      <c r="D608" s="48">
        <f>+F608+F627+F659</f>
        <v>36480094</v>
      </c>
      <c r="E608" s="50">
        <v>2000</v>
      </c>
      <c r="F608" s="59">
        <f>SUM(F609:F626)</f>
        <v>6363350</v>
      </c>
      <c r="G608" s="448"/>
      <c r="H608" s="98"/>
      <c r="I608" s="459">
        <f aca="true" t="shared" si="0" ref="I608:N608">SUM(I609:I626)</f>
        <v>6363350</v>
      </c>
      <c r="J608" s="459">
        <f t="shared" si="0"/>
        <v>0</v>
      </c>
      <c r="K608" s="459">
        <f t="shared" si="0"/>
        <v>0</v>
      </c>
      <c r="L608" s="459">
        <f t="shared" si="0"/>
        <v>0</v>
      </c>
      <c r="M608" s="459">
        <f t="shared" si="0"/>
        <v>0</v>
      </c>
      <c r="N608" s="462">
        <f t="shared" si="0"/>
        <v>6363350</v>
      </c>
    </row>
    <row r="609" spans="2:14" ht="12.75">
      <c r="B609" s="97"/>
      <c r="C609" s="75"/>
      <c r="D609" s="49"/>
      <c r="E609" s="45">
        <v>2101</v>
      </c>
      <c r="F609" s="58">
        <f>+N609</f>
        <v>980000</v>
      </c>
      <c r="G609" s="448"/>
      <c r="H609" s="98"/>
      <c r="I609" s="458">
        <v>980000</v>
      </c>
      <c r="J609" s="457"/>
      <c r="K609" s="457"/>
      <c r="L609" s="457"/>
      <c r="M609" s="457"/>
      <c r="N609" s="463">
        <f>+L609+K609+J609+M609+I609</f>
        <v>980000</v>
      </c>
    </row>
    <row r="610" spans="2:14" ht="12.75">
      <c r="B610" s="97"/>
      <c r="C610" s="75"/>
      <c r="D610" s="49"/>
      <c r="E610" s="45">
        <v>2102</v>
      </c>
      <c r="F610" s="464">
        <f aca="true" t="shared" si="1" ref="F610:F626">+N610</f>
        <v>390000</v>
      </c>
      <c r="G610" s="448"/>
      <c r="H610" s="98"/>
      <c r="I610" s="458">
        <v>390000</v>
      </c>
      <c r="J610" s="457"/>
      <c r="K610" s="457"/>
      <c r="L610" s="457"/>
      <c r="M610" s="457"/>
      <c r="N610" s="463">
        <f aca="true" t="shared" si="2" ref="N610:N671">+L610+K610+J610+M610+I610</f>
        <v>390000</v>
      </c>
    </row>
    <row r="611" spans="2:14" ht="12.75">
      <c r="B611" s="97"/>
      <c r="C611" s="75"/>
      <c r="D611" s="49"/>
      <c r="E611" s="45">
        <v>2103</v>
      </c>
      <c r="F611" s="464">
        <f t="shared" si="1"/>
        <v>600000</v>
      </c>
      <c r="G611" s="448"/>
      <c r="H611" s="98"/>
      <c r="I611" s="458">
        <v>600000</v>
      </c>
      <c r="J611" s="457"/>
      <c r="K611" s="457"/>
      <c r="L611" s="457"/>
      <c r="M611" s="457"/>
      <c r="N611" s="463">
        <f t="shared" si="2"/>
        <v>600000</v>
      </c>
    </row>
    <row r="612" spans="2:14" ht="12.75">
      <c r="B612" s="97"/>
      <c r="C612" s="75"/>
      <c r="D612" s="49"/>
      <c r="E612" s="45">
        <v>2104</v>
      </c>
      <c r="F612" s="464">
        <f t="shared" si="1"/>
        <v>636000</v>
      </c>
      <c r="G612" s="448"/>
      <c r="H612" s="98"/>
      <c r="I612" s="458">
        <v>636000</v>
      </c>
      <c r="J612" s="457"/>
      <c r="K612" s="457"/>
      <c r="L612" s="457"/>
      <c r="M612" s="457"/>
      <c r="N612" s="463">
        <f t="shared" si="2"/>
        <v>636000</v>
      </c>
    </row>
    <row r="613" spans="2:14" ht="12.75">
      <c r="B613" s="97"/>
      <c r="C613" s="75"/>
      <c r="D613" s="49"/>
      <c r="E613" s="45">
        <v>2105</v>
      </c>
      <c r="F613" s="58">
        <f t="shared" si="1"/>
        <v>960000</v>
      </c>
      <c r="G613" s="448"/>
      <c r="H613" s="98"/>
      <c r="I613" s="458">
        <v>960000</v>
      </c>
      <c r="J613" s="457"/>
      <c r="K613" s="457"/>
      <c r="L613" s="457"/>
      <c r="M613" s="457"/>
      <c r="N613" s="463">
        <f t="shared" si="2"/>
        <v>960000</v>
      </c>
    </row>
    <row r="614" spans="2:14" ht="12.75">
      <c r="B614" s="97"/>
      <c r="C614" s="75"/>
      <c r="D614" s="49"/>
      <c r="E614" s="45">
        <v>2207</v>
      </c>
      <c r="F614" s="464">
        <f t="shared" si="1"/>
        <v>68850</v>
      </c>
      <c r="G614" s="448"/>
      <c r="H614" s="98"/>
      <c r="I614" s="458">
        <v>68850</v>
      </c>
      <c r="J614" s="457"/>
      <c r="K614" s="457"/>
      <c r="L614" s="457"/>
      <c r="M614" s="457"/>
      <c r="N614" s="463">
        <f t="shared" si="2"/>
        <v>68850</v>
      </c>
    </row>
    <row r="615" spans="2:14" ht="12.75">
      <c r="B615" s="97"/>
      <c r="C615" s="75"/>
      <c r="D615" s="49"/>
      <c r="E615" s="45">
        <v>2302</v>
      </c>
      <c r="F615" s="58">
        <f t="shared" si="1"/>
        <v>420000</v>
      </c>
      <c r="G615" s="448"/>
      <c r="H615" s="98"/>
      <c r="I615" s="458">
        <v>420000</v>
      </c>
      <c r="J615" s="457"/>
      <c r="K615" s="457"/>
      <c r="L615" s="457"/>
      <c r="M615" s="457"/>
      <c r="N615" s="463">
        <f t="shared" si="2"/>
        <v>420000</v>
      </c>
    </row>
    <row r="616" spans="2:14" ht="12.75">
      <c r="B616" s="97"/>
      <c r="C616" s="75"/>
      <c r="D616" s="49"/>
      <c r="E616" s="45">
        <v>2304</v>
      </c>
      <c r="F616" s="58">
        <f t="shared" si="1"/>
        <v>175000</v>
      </c>
      <c r="G616" s="448"/>
      <c r="H616" s="98"/>
      <c r="I616" s="458">
        <v>175000</v>
      </c>
      <c r="J616" s="457"/>
      <c r="K616" s="457"/>
      <c r="L616" s="457"/>
      <c r="M616" s="457"/>
      <c r="N616" s="463">
        <f t="shared" si="2"/>
        <v>175000</v>
      </c>
    </row>
    <row r="617" spans="2:14" ht="12.75">
      <c r="B617" s="97"/>
      <c r="C617" s="75"/>
      <c r="D617" s="49"/>
      <c r="E617" s="45">
        <v>2401</v>
      </c>
      <c r="F617" s="58">
        <f t="shared" si="1"/>
        <v>200000</v>
      </c>
      <c r="G617" s="448"/>
      <c r="H617" s="98"/>
      <c r="I617" s="458">
        <v>200000</v>
      </c>
      <c r="J617" s="457"/>
      <c r="K617" s="457"/>
      <c r="L617" s="457"/>
      <c r="M617" s="457"/>
      <c r="N617" s="463">
        <f t="shared" si="2"/>
        <v>200000</v>
      </c>
    </row>
    <row r="618" spans="2:14" ht="12.75">
      <c r="B618" s="97"/>
      <c r="C618" s="75"/>
      <c r="D618" s="49"/>
      <c r="E618" s="45">
        <v>2402</v>
      </c>
      <c r="F618" s="58">
        <f t="shared" si="1"/>
        <v>105000</v>
      </c>
      <c r="G618" s="448"/>
      <c r="H618" s="98"/>
      <c r="I618" s="458">
        <v>105000</v>
      </c>
      <c r="J618" s="457"/>
      <c r="K618" s="457"/>
      <c r="L618" s="457"/>
      <c r="M618" s="457"/>
      <c r="N618" s="463">
        <f t="shared" si="2"/>
        <v>105000</v>
      </c>
    </row>
    <row r="619" spans="2:14" ht="12.75">
      <c r="B619" s="97"/>
      <c r="C619" s="75"/>
      <c r="D619" s="49"/>
      <c r="E619" s="45">
        <v>2403</v>
      </c>
      <c r="F619" s="464">
        <f t="shared" si="1"/>
        <v>365000</v>
      </c>
      <c r="G619" s="448"/>
      <c r="H619" s="98"/>
      <c r="I619" s="458">
        <v>365000</v>
      </c>
      <c r="J619" s="457"/>
      <c r="K619" s="457"/>
      <c r="L619" s="457"/>
      <c r="M619" s="457"/>
      <c r="N619" s="463">
        <f t="shared" si="2"/>
        <v>365000</v>
      </c>
    </row>
    <row r="620" spans="2:14" ht="12.75">
      <c r="B620" s="97"/>
      <c r="C620" s="75"/>
      <c r="D620" s="49"/>
      <c r="E620" s="45">
        <v>2404</v>
      </c>
      <c r="F620" s="464">
        <f t="shared" si="1"/>
        <v>200000</v>
      </c>
      <c r="G620" s="448"/>
      <c r="H620" s="98"/>
      <c r="I620" s="458">
        <v>200000</v>
      </c>
      <c r="J620" s="457"/>
      <c r="K620" s="457"/>
      <c r="L620" s="457"/>
      <c r="M620" s="457"/>
      <c r="N620" s="463">
        <f t="shared" si="2"/>
        <v>200000</v>
      </c>
    </row>
    <row r="621" spans="2:14" ht="12.75">
      <c r="B621" s="97"/>
      <c r="C621" s="75"/>
      <c r="D621" s="49"/>
      <c r="E621" s="45">
        <v>2501</v>
      </c>
      <c r="F621" s="58">
        <f t="shared" si="1"/>
        <v>180000</v>
      </c>
      <c r="G621" s="448"/>
      <c r="H621" s="98"/>
      <c r="I621" s="458">
        <v>180000</v>
      </c>
      <c r="J621" s="457"/>
      <c r="K621" s="457"/>
      <c r="L621" s="457"/>
      <c r="M621" s="457"/>
      <c r="N621" s="463">
        <f t="shared" si="2"/>
        <v>180000</v>
      </c>
    </row>
    <row r="622" spans="2:14" ht="12.75">
      <c r="B622" s="97"/>
      <c r="C622" s="75"/>
      <c r="D622" s="49"/>
      <c r="E622" s="45">
        <v>2502</v>
      </c>
      <c r="F622" s="58">
        <f t="shared" si="1"/>
        <v>3500</v>
      </c>
      <c r="G622" s="448"/>
      <c r="H622" s="98"/>
      <c r="I622" s="458">
        <v>3500</v>
      </c>
      <c r="J622" s="457"/>
      <c r="K622" s="457"/>
      <c r="L622" s="457"/>
      <c r="M622" s="457"/>
      <c r="N622" s="463">
        <f t="shared" si="2"/>
        <v>3500</v>
      </c>
    </row>
    <row r="623" spans="2:14" ht="12.75">
      <c r="B623" s="97"/>
      <c r="C623" s="75"/>
      <c r="D623" s="49"/>
      <c r="E623" s="45">
        <v>2503</v>
      </c>
      <c r="F623" s="58">
        <f t="shared" si="1"/>
        <v>135000</v>
      </c>
      <c r="G623" s="448"/>
      <c r="H623" s="98"/>
      <c r="I623" s="458">
        <v>135000</v>
      </c>
      <c r="J623" s="457"/>
      <c r="K623" s="457"/>
      <c r="L623" s="457"/>
      <c r="M623" s="457"/>
      <c r="N623" s="463">
        <f t="shared" si="2"/>
        <v>135000</v>
      </c>
    </row>
    <row r="624" spans="2:14" ht="12.75">
      <c r="B624" s="97"/>
      <c r="C624" s="75"/>
      <c r="D624" s="49"/>
      <c r="E624" s="45">
        <v>2505</v>
      </c>
      <c r="F624" s="58">
        <f t="shared" si="1"/>
        <v>135000</v>
      </c>
      <c r="G624" s="448"/>
      <c r="H624" s="98"/>
      <c r="I624" s="458">
        <v>135000</v>
      </c>
      <c r="J624" s="457"/>
      <c r="K624" s="457"/>
      <c r="L624" s="457"/>
      <c r="M624" s="457"/>
      <c r="N624" s="463">
        <f t="shared" si="2"/>
        <v>135000</v>
      </c>
    </row>
    <row r="625" spans="2:14" ht="12.75">
      <c r="B625" s="97"/>
      <c r="C625" s="75"/>
      <c r="D625" s="49"/>
      <c r="E625" s="45">
        <v>2701</v>
      </c>
      <c r="F625" s="58">
        <f t="shared" si="1"/>
        <v>630000</v>
      </c>
      <c r="G625" s="448"/>
      <c r="H625" s="98"/>
      <c r="I625" s="458">
        <v>630000</v>
      </c>
      <c r="J625" s="457"/>
      <c r="K625" s="457"/>
      <c r="L625" s="457"/>
      <c r="M625" s="457"/>
      <c r="N625" s="463">
        <f t="shared" si="2"/>
        <v>630000</v>
      </c>
    </row>
    <row r="626" spans="2:14" ht="12.75">
      <c r="B626" s="97"/>
      <c r="C626" s="75"/>
      <c r="D626" s="49"/>
      <c r="E626" s="45">
        <v>2703</v>
      </c>
      <c r="F626" s="58">
        <f t="shared" si="1"/>
        <v>180000</v>
      </c>
      <c r="G626" s="448"/>
      <c r="H626" s="98"/>
      <c r="I626" s="458">
        <v>180000</v>
      </c>
      <c r="J626" s="457"/>
      <c r="K626" s="457"/>
      <c r="L626" s="457"/>
      <c r="M626" s="457"/>
      <c r="N626" s="463">
        <f t="shared" si="2"/>
        <v>180000</v>
      </c>
    </row>
    <row r="627" spans="2:15" ht="12.75">
      <c r="B627" s="97"/>
      <c r="C627" s="75"/>
      <c r="D627" s="49"/>
      <c r="E627" s="50">
        <v>3000</v>
      </c>
      <c r="F627" s="59">
        <f>SUM(F628:F658)</f>
        <v>23904744</v>
      </c>
      <c r="G627" s="448"/>
      <c r="H627" s="98"/>
      <c r="I627" s="460">
        <f aca="true" t="shared" si="3" ref="I627:N627">SUM(I628:I658)</f>
        <v>13479034</v>
      </c>
      <c r="J627" s="460">
        <f t="shared" si="3"/>
        <v>1920000</v>
      </c>
      <c r="K627" s="460">
        <f t="shared" si="3"/>
        <v>5258026</v>
      </c>
      <c r="L627" s="460">
        <f t="shared" si="3"/>
        <v>2047684</v>
      </c>
      <c r="M627" s="460">
        <f t="shared" si="3"/>
        <v>1200000</v>
      </c>
      <c r="N627" s="462">
        <f t="shared" si="3"/>
        <v>23904744</v>
      </c>
      <c r="O627" s="340"/>
    </row>
    <row r="628" spans="2:14" ht="12.75">
      <c r="B628" s="97"/>
      <c r="C628" s="75"/>
      <c r="D628" s="49"/>
      <c r="E628" s="38">
        <v>3103</v>
      </c>
      <c r="F628" s="464">
        <f aca="true" t="shared" si="4" ref="F628:F658">+N628</f>
        <v>1385098</v>
      </c>
      <c r="G628" s="448"/>
      <c r="H628" s="98"/>
      <c r="I628" s="458">
        <v>1385098</v>
      </c>
      <c r="J628" s="457"/>
      <c r="K628" s="457"/>
      <c r="L628" s="457"/>
      <c r="M628" s="457"/>
      <c r="N628" s="463">
        <f t="shared" si="2"/>
        <v>1385098</v>
      </c>
    </row>
    <row r="629" spans="2:14" ht="12.75">
      <c r="B629" s="97"/>
      <c r="C629" s="75"/>
      <c r="D629" s="49"/>
      <c r="E629" s="38">
        <v>3106</v>
      </c>
      <c r="F629" s="464">
        <f t="shared" si="4"/>
        <v>523750</v>
      </c>
      <c r="G629" s="448"/>
      <c r="H629" s="98"/>
      <c r="I629" s="458">
        <v>523750</v>
      </c>
      <c r="J629" s="457"/>
      <c r="K629" s="457"/>
      <c r="L629" s="457"/>
      <c r="M629" s="457"/>
      <c r="N629" s="463">
        <f t="shared" si="2"/>
        <v>523750</v>
      </c>
    </row>
    <row r="630" spans="2:14" ht="12.75">
      <c r="B630" s="97"/>
      <c r="C630" s="75"/>
      <c r="D630" s="49"/>
      <c r="E630" s="38">
        <v>3107</v>
      </c>
      <c r="F630" s="464">
        <f t="shared" si="4"/>
        <v>4310000</v>
      </c>
      <c r="G630" s="448"/>
      <c r="H630" s="98"/>
      <c r="I630" s="458">
        <v>4310000</v>
      </c>
      <c r="J630" s="457"/>
      <c r="K630" s="457"/>
      <c r="L630" s="457"/>
      <c r="M630" s="457"/>
      <c r="N630" s="463">
        <f t="shared" si="2"/>
        <v>4310000</v>
      </c>
    </row>
    <row r="631" spans="2:14" ht="12.75">
      <c r="B631" s="97"/>
      <c r="C631" s="75"/>
      <c r="D631" s="49"/>
      <c r="E631" s="38">
        <v>3108</v>
      </c>
      <c r="F631" s="58">
        <f t="shared" si="4"/>
        <v>841324</v>
      </c>
      <c r="G631" s="448"/>
      <c r="H631" s="98"/>
      <c r="I631" s="458">
        <v>841324</v>
      </c>
      <c r="J631" s="457"/>
      <c r="K631" s="457"/>
      <c r="L631" s="457"/>
      <c r="M631" s="457"/>
      <c r="N631" s="463">
        <f t="shared" si="2"/>
        <v>841324</v>
      </c>
    </row>
    <row r="632" spans="2:14" ht="12.75">
      <c r="B632" s="97"/>
      <c r="C632" s="75"/>
      <c r="D632" s="49"/>
      <c r="E632" s="38">
        <v>3109</v>
      </c>
      <c r="F632" s="58">
        <f t="shared" si="4"/>
        <v>1000000</v>
      </c>
      <c r="G632" s="448"/>
      <c r="H632" s="98"/>
      <c r="I632" s="458">
        <v>1000000</v>
      </c>
      <c r="J632" s="457"/>
      <c r="K632" s="457"/>
      <c r="L632" s="457"/>
      <c r="M632" s="457"/>
      <c r="N632" s="463">
        <f t="shared" si="2"/>
        <v>1000000</v>
      </c>
    </row>
    <row r="633" spans="2:14" ht="12.75">
      <c r="B633" s="97"/>
      <c r="C633" s="75"/>
      <c r="D633" s="49"/>
      <c r="E633" s="38">
        <v>3201</v>
      </c>
      <c r="F633" s="464">
        <f t="shared" si="4"/>
        <v>1298900</v>
      </c>
      <c r="G633" s="448"/>
      <c r="H633" s="98"/>
      <c r="I633" s="458">
        <v>1298900</v>
      </c>
      <c r="J633" s="457"/>
      <c r="K633" s="457"/>
      <c r="L633" s="457"/>
      <c r="M633" s="457"/>
      <c r="N633" s="463">
        <f t="shared" si="2"/>
        <v>1298900</v>
      </c>
    </row>
    <row r="634" spans="2:14" ht="12.75">
      <c r="B634" s="97"/>
      <c r="C634" s="75"/>
      <c r="D634" s="49"/>
      <c r="E634" s="38">
        <v>3202</v>
      </c>
      <c r="F634" s="58">
        <f t="shared" si="4"/>
        <v>520000</v>
      </c>
      <c r="G634" s="448"/>
      <c r="H634" s="98"/>
      <c r="I634" s="458">
        <v>520000</v>
      </c>
      <c r="J634" s="457"/>
      <c r="K634" s="457"/>
      <c r="L634" s="457"/>
      <c r="M634" s="457"/>
      <c r="N634" s="463">
        <f t="shared" si="2"/>
        <v>520000</v>
      </c>
    </row>
    <row r="635" spans="2:14" ht="12.75">
      <c r="B635" s="97"/>
      <c r="C635" s="75"/>
      <c r="D635" s="49"/>
      <c r="E635" s="38">
        <v>3203</v>
      </c>
      <c r="F635" s="58">
        <f t="shared" si="4"/>
        <v>70000</v>
      </c>
      <c r="G635" s="448"/>
      <c r="H635" s="98"/>
      <c r="I635" s="458">
        <v>70000</v>
      </c>
      <c r="J635" s="457"/>
      <c r="K635" s="457"/>
      <c r="L635" s="457"/>
      <c r="M635" s="457"/>
      <c r="N635" s="463">
        <f t="shared" si="2"/>
        <v>70000</v>
      </c>
    </row>
    <row r="636" spans="2:14" ht="12.75">
      <c r="B636" s="97"/>
      <c r="C636" s="75"/>
      <c r="D636" s="49"/>
      <c r="E636" s="38">
        <v>3204</v>
      </c>
      <c r="F636" s="58">
        <f t="shared" si="4"/>
        <v>37000</v>
      </c>
      <c r="G636" s="448"/>
      <c r="H636" s="98"/>
      <c r="I636" s="458">
        <v>37000</v>
      </c>
      <c r="J636" s="457"/>
      <c r="K636" s="457"/>
      <c r="L636" s="457"/>
      <c r="M636" s="457"/>
      <c r="N636" s="463">
        <f t="shared" si="2"/>
        <v>37000</v>
      </c>
    </row>
    <row r="637" spans="2:14" ht="12.75">
      <c r="B637" s="97"/>
      <c r="C637" s="75"/>
      <c r="D637" s="49"/>
      <c r="E637" s="38">
        <v>3207</v>
      </c>
      <c r="F637" s="464">
        <f t="shared" si="4"/>
        <v>0</v>
      </c>
      <c r="G637" s="448"/>
      <c r="H637" s="98"/>
      <c r="I637" s="458">
        <v>0</v>
      </c>
      <c r="J637" s="457"/>
      <c r="K637" s="457"/>
      <c r="L637" s="457"/>
      <c r="M637" s="457"/>
      <c r="N637" s="463">
        <f t="shared" si="2"/>
        <v>0</v>
      </c>
    </row>
    <row r="638" spans="2:14" ht="12.75">
      <c r="B638" s="97"/>
      <c r="C638" s="75"/>
      <c r="D638" s="49"/>
      <c r="E638" s="38">
        <v>3303</v>
      </c>
      <c r="F638" s="58">
        <f t="shared" si="4"/>
        <v>1391500</v>
      </c>
      <c r="G638" s="448"/>
      <c r="H638" s="98"/>
      <c r="I638" s="458">
        <v>1391500</v>
      </c>
      <c r="J638" s="457"/>
      <c r="K638" s="457"/>
      <c r="L638" s="457"/>
      <c r="M638" s="457"/>
      <c r="N638" s="463">
        <f t="shared" si="2"/>
        <v>1391500</v>
      </c>
    </row>
    <row r="639" spans="2:14" ht="12.75">
      <c r="B639" s="97"/>
      <c r="C639" s="75"/>
      <c r="D639" s="49"/>
      <c r="E639" s="38">
        <v>3401</v>
      </c>
      <c r="F639" s="58">
        <f t="shared" si="4"/>
        <v>394500</v>
      </c>
      <c r="G639" s="448"/>
      <c r="H639" s="98"/>
      <c r="I639" s="458">
        <v>394500</v>
      </c>
      <c r="J639" s="457"/>
      <c r="K639" s="457"/>
      <c r="L639" s="457"/>
      <c r="M639" s="457"/>
      <c r="N639" s="463">
        <f t="shared" si="2"/>
        <v>394500</v>
      </c>
    </row>
    <row r="640" spans="2:14" ht="12.75">
      <c r="B640" s="97"/>
      <c r="C640" s="75"/>
      <c r="D640" s="49"/>
      <c r="E640" s="38">
        <v>3403</v>
      </c>
      <c r="F640" s="464">
        <f t="shared" si="4"/>
        <v>2047684</v>
      </c>
      <c r="G640" s="448"/>
      <c r="H640" s="98"/>
      <c r="I640" s="458">
        <v>0</v>
      </c>
      <c r="J640" s="457"/>
      <c r="K640" s="457"/>
      <c r="L640" s="457">
        <f>1638147+409537</f>
        <v>2047684</v>
      </c>
      <c r="M640" s="457"/>
      <c r="N640" s="463">
        <f t="shared" si="2"/>
        <v>2047684</v>
      </c>
    </row>
    <row r="641" spans="2:14" ht="12.75">
      <c r="B641" s="97"/>
      <c r="C641" s="75"/>
      <c r="D641" s="49"/>
      <c r="E641" s="38">
        <v>3406</v>
      </c>
      <c r="F641" s="58">
        <f t="shared" si="4"/>
        <v>75000</v>
      </c>
      <c r="G641" s="448"/>
      <c r="H641" s="98"/>
      <c r="I641" s="458">
        <v>0</v>
      </c>
      <c r="J641" s="457"/>
      <c r="K641" s="457">
        <v>75000</v>
      </c>
      <c r="L641" s="457"/>
      <c r="M641" s="457"/>
      <c r="N641" s="463">
        <f t="shared" si="2"/>
        <v>75000</v>
      </c>
    </row>
    <row r="642" spans="2:14" ht="12.75">
      <c r="B642" s="97"/>
      <c r="C642" s="75"/>
      <c r="D642" s="49"/>
      <c r="E642" s="38">
        <v>3407</v>
      </c>
      <c r="F642" s="58">
        <f t="shared" si="4"/>
        <v>380362</v>
      </c>
      <c r="G642" s="448"/>
      <c r="H642" s="98"/>
      <c r="I642" s="458">
        <v>380362</v>
      </c>
      <c r="J642" s="457"/>
      <c r="K642" s="457"/>
      <c r="L642" s="457"/>
      <c r="M642" s="457"/>
      <c r="N642" s="463">
        <f t="shared" si="2"/>
        <v>380362</v>
      </c>
    </row>
    <row r="643" spans="2:14" ht="12.75">
      <c r="B643" s="97"/>
      <c r="C643" s="75"/>
      <c r="D643" s="49"/>
      <c r="E643" s="38">
        <v>3501</v>
      </c>
      <c r="F643" s="58">
        <f t="shared" si="4"/>
        <v>225000</v>
      </c>
      <c r="G643" s="448"/>
      <c r="H643" s="98"/>
      <c r="I643" s="458">
        <v>0</v>
      </c>
      <c r="J643" s="457">
        <f>150000+75000</f>
        <v>225000</v>
      </c>
      <c r="K643" s="457"/>
      <c r="L643" s="457"/>
      <c r="M643" s="457"/>
      <c r="N643" s="463">
        <f t="shared" si="2"/>
        <v>225000</v>
      </c>
    </row>
    <row r="644" spans="2:14" ht="12.75">
      <c r="B644" s="97"/>
      <c r="C644" s="75"/>
      <c r="D644" s="49"/>
      <c r="E644" s="38">
        <v>3502</v>
      </c>
      <c r="F644" s="58">
        <f t="shared" si="4"/>
        <v>630000</v>
      </c>
      <c r="G644" s="448"/>
      <c r="H644" s="98"/>
      <c r="I644" s="458">
        <v>0</v>
      </c>
      <c r="J644" s="457">
        <f>420000+210000</f>
        <v>630000</v>
      </c>
      <c r="K644" s="457"/>
      <c r="L644" s="457"/>
      <c r="M644" s="457"/>
      <c r="N644" s="463">
        <f t="shared" si="2"/>
        <v>630000</v>
      </c>
    </row>
    <row r="645" spans="2:14" ht="12.75">
      <c r="B645" s="97"/>
      <c r="C645" s="75"/>
      <c r="D645" s="49"/>
      <c r="E645" s="38">
        <v>3503</v>
      </c>
      <c r="F645" s="58">
        <f t="shared" si="4"/>
        <v>4149026</v>
      </c>
      <c r="G645" s="448"/>
      <c r="H645" s="98"/>
      <c r="I645" s="458">
        <v>420000</v>
      </c>
      <c r="J645" s="457"/>
      <c r="K645" s="457">
        <f>2943968+785058</f>
        <v>3729026</v>
      </c>
      <c r="L645" s="457"/>
      <c r="M645" s="457"/>
      <c r="N645" s="463">
        <f t="shared" si="2"/>
        <v>4149026</v>
      </c>
    </row>
    <row r="646" spans="2:14" ht="12.75">
      <c r="B646" s="97"/>
      <c r="C646" s="75"/>
      <c r="D646" s="49"/>
      <c r="E646" s="38">
        <v>3504</v>
      </c>
      <c r="F646" s="58">
        <f t="shared" si="4"/>
        <v>457600</v>
      </c>
      <c r="G646" s="448"/>
      <c r="H646" s="98"/>
      <c r="I646" s="458">
        <v>457600</v>
      </c>
      <c r="J646" s="457"/>
      <c r="K646" s="457"/>
      <c r="L646" s="457"/>
      <c r="M646" s="457"/>
      <c r="N646" s="463">
        <f t="shared" si="2"/>
        <v>457600</v>
      </c>
    </row>
    <row r="647" spans="2:14" ht="12.75">
      <c r="B647" s="97"/>
      <c r="C647" s="75"/>
      <c r="D647" s="49"/>
      <c r="E647" s="38">
        <v>3505</v>
      </c>
      <c r="F647" s="58">
        <f t="shared" si="4"/>
        <v>250000</v>
      </c>
      <c r="G647" s="448"/>
      <c r="H647" s="98"/>
      <c r="I647" s="458">
        <v>0</v>
      </c>
      <c r="J647" s="457">
        <f>200000+50000</f>
        <v>250000</v>
      </c>
      <c r="K647" s="457"/>
      <c r="L647" s="457"/>
      <c r="M647" s="457"/>
      <c r="N647" s="463">
        <f t="shared" si="2"/>
        <v>250000</v>
      </c>
    </row>
    <row r="648" spans="2:14" ht="12.75">
      <c r="B648" s="97"/>
      <c r="C648" s="75"/>
      <c r="D648" s="49"/>
      <c r="E648" s="38">
        <v>3506</v>
      </c>
      <c r="F648" s="58">
        <f t="shared" si="4"/>
        <v>27000</v>
      </c>
      <c r="G648" s="448"/>
      <c r="H648" s="98"/>
      <c r="I648" s="458">
        <v>0</v>
      </c>
      <c r="J648" s="457">
        <f>18000+9000</f>
        <v>27000</v>
      </c>
      <c r="K648" s="457"/>
      <c r="L648" s="457"/>
      <c r="M648" s="457"/>
      <c r="N648" s="463">
        <f t="shared" si="2"/>
        <v>27000</v>
      </c>
    </row>
    <row r="649" spans="2:14" ht="12.75">
      <c r="B649" s="97"/>
      <c r="C649" s="75"/>
      <c r="D649" s="49"/>
      <c r="E649" s="38">
        <v>3507</v>
      </c>
      <c r="F649" s="58">
        <f t="shared" si="4"/>
        <v>500000</v>
      </c>
      <c r="G649" s="448"/>
      <c r="H649" s="98"/>
      <c r="I649" s="458">
        <v>0</v>
      </c>
      <c r="J649" s="457">
        <f>375000+125000</f>
        <v>500000</v>
      </c>
      <c r="K649" s="457"/>
      <c r="L649" s="457"/>
      <c r="M649" s="457"/>
      <c r="N649" s="463">
        <f t="shared" si="2"/>
        <v>500000</v>
      </c>
    </row>
    <row r="650" spans="2:14" ht="12.75">
      <c r="B650" s="97"/>
      <c r="C650" s="75"/>
      <c r="D650" s="49"/>
      <c r="E650" s="38">
        <v>3509</v>
      </c>
      <c r="F650" s="58">
        <f t="shared" si="4"/>
        <v>750000</v>
      </c>
      <c r="G650" s="448"/>
      <c r="H650" s="98"/>
      <c r="I650" s="458">
        <v>0</v>
      </c>
      <c r="J650" s="457"/>
      <c r="K650" s="457">
        <f>562500+187500</f>
        <v>750000</v>
      </c>
      <c r="L650" s="457"/>
      <c r="M650" s="457"/>
      <c r="N650" s="463">
        <f t="shared" si="2"/>
        <v>750000</v>
      </c>
    </row>
    <row r="651" spans="2:14" ht="12.75">
      <c r="B651" s="97"/>
      <c r="C651" s="75"/>
      <c r="D651" s="49"/>
      <c r="E651" s="38">
        <v>3512</v>
      </c>
      <c r="F651" s="58">
        <f t="shared" si="4"/>
        <v>200000</v>
      </c>
      <c r="G651" s="448"/>
      <c r="H651" s="98"/>
      <c r="I651" s="458">
        <v>0</v>
      </c>
      <c r="J651" s="457"/>
      <c r="K651" s="457">
        <f>140000+60000</f>
        <v>200000</v>
      </c>
      <c r="L651" s="457"/>
      <c r="M651" s="457"/>
      <c r="N651" s="463">
        <f t="shared" si="2"/>
        <v>200000</v>
      </c>
    </row>
    <row r="652" spans="2:14" ht="12.75">
      <c r="B652" s="97"/>
      <c r="C652" s="75"/>
      <c r="D652" s="49"/>
      <c r="E652" s="38">
        <v>3514</v>
      </c>
      <c r="F652" s="58">
        <f t="shared" si="4"/>
        <v>504000</v>
      </c>
      <c r="G652" s="448"/>
      <c r="H652" s="98"/>
      <c r="I652" s="458">
        <v>0</v>
      </c>
      <c r="J652" s="457"/>
      <c r="K652" s="457">
        <f>301000+203000</f>
        <v>504000</v>
      </c>
      <c r="L652" s="457"/>
      <c r="M652" s="457"/>
      <c r="N652" s="463">
        <f t="shared" si="2"/>
        <v>504000</v>
      </c>
    </row>
    <row r="653" spans="2:14" ht="12.75">
      <c r="B653" s="97"/>
      <c r="C653" s="75"/>
      <c r="D653" s="49"/>
      <c r="E653" s="38">
        <v>3515</v>
      </c>
      <c r="F653" s="58">
        <f t="shared" si="4"/>
        <v>270000</v>
      </c>
      <c r="G653" s="448"/>
      <c r="H653" s="98"/>
      <c r="I653" s="458">
        <v>0</v>
      </c>
      <c r="J653" s="457">
        <f>180000+90000</f>
        <v>270000</v>
      </c>
      <c r="K653" s="457"/>
      <c r="L653" s="457"/>
      <c r="M653" s="457"/>
      <c r="N653" s="463">
        <f t="shared" si="2"/>
        <v>270000</v>
      </c>
    </row>
    <row r="654" spans="2:14" ht="12.75">
      <c r="B654" s="97"/>
      <c r="C654" s="75"/>
      <c r="D654" s="49"/>
      <c r="E654" s="38">
        <v>3516</v>
      </c>
      <c r="F654" s="58">
        <f t="shared" si="4"/>
        <v>18000</v>
      </c>
      <c r="G654" s="448"/>
      <c r="H654" s="98"/>
      <c r="I654" s="458">
        <v>0</v>
      </c>
      <c r="J654" s="457">
        <f>12000+6000</f>
        <v>18000</v>
      </c>
      <c r="K654" s="457"/>
      <c r="L654" s="457"/>
      <c r="M654" s="457"/>
      <c r="N654" s="463">
        <f t="shared" si="2"/>
        <v>18000</v>
      </c>
    </row>
    <row r="655" spans="2:14" ht="12.75">
      <c r="B655" s="97"/>
      <c r="C655" s="75"/>
      <c r="D655" s="49"/>
      <c r="E655" s="38">
        <v>3601</v>
      </c>
      <c r="F655" s="58">
        <f t="shared" si="4"/>
        <v>56000</v>
      </c>
      <c r="G655" s="448"/>
      <c r="H655" s="98"/>
      <c r="I655" s="458">
        <v>56000</v>
      </c>
      <c r="J655" s="457"/>
      <c r="K655" s="457"/>
      <c r="L655" s="457"/>
      <c r="M655" s="457"/>
      <c r="N655" s="463">
        <f t="shared" si="2"/>
        <v>56000</v>
      </c>
    </row>
    <row r="656" spans="2:14" ht="12.75">
      <c r="B656" s="97"/>
      <c r="C656" s="75"/>
      <c r="D656" s="49"/>
      <c r="E656" s="38">
        <v>3604</v>
      </c>
      <c r="F656" s="464">
        <f t="shared" si="4"/>
        <v>150000</v>
      </c>
      <c r="G656" s="448"/>
      <c r="H656" s="98"/>
      <c r="I656" s="458">
        <v>150000</v>
      </c>
      <c r="J656" s="457"/>
      <c r="K656" s="457"/>
      <c r="L656" s="457"/>
      <c r="M656" s="457"/>
      <c r="N656" s="463">
        <f t="shared" si="2"/>
        <v>150000</v>
      </c>
    </row>
    <row r="657" spans="2:14" ht="12.75">
      <c r="B657" s="97"/>
      <c r="C657" s="75"/>
      <c r="D657" s="49"/>
      <c r="E657" s="38">
        <v>3606</v>
      </c>
      <c r="F657" s="58">
        <f t="shared" si="4"/>
        <v>243000</v>
      </c>
      <c r="G657" s="448"/>
      <c r="H657" s="98"/>
      <c r="I657" s="458">
        <v>243000</v>
      </c>
      <c r="J657" s="457"/>
      <c r="K657" s="457"/>
      <c r="L657" s="457"/>
      <c r="M657" s="457"/>
      <c r="N657" s="463">
        <f t="shared" si="2"/>
        <v>243000</v>
      </c>
    </row>
    <row r="658" spans="2:14" ht="12.75">
      <c r="B658" s="97"/>
      <c r="C658" s="75"/>
      <c r="D658" s="49"/>
      <c r="E658" s="38">
        <v>3802</v>
      </c>
      <c r="F658" s="464">
        <f t="shared" si="4"/>
        <v>1200000</v>
      </c>
      <c r="G658" s="448"/>
      <c r="H658" s="98"/>
      <c r="I658" s="458">
        <v>0</v>
      </c>
      <c r="J658" s="457"/>
      <c r="K658" s="457"/>
      <c r="L658" s="457"/>
      <c r="M658" s="457">
        <v>1200000</v>
      </c>
      <c r="N658" s="463">
        <f t="shared" si="2"/>
        <v>1200000</v>
      </c>
    </row>
    <row r="659" spans="2:14" ht="12.75">
      <c r="B659" s="97"/>
      <c r="C659" s="75"/>
      <c r="D659" s="49"/>
      <c r="E659" s="52">
        <v>5000</v>
      </c>
      <c r="F659" s="59">
        <f>SUM(F660:F671)</f>
        <v>6212000</v>
      </c>
      <c r="G659" s="448"/>
      <c r="H659" s="98"/>
      <c r="I659" s="459">
        <f aca="true" t="shared" si="5" ref="I659:N659">SUM(I660:I671)</f>
        <v>6212000</v>
      </c>
      <c r="J659" s="459">
        <f t="shared" si="5"/>
        <v>0</v>
      </c>
      <c r="K659" s="459">
        <f t="shared" si="5"/>
        <v>0</v>
      </c>
      <c r="L659" s="459">
        <f t="shared" si="5"/>
        <v>0</v>
      </c>
      <c r="M659" s="459">
        <f t="shared" si="5"/>
        <v>0</v>
      </c>
      <c r="N659" s="462">
        <f t="shared" si="5"/>
        <v>6212000</v>
      </c>
    </row>
    <row r="660" spans="2:14" ht="12.75">
      <c r="B660" s="97"/>
      <c r="C660" s="75"/>
      <c r="D660" s="49"/>
      <c r="E660" s="38">
        <v>5101</v>
      </c>
      <c r="F660" s="464">
        <f aca="true" t="shared" si="6" ref="F660:F671">+N660</f>
        <v>250000</v>
      </c>
      <c r="G660" s="448"/>
      <c r="H660" s="98"/>
      <c r="I660" s="458">
        <v>250000</v>
      </c>
      <c r="J660" s="457"/>
      <c r="K660" s="457"/>
      <c r="L660" s="457"/>
      <c r="M660" s="457"/>
      <c r="N660" s="463">
        <f t="shared" si="2"/>
        <v>250000</v>
      </c>
    </row>
    <row r="661" spans="2:14" ht="12.75">
      <c r="B661" s="97"/>
      <c r="C661" s="75"/>
      <c r="D661" s="49"/>
      <c r="E661" s="38">
        <v>5102</v>
      </c>
      <c r="F661" s="464">
        <f t="shared" si="6"/>
        <v>500000</v>
      </c>
      <c r="G661" s="448"/>
      <c r="H661" s="98"/>
      <c r="I661" s="458">
        <v>500000</v>
      </c>
      <c r="J661" s="457"/>
      <c r="K661" s="457"/>
      <c r="L661" s="457"/>
      <c r="M661" s="457"/>
      <c r="N661" s="463">
        <f t="shared" si="2"/>
        <v>500000</v>
      </c>
    </row>
    <row r="662" spans="2:14" ht="12.75">
      <c r="B662" s="97"/>
      <c r="C662" s="75"/>
      <c r="D662" s="49"/>
      <c r="E662" s="38">
        <v>5103</v>
      </c>
      <c r="F662" s="58">
        <f t="shared" si="6"/>
        <v>7000</v>
      </c>
      <c r="G662" s="448"/>
      <c r="H662" s="98"/>
      <c r="I662" s="458">
        <v>7000</v>
      </c>
      <c r="J662" s="457"/>
      <c r="K662" s="457"/>
      <c r="L662" s="457"/>
      <c r="M662" s="457"/>
      <c r="N662" s="463">
        <f t="shared" si="2"/>
        <v>7000</v>
      </c>
    </row>
    <row r="663" spans="2:14" ht="12.75">
      <c r="B663" s="97"/>
      <c r="C663" s="75"/>
      <c r="D663" s="49"/>
      <c r="E663" s="38">
        <v>5104</v>
      </c>
      <c r="F663" s="464">
        <f t="shared" si="6"/>
        <v>280000</v>
      </c>
      <c r="G663" s="448"/>
      <c r="H663" s="98"/>
      <c r="I663" s="458">
        <v>280000</v>
      </c>
      <c r="J663" s="457"/>
      <c r="K663" s="457"/>
      <c r="L663" s="457"/>
      <c r="M663" s="457"/>
      <c r="N663" s="463">
        <f t="shared" si="2"/>
        <v>280000</v>
      </c>
    </row>
    <row r="664" spans="2:14" ht="12.75">
      <c r="B664" s="97"/>
      <c r="C664" s="75"/>
      <c r="D664" s="49"/>
      <c r="E664" s="38">
        <v>5105</v>
      </c>
      <c r="F664" s="464">
        <f t="shared" si="6"/>
        <v>1200000</v>
      </c>
      <c r="G664" s="448"/>
      <c r="H664" s="98"/>
      <c r="I664" s="458">
        <v>1200000</v>
      </c>
      <c r="J664" s="457"/>
      <c r="K664" s="457"/>
      <c r="L664" s="457"/>
      <c r="M664" s="457"/>
      <c r="N664" s="463">
        <f t="shared" si="2"/>
        <v>1200000</v>
      </c>
    </row>
    <row r="665" spans="2:14" ht="12.75">
      <c r="B665" s="97"/>
      <c r="C665" s="75"/>
      <c r="D665" s="49"/>
      <c r="E665" s="38">
        <v>5202</v>
      </c>
      <c r="F665" s="464">
        <f t="shared" si="6"/>
        <v>200000</v>
      </c>
      <c r="G665" s="448"/>
      <c r="H665" s="98"/>
      <c r="I665" s="458">
        <v>200000</v>
      </c>
      <c r="J665" s="457"/>
      <c r="K665" s="457"/>
      <c r="L665" s="457"/>
      <c r="M665" s="457"/>
      <c r="N665" s="463">
        <f t="shared" si="2"/>
        <v>200000</v>
      </c>
    </row>
    <row r="666" spans="2:14" ht="12.75">
      <c r="B666" s="97"/>
      <c r="C666" s="75"/>
      <c r="D666" s="49"/>
      <c r="E666" s="38">
        <v>5204</v>
      </c>
      <c r="F666" s="58">
        <f t="shared" si="6"/>
        <v>140000</v>
      </c>
      <c r="G666" s="448"/>
      <c r="H666" s="98"/>
      <c r="I666" s="458">
        <v>140000</v>
      </c>
      <c r="J666" s="457"/>
      <c r="K666" s="457"/>
      <c r="L666" s="457"/>
      <c r="M666" s="457"/>
      <c r="N666" s="463">
        <f t="shared" si="2"/>
        <v>140000</v>
      </c>
    </row>
    <row r="667" spans="2:14" ht="12.75">
      <c r="B667" s="97"/>
      <c r="C667" s="75"/>
      <c r="D667" s="49"/>
      <c r="E667" s="38">
        <v>5205</v>
      </c>
      <c r="F667" s="464">
        <f t="shared" si="6"/>
        <v>600000</v>
      </c>
      <c r="G667" s="448"/>
      <c r="H667" s="98"/>
      <c r="I667" s="458">
        <v>600000</v>
      </c>
      <c r="J667" s="457"/>
      <c r="K667" s="457"/>
      <c r="L667" s="457"/>
      <c r="M667" s="457"/>
      <c r="N667" s="463">
        <f t="shared" si="2"/>
        <v>600000</v>
      </c>
    </row>
    <row r="668" spans="2:14" ht="12.75">
      <c r="B668" s="97"/>
      <c r="C668" s="75"/>
      <c r="D668" s="49"/>
      <c r="E668" s="38">
        <v>5206</v>
      </c>
      <c r="F668" s="464">
        <f t="shared" si="6"/>
        <v>3000000</v>
      </c>
      <c r="G668" s="448"/>
      <c r="H668" s="98"/>
      <c r="I668" s="458">
        <v>3000000</v>
      </c>
      <c r="J668" s="457"/>
      <c r="K668" s="457"/>
      <c r="L668" s="457"/>
      <c r="M668" s="457"/>
      <c r="N668" s="463">
        <f t="shared" si="2"/>
        <v>3000000</v>
      </c>
    </row>
    <row r="669" spans="2:14" ht="12.75">
      <c r="B669" s="97"/>
      <c r="C669" s="75"/>
      <c r="D669" s="49"/>
      <c r="E669" s="38">
        <v>5301</v>
      </c>
      <c r="F669" s="464">
        <f t="shared" si="6"/>
        <v>0</v>
      </c>
      <c r="G669" s="448"/>
      <c r="H669" s="98"/>
      <c r="I669" s="458">
        <v>0</v>
      </c>
      <c r="J669" s="457"/>
      <c r="K669" s="457"/>
      <c r="L669" s="457"/>
      <c r="M669" s="457"/>
      <c r="N669" s="463">
        <f t="shared" si="2"/>
        <v>0</v>
      </c>
    </row>
    <row r="670" spans="2:14" ht="12.75">
      <c r="B670" s="97"/>
      <c r="C670" s="75"/>
      <c r="D670" s="49"/>
      <c r="E670" s="38">
        <v>5501</v>
      </c>
      <c r="F670" s="58">
        <f t="shared" si="6"/>
        <v>35000</v>
      </c>
      <c r="G670" s="448"/>
      <c r="H670" s="98"/>
      <c r="I670" s="458">
        <v>35000</v>
      </c>
      <c r="J670" s="457"/>
      <c r="K670" s="457"/>
      <c r="L670" s="457"/>
      <c r="M670" s="457"/>
      <c r="N670" s="463">
        <f t="shared" si="2"/>
        <v>35000</v>
      </c>
    </row>
    <row r="671" spans="2:14" ht="12.75">
      <c r="B671" s="97"/>
      <c r="C671" s="75"/>
      <c r="D671" s="49"/>
      <c r="E671" s="38">
        <v>5502</v>
      </c>
      <c r="F671" s="464">
        <f t="shared" si="6"/>
        <v>0</v>
      </c>
      <c r="G671" s="448"/>
      <c r="H671" s="98"/>
      <c r="I671" s="458">
        <v>0</v>
      </c>
      <c r="J671" s="457"/>
      <c r="K671" s="457"/>
      <c r="L671" s="457"/>
      <c r="M671" s="457"/>
      <c r="N671" s="463">
        <f t="shared" si="2"/>
        <v>0</v>
      </c>
    </row>
    <row r="672" spans="2:14" s="389" customFormat="1" ht="12.75">
      <c r="B672" s="533"/>
      <c r="C672" s="381" t="s">
        <v>66</v>
      </c>
      <c r="D672" s="382">
        <f>SUM(D673:D763)</f>
        <v>1104153</v>
      </c>
      <c r="E672" s="382"/>
      <c r="F672" s="382">
        <f>SUM(F673:F763)/2</f>
        <v>1104153</v>
      </c>
      <c r="G672" s="534"/>
      <c r="H672" s="535"/>
      <c r="I672" s="536"/>
      <c r="N672" s="537">
        <f>+L672+K672+J672</f>
        <v>0</v>
      </c>
    </row>
    <row r="673" spans="2:14" ht="38.25">
      <c r="B673" s="97">
        <v>52</v>
      </c>
      <c r="C673" s="224" t="s">
        <v>68</v>
      </c>
      <c r="D673" s="48">
        <f>+F673</f>
        <v>4580</v>
      </c>
      <c r="E673" s="49">
        <v>2000</v>
      </c>
      <c r="F673" s="59">
        <f>SUM(F674:F675)</f>
        <v>4580</v>
      </c>
      <c r="G673" s="109"/>
      <c r="H673" s="98"/>
      <c r="I673" s="452"/>
      <c r="N673" s="450">
        <f aca="true" t="shared" si="7" ref="N673:N684">+L673+K673+J673</f>
        <v>0</v>
      </c>
    </row>
    <row r="674" spans="2:14" ht="12.75">
      <c r="B674" s="97"/>
      <c r="C674" s="75"/>
      <c r="D674" s="49"/>
      <c r="E674" s="44">
        <v>2101</v>
      </c>
      <c r="F674" s="58">
        <v>80</v>
      </c>
      <c r="G674" s="109"/>
      <c r="H674" s="98"/>
      <c r="I674" s="452"/>
      <c r="N674" s="450">
        <f t="shared" si="7"/>
        <v>0</v>
      </c>
    </row>
    <row r="675" spans="2:14" ht="12.75">
      <c r="B675" s="97"/>
      <c r="C675" s="76"/>
      <c r="D675" s="49"/>
      <c r="E675" s="44">
        <v>2103</v>
      </c>
      <c r="F675" s="58">
        <v>4500</v>
      </c>
      <c r="G675" s="109"/>
      <c r="H675" s="98"/>
      <c r="I675" s="452"/>
      <c r="N675" s="450">
        <f t="shared" si="7"/>
        <v>0</v>
      </c>
    </row>
    <row r="676" spans="2:14" ht="51">
      <c r="B676" s="97">
        <v>53</v>
      </c>
      <c r="C676" s="224" t="s">
        <v>40</v>
      </c>
      <c r="D676" s="48">
        <f>+F676+F682</f>
        <v>132300</v>
      </c>
      <c r="E676" s="49">
        <v>2000</v>
      </c>
      <c r="F676" s="59">
        <f>SUM(F677:F681)</f>
        <v>6800</v>
      </c>
      <c r="G676" s="117"/>
      <c r="H676" s="98"/>
      <c r="I676" s="452"/>
      <c r="N676" s="450">
        <f t="shared" si="7"/>
        <v>0</v>
      </c>
    </row>
    <row r="677" spans="2:14" ht="12.75">
      <c r="B677" s="97"/>
      <c r="C677" s="75"/>
      <c r="D677" s="49"/>
      <c r="E677" s="44">
        <v>2101</v>
      </c>
      <c r="F677" s="58">
        <v>1400</v>
      </c>
      <c r="G677" s="109"/>
      <c r="H677" s="98"/>
      <c r="I677" s="452"/>
      <c r="N677" s="450">
        <f t="shared" si="7"/>
        <v>0</v>
      </c>
    </row>
    <row r="678" spans="2:14" ht="12.75">
      <c r="B678" s="97"/>
      <c r="C678" s="75"/>
      <c r="D678" s="49"/>
      <c r="E678" s="44">
        <v>2104</v>
      </c>
      <c r="F678" s="58">
        <v>1500</v>
      </c>
      <c r="G678" s="109"/>
      <c r="H678" s="98"/>
      <c r="I678" s="452"/>
      <c r="N678" s="450">
        <f t="shared" si="7"/>
        <v>0</v>
      </c>
    </row>
    <row r="679" spans="2:14" ht="12.75">
      <c r="B679" s="97"/>
      <c r="C679" s="75"/>
      <c r="D679" s="49"/>
      <c r="E679" s="44">
        <v>2105</v>
      </c>
      <c r="F679" s="58">
        <v>2500</v>
      </c>
      <c r="G679" s="109"/>
      <c r="H679" s="98"/>
      <c r="I679" s="452"/>
      <c r="N679" s="450">
        <f t="shared" si="7"/>
        <v>0</v>
      </c>
    </row>
    <row r="680" spans="2:14" ht="12.75">
      <c r="B680" s="97"/>
      <c r="C680" s="75"/>
      <c r="D680" s="49"/>
      <c r="E680" s="44">
        <v>2106</v>
      </c>
      <c r="F680" s="58">
        <v>200</v>
      </c>
      <c r="G680" s="109"/>
      <c r="H680" s="98"/>
      <c r="I680" s="452"/>
      <c r="N680" s="450">
        <f t="shared" si="7"/>
        <v>0</v>
      </c>
    </row>
    <row r="681" spans="2:14" ht="12.75">
      <c r="B681" s="97"/>
      <c r="C681" s="75"/>
      <c r="D681" s="49"/>
      <c r="E681" s="44">
        <v>2601</v>
      </c>
      <c r="F681" s="58">
        <v>1200</v>
      </c>
      <c r="G681" s="109" t="s">
        <v>154</v>
      </c>
      <c r="H681" s="98"/>
      <c r="I681" s="452"/>
      <c r="N681" s="450">
        <f t="shared" si="7"/>
        <v>0</v>
      </c>
    </row>
    <row r="682" spans="2:14" ht="12.75">
      <c r="B682" s="97"/>
      <c r="C682" s="75"/>
      <c r="D682" s="49"/>
      <c r="E682" s="49">
        <v>3000</v>
      </c>
      <c r="F682" s="59">
        <f>SUM(F683:F685)</f>
        <v>125500</v>
      </c>
      <c r="G682" s="109"/>
      <c r="H682" s="98"/>
      <c r="I682" s="452"/>
      <c r="N682" s="450">
        <f t="shared" si="7"/>
        <v>0</v>
      </c>
    </row>
    <row r="683" spans="2:14" ht="12.75">
      <c r="B683" s="97"/>
      <c r="C683" s="75"/>
      <c r="D683" s="49"/>
      <c r="E683" s="44">
        <v>3301</v>
      </c>
      <c r="F683" s="58">
        <v>75000</v>
      </c>
      <c r="G683" s="109"/>
      <c r="H683" s="98"/>
      <c r="I683" s="452"/>
      <c r="N683" s="450">
        <f t="shared" si="7"/>
        <v>0</v>
      </c>
    </row>
    <row r="684" spans="2:14" ht="12.75">
      <c r="B684" s="97"/>
      <c r="C684" s="75"/>
      <c r="D684" s="49"/>
      <c r="E684" s="44">
        <v>3406</v>
      </c>
      <c r="F684" s="58">
        <v>50000</v>
      </c>
      <c r="G684" s="109"/>
      <c r="H684" s="98"/>
      <c r="I684" s="452"/>
      <c r="N684" s="450">
        <f t="shared" si="7"/>
        <v>0</v>
      </c>
    </row>
    <row r="685" spans="2:9" ht="12.75">
      <c r="B685" s="97"/>
      <c r="C685" s="75"/>
      <c r="D685" s="49"/>
      <c r="E685" s="44">
        <v>3903</v>
      </c>
      <c r="F685" s="58">
        <v>500</v>
      </c>
      <c r="G685" s="109"/>
      <c r="H685" s="98"/>
      <c r="I685" s="452"/>
    </row>
    <row r="686" spans="2:9" ht="25.5">
      <c r="B686" s="97">
        <v>54</v>
      </c>
      <c r="C686" s="224" t="s">
        <v>44</v>
      </c>
      <c r="D686" s="48">
        <f>+F686+F690</f>
        <v>12700</v>
      </c>
      <c r="E686" s="49">
        <v>2000</v>
      </c>
      <c r="F686" s="59">
        <f>SUM(F687:F689)</f>
        <v>7000</v>
      </c>
      <c r="G686" s="109"/>
      <c r="H686" s="98"/>
      <c r="I686" s="452"/>
    </row>
    <row r="687" spans="2:9" ht="12.75">
      <c r="B687" s="97"/>
      <c r="C687" s="75"/>
      <c r="D687" s="49"/>
      <c r="E687" s="44">
        <v>2101</v>
      </c>
      <c r="F687" s="58">
        <v>2600</v>
      </c>
      <c r="G687" s="109"/>
      <c r="H687" s="98"/>
      <c r="I687" s="452"/>
    </row>
    <row r="688" spans="2:9" ht="12.75">
      <c r="B688" s="97"/>
      <c r="C688" s="75"/>
      <c r="D688" s="49"/>
      <c r="E688" s="44">
        <v>2201</v>
      </c>
      <c r="F688" s="58">
        <v>2500</v>
      </c>
      <c r="G688" s="109"/>
      <c r="H688" s="98"/>
      <c r="I688" s="452"/>
    </row>
    <row r="689" spans="2:9" ht="12.75">
      <c r="B689" s="97"/>
      <c r="C689" s="75"/>
      <c r="D689" s="49"/>
      <c r="E689" s="44">
        <v>2601</v>
      </c>
      <c r="F689" s="58">
        <v>1900</v>
      </c>
      <c r="G689" s="109" t="s">
        <v>154</v>
      </c>
      <c r="H689" s="98"/>
      <c r="I689" s="452"/>
    </row>
    <row r="690" spans="2:9" ht="12.75">
      <c r="B690" s="97"/>
      <c r="C690" s="75"/>
      <c r="D690" s="49"/>
      <c r="E690" s="49">
        <v>3000</v>
      </c>
      <c r="F690" s="59">
        <f>SUM(F691:F692)</f>
        <v>5700</v>
      </c>
      <c r="G690" s="109"/>
      <c r="H690" s="98"/>
      <c r="I690" s="452"/>
    </row>
    <row r="691" spans="2:9" ht="12.75">
      <c r="B691" s="97"/>
      <c r="C691" s="75"/>
      <c r="D691" s="49"/>
      <c r="E691" s="44">
        <v>3701</v>
      </c>
      <c r="F691" s="58">
        <f>1500+3000</f>
        <v>4500</v>
      </c>
      <c r="G691" s="109" t="s">
        <v>232</v>
      </c>
      <c r="H691" s="98"/>
      <c r="I691" s="452"/>
    </row>
    <row r="692" spans="2:9" ht="12.75">
      <c r="B692" s="97"/>
      <c r="C692" s="76"/>
      <c r="D692" s="49"/>
      <c r="E692" s="44">
        <v>3702</v>
      </c>
      <c r="F692" s="58">
        <v>1200</v>
      </c>
      <c r="G692" s="109" t="s">
        <v>232</v>
      </c>
      <c r="H692" s="98"/>
      <c r="I692" s="452"/>
    </row>
    <row r="693" spans="2:9" ht="12.75">
      <c r="B693" s="97">
        <v>55</v>
      </c>
      <c r="C693" s="75" t="s">
        <v>47</v>
      </c>
      <c r="D693" s="48">
        <f>+F693+F695</f>
        <v>178867</v>
      </c>
      <c r="E693" s="49">
        <v>2000</v>
      </c>
      <c r="F693" s="59">
        <f>SUM(F694)</f>
        <v>1767</v>
      </c>
      <c r="G693" s="109"/>
      <c r="H693" s="98"/>
      <c r="I693" s="452"/>
    </row>
    <row r="694" spans="2:9" ht="12.75">
      <c r="B694" s="97"/>
      <c r="C694" s="75"/>
      <c r="D694" s="49"/>
      <c r="E694" s="425">
        <v>2101</v>
      </c>
      <c r="F694" s="367">
        <v>1767</v>
      </c>
      <c r="G694" s="109"/>
      <c r="H694" s="98"/>
      <c r="I694" s="452"/>
    </row>
    <row r="695" spans="2:9" ht="12.75">
      <c r="B695" s="97"/>
      <c r="C695" s="75"/>
      <c r="D695" s="49"/>
      <c r="E695" s="49">
        <v>3000</v>
      </c>
      <c r="F695" s="59">
        <f>SUM(F696:F698)</f>
        <v>177100</v>
      </c>
      <c r="G695" s="109"/>
      <c r="H695" s="98"/>
      <c r="I695" s="452"/>
    </row>
    <row r="696" spans="2:9" ht="12.75">
      <c r="B696" s="97"/>
      <c r="C696" s="75"/>
      <c r="D696" s="49"/>
      <c r="E696" s="44">
        <v>3701</v>
      </c>
      <c r="F696" s="58">
        <v>54200</v>
      </c>
      <c r="G696" s="109" t="s">
        <v>232</v>
      </c>
      <c r="H696" s="98"/>
      <c r="I696" s="452"/>
    </row>
    <row r="697" spans="2:9" ht="12.75">
      <c r="B697" s="97"/>
      <c r="C697" s="75"/>
      <c r="D697" s="49"/>
      <c r="E697" s="425">
        <v>3702</v>
      </c>
      <c r="F697" s="367">
        <v>102400</v>
      </c>
      <c r="G697" s="109" t="s">
        <v>232</v>
      </c>
      <c r="H697" s="98"/>
      <c r="I697" s="452"/>
    </row>
    <row r="698" spans="2:9" ht="12.75">
      <c r="B698" s="97"/>
      <c r="C698" s="76"/>
      <c r="D698" s="49"/>
      <c r="E698" s="425">
        <v>3703</v>
      </c>
      <c r="F698" s="367">
        <v>20500</v>
      </c>
      <c r="G698" s="109"/>
      <c r="H698" s="98"/>
      <c r="I698" s="452"/>
    </row>
    <row r="699" spans="2:9" ht="25.5">
      <c r="B699" s="97">
        <v>57</v>
      </c>
      <c r="C699" s="75" t="s">
        <v>51</v>
      </c>
      <c r="D699" s="48">
        <f>+F699+F703</f>
        <v>147747</v>
      </c>
      <c r="E699" s="49">
        <v>2000</v>
      </c>
      <c r="F699" s="59">
        <f>SUM(F700:F702)</f>
        <v>11307</v>
      </c>
      <c r="G699" s="109"/>
      <c r="H699" s="98"/>
      <c r="I699" s="452"/>
    </row>
    <row r="700" spans="2:9" ht="12.75">
      <c r="B700" s="97"/>
      <c r="C700" s="75"/>
      <c r="D700" s="49"/>
      <c r="E700" s="44">
        <v>2101</v>
      </c>
      <c r="F700" s="58">
        <v>238</v>
      </c>
      <c r="G700" s="109"/>
      <c r="H700" s="98"/>
      <c r="I700" s="452"/>
    </row>
    <row r="701" spans="2:9" ht="12.75">
      <c r="B701" s="97"/>
      <c r="C701" s="75"/>
      <c r="D701" s="49"/>
      <c r="E701" s="44">
        <v>2105</v>
      </c>
      <c r="F701" s="58">
        <v>7469</v>
      </c>
      <c r="G701" s="109"/>
      <c r="H701" s="98"/>
      <c r="I701" s="452"/>
    </row>
    <row r="702" spans="2:9" ht="12.75">
      <c r="B702" s="97"/>
      <c r="C702" s="75"/>
      <c r="D702" s="49"/>
      <c r="E702" s="44">
        <v>2201</v>
      </c>
      <c r="F702" s="58">
        <v>3600</v>
      </c>
      <c r="G702" s="109"/>
      <c r="H702" s="98"/>
      <c r="I702" s="452"/>
    </row>
    <row r="703" spans="2:9" ht="12.75">
      <c r="B703" s="97"/>
      <c r="C703" s="75"/>
      <c r="D703" s="49"/>
      <c r="E703" s="49">
        <v>3000</v>
      </c>
      <c r="F703" s="59">
        <f>SUM(F704:F707)</f>
        <v>136440</v>
      </c>
      <c r="G703" s="109"/>
      <c r="H703" s="98"/>
      <c r="I703" s="452"/>
    </row>
    <row r="704" spans="2:9" ht="12.75">
      <c r="B704" s="97"/>
      <c r="C704" s="75"/>
      <c r="D704" s="49"/>
      <c r="E704" s="44">
        <v>3401</v>
      </c>
      <c r="F704" s="58">
        <v>2500</v>
      </c>
      <c r="G704" s="109"/>
      <c r="H704" s="98"/>
      <c r="I704" s="452"/>
    </row>
    <row r="705" spans="2:9" ht="12.75">
      <c r="B705" s="97"/>
      <c r="C705" s="75"/>
      <c r="D705" s="49"/>
      <c r="E705" s="44">
        <v>3701</v>
      </c>
      <c r="F705" s="58">
        <f>54200+10000</f>
        <v>64200</v>
      </c>
      <c r="G705" s="109" t="s">
        <v>232</v>
      </c>
      <c r="H705" s="98"/>
      <c r="I705" s="452"/>
    </row>
    <row r="706" spans="2:9" ht="12.75">
      <c r="B706" s="97"/>
      <c r="C706" s="75"/>
      <c r="D706" s="49"/>
      <c r="E706" s="44">
        <v>3702</v>
      </c>
      <c r="F706" s="58">
        <f>46000+6000</f>
        <v>52000</v>
      </c>
      <c r="G706" s="109" t="s">
        <v>232</v>
      </c>
      <c r="H706" s="98"/>
      <c r="I706" s="452"/>
    </row>
    <row r="707" spans="2:9" ht="12.75">
      <c r="B707" s="97"/>
      <c r="C707" s="75"/>
      <c r="D707" s="49"/>
      <c r="E707" s="44">
        <v>3703</v>
      </c>
      <c r="F707" s="58">
        <v>17740</v>
      </c>
      <c r="G707" s="109"/>
      <c r="H707" s="98"/>
      <c r="I707" s="452"/>
    </row>
    <row r="708" spans="2:9" ht="25.5">
      <c r="B708" s="97">
        <v>58</v>
      </c>
      <c r="C708" s="178" t="s">
        <v>53</v>
      </c>
      <c r="D708" s="48">
        <f>+F708+F711+F715</f>
        <v>238715</v>
      </c>
      <c r="E708" s="49">
        <v>2000</v>
      </c>
      <c r="F708" s="59">
        <f>SUM(F709:F710)</f>
        <v>38727</v>
      </c>
      <c r="G708" s="109"/>
      <c r="H708" s="98"/>
      <c r="I708" s="452"/>
    </row>
    <row r="709" spans="2:9" ht="12.75">
      <c r="B709" s="97"/>
      <c r="C709" s="75"/>
      <c r="D709" s="49"/>
      <c r="E709" s="44">
        <v>2101</v>
      </c>
      <c r="F709" s="58">
        <v>19496</v>
      </c>
      <c r="G709" s="109"/>
      <c r="H709" s="98"/>
      <c r="I709" s="452"/>
    </row>
    <row r="710" spans="2:9" ht="12.75">
      <c r="B710" s="97"/>
      <c r="C710" s="75"/>
      <c r="D710" s="49"/>
      <c r="E710" s="44">
        <v>2105</v>
      </c>
      <c r="F710" s="58">
        <v>19231</v>
      </c>
      <c r="G710" s="109"/>
      <c r="H710" s="98"/>
      <c r="I710" s="452"/>
    </row>
    <row r="711" spans="2:9" ht="12.75">
      <c r="B711" s="97"/>
      <c r="C711" s="75"/>
      <c r="D711" s="49"/>
      <c r="E711" s="49">
        <v>3000</v>
      </c>
      <c r="F711" s="59">
        <f>SUM(F712:F714)</f>
        <v>196690</v>
      </c>
      <c r="G711" s="109"/>
      <c r="H711" s="98"/>
      <c r="I711" s="452"/>
    </row>
    <row r="712" spans="2:9" ht="12.75">
      <c r="B712" s="97"/>
      <c r="C712" s="75"/>
      <c r="D712" s="49"/>
      <c r="E712" s="44">
        <v>3701</v>
      </c>
      <c r="F712" s="58">
        <f>27100+54200</f>
        <v>81300</v>
      </c>
      <c r="G712" s="109" t="s">
        <v>232</v>
      </c>
      <c r="H712" s="98"/>
      <c r="I712" s="452"/>
    </row>
    <row r="713" spans="2:9" ht="12.75">
      <c r="B713" s="97"/>
      <c r="C713" s="75"/>
      <c r="D713" s="49"/>
      <c r="E713" s="44">
        <v>3702</v>
      </c>
      <c r="F713" s="58">
        <f>23000+60000+23520</f>
        <v>106520</v>
      </c>
      <c r="G713" s="109" t="s">
        <v>232</v>
      </c>
      <c r="H713" s="98"/>
      <c r="I713" s="452"/>
    </row>
    <row r="714" spans="2:9" ht="12.75">
      <c r="B714" s="97"/>
      <c r="C714" s="75"/>
      <c r="D714" s="49"/>
      <c r="E714" s="44">
        <v>3703</v>
      </c>
      <c r="F714" s="58">
        <v>8870</v>
      </c>
      <c r="G714" s="109"/>
      <c r="H714" s="98"/>
      <c r="I714" s="452"/>
    </row>
    <row r="715" spans="2:9" ht="12.75">
      <c r="B715" s="97"/>
      <c r="C715" s="75"/>
      <c r="D715" s="49"/>
      <c r="E715" s="49">
        <v>5000</v>
      </c>
      <c r="F715" s="59">
        <f>SUM(F716)</f>
        <v>3298</v>
      </c>
      <c r="G715" s="109"/>
      <c r="H715" s="98"/>
      <c r="I715" s="452"/>
    </row>
    <row r="716" spans="2:9" ht="12.75">
      <c r="B716" s="97"/>
      <c r="C716" s="76"/>
      <c r="D716" s="49"/>
      <c r="E716" s="44">
        <v>5101</v>
      </c>
      <c r="F716" s="58">
        <v>3298</v>
      </c>
      <c r="G716" s="109"/>
      <c r="H716" s="98"/>
      <c r="I716" s="452"/>
    </row>
    <row r="717" spans="2:9" ht="12.75">
      <c r="B717" s="97">
        <v>56</v>
      </c>
      <c r="C717" s="75" t="s">
        <v>50</v>
      </c>
      <c r="D717" s="48">
        <f>+F717+F723+F721</f>
        <v>93264</v>
      </c>
      <c r="E717" s="49">
        <v>2000</v>
      </c>
      <c r="F717" s="59">
        <f>SUM(F718:F720)</f>
        <v>16264</v>
      </c>
      <c r="G717" s="109"/>
      <c r="H717" s="98"/>
      <c r="I717" s="452"/>
    </row>
    <row r="718" spans="2:9" ht="12.75">
      <c r="B718" s="97"/>
      <c r="C718" s="75"/>
      <c r="D718" s="49"/>
      <c r="E718" s="44">
        <v>2101</v>
      </c>
      <c r="F718" s="58">
        <v>4375</v>
      </c>
      <c r="G718" s="109"/>
      <c r="H718" s="98"/>
      <c r="I718" s="452"/>
    </row>
    <row r="719" spans="2:9" ht="12.75">
      <c r="B719" s="97"/>
      <c r="C719" s="75"/>
      <c r="D719" s="49"/>
      <c r="E719" s="44">
        <v>2103</v>
      </c>
      <c r="F719" s="58">
        <v>64</v>
      </c>
      <c r="G719" s="109"/>
      <c r="H719" s="98"/>
      <c r="I719" s="452"/>
    </row>
    <row r="720" spans="2:9" ht="12.75">
      <c r="B720" s="97"/>
      <c r="C720" s="75"/>
      <c r="D720" s="49"/>
      <c r="E720" s="44">
        <v>2105</v>
      </c>
      <c r="F720" s="58">
        <v>11825</v>
      </c>
      <c r="G720" s="109"/>
      <c r="H720" s="98"/>
      <c r="I720" s="452"/>
    </row>
    <row r="721" spans="2:9" ht="12.75">
      <c r="B721" s="97"/>
      <c r="C721" s="75"/>
      <c r="D721" s="49"/>
      <c r="E721" s="49">
        <v>3000</v>
      </c>
      <c r="F721" s="59">
        <f>SUM(F722)</f>
        <v>15000</v>
      </c>
      <c r="G721" s="109"/>
      <c r="H721" s="98"/>
      <c r="I721" s="452"/>
    </row>
    <row r="722" spans="2:9" ht="12.75">
      <c r="B722" s="97"/>
      <c r="C722" s="75"/>
      <c r="D722" s="49"/>
      <c r="E722" s="44">
        <v>3301</v>
      </c>
      <c r="F722" s="58">
        <v>15000</v>
      </c>
      <c r="G722" s="109"/>
      <c r="H722" s="98"/>
      <c r="I722" s="452"/>
    </row>
    <row r="723" spans="2:9" ht="12.75">
      <c r="B723" s="97"/>
      <c r="C723" s="75"/>
      <c r="D723" s="49"/>
      <c r="E723" s="49">
        <v>5000</v>
      </c>
      <c r="F723" s="59">
        <f>SUM(F724:F725)</f>
        <v>62000</v>
      </c>
      <c r="G723" s="109"/>
      <c r="H723" s="98"/>
      <c r="I723" s="452"/>
    </row>
    <row r="724" spans="2:9" ht="12.75">
      <c r="B724" s="97"/>
      <c r="C724" s="75"/>
      <c r="D724" s="49"/>
      <c r="E724" s="44">
        <v>5204</v>
      </c>
      <c r="F724" s="58">
        <v>2000</v>
      </c>
      <c r="G724" s="109"/>
      <c r="H724" s="98"/>
      <c r="I724" s="452"/>
    </row>
    <row r="725" spans="2:9" ht="12.75">
      <c r="B725" s="97"/>
      <c r="C725" s="76"/>
      <c r="D725" s="49"/>
      <c r="E725" s="44">
        <v>5206</v>
      </c>
      <c r="F725" s="58">
        <v>60000</v>
      </c>
      <c r="G725" s="109"/>
      <c r="H725" s="98"/>
      <c r="I725" s="452"/>
    </row>
    <row r="726" spans="2:9" ht="12.75">
      <c r="B726" s="97">
        <v>59</v>
      </c>
      <c r="C726" s="178" t="s">
        <v>683</v>
      </c>
      <c r="D726" s="48">
        <f>+F726</f>
        <v>12713</v>
      </c>
      <c r="E726" s="49">
        <v>2000</v>
      </c>
      <c r="F726" s="59">
        <f>SUM(F727:F729)</f>
        <v>12713</v>
      </c>
      <c r="G726" s="109"/>
      <c r="H726" s="98"/>
      <c r="I726" s="452"/>
    </row>
    <row r="727" spans="2:9" ht="12.75">
      <c r="B727" s="97"/>
      <c r="C727" s="230"/>
      <c r="D727" s="49"/>
      <c r="E727" s="44">
        <v>2101</v>
      </c>
      <c r="F727" s="58">
        <v>4117</v>
      </c>
      <c r="G727" s="109"/>
      <c r="H727" s="98"/>
      <c r="I727" s="452"/>
    </row>
    <row r="728" spans="2:9" ht="12.75">
      <c r="B728" s="97"/>
      <c r="C728" s="75"/>
      <c r="D728" s="49"/>
      <c r="E728" s="44">
        <v>2103</v>
      </c>
      <c r="F728" s="58">
        <v>5</v>
      </c>
      <c r="G728" s="109"/>
      <c r="H728" s="98"/>
      <c r="I728" s="452"/>
    </row>
    <row r="729" spans="2:9" ht="12.75">
      <c r="B729" s="97"/>
      <c r="C729" s="75"/>
      <c r="D729" s="49"/>
      <c r="E729" s="44">
        <v>2105</v>
      </c>
      <c r="F729" s="58">
        <v>8591</v>
      </c>
      <c r="G729" s="109"/>
      <c r="H729" s="98"/>
      <c r="I729" s="452"/>
    </row>
    <row r="730" spans="2:9" ht="38.25">
      <c r="B730" s="97">
        <v>60</v>
      </c>
      <c r="C730" s="178" t="s">
        <v>684</v>
      </c>
      <c r="D730" s="203">
        <f>+F730+F735</f>
        <v>38062</v>
      </c>
      <c r="E730" s="49">
        <v>2000</v>
      </c>
      <c r="F730" s="59">
        <f>SUM(F731:F734)</f>
        <v>26062</v>
      </c>
      <c r="G730" s="109"/>
      <c r="H730" s="98"/>
      <c r="I730" s="452"/>
    </row>
    <row r="731" spans="2:9" ht="12.75">
      <c r="B731" s="97"/>
      <c r="C731" s="230"/>
      <c r="D731" s="203"/>
      <c r="E731" s="44">
        <v>2101</v>
      </c>
      <c r="F731" s="58">
        <v>4510</v>
      </c>
      <c r="G731" s="109"/>
      <c r="H731" s="98"/>
      <c r="I731" s="452"/>
    </row>
    <row r="732" spans="2:9" ht="12.75">
      <c r="B732" s="97"/>
      <c r="C732" s="230"/>
      <c r="D732" s="203"/>
      <c r="E732" s="44">
        <v>2103</v>
      </c>
      <c r="F732" s="58">
        <v>5</v>
      </c>
      <c r="G732" s="109"/>
      <c r="H732" s="98"/>
      <c r="I732" s="452"/>
    </row>
    <row r="733" spans="2:9" ht="12.75">
      <c r="B733" s="97"/>
      <c r="C733" s="230"/>
      <c r="D733" s="203"/>
      <c r="E733" s="44">
        <v>2105</v>
      </c>
      <c r="F733" s="58">
        <v>16547</v>
      </c>
      <c r="G733" s="109"/>
      <c r="H733" s="98"/>
      <c r="I733" s="452"/>
    </row>
    <row r="734" spans="2:9" ht="12.75">
      <c r="B734" s="97"/>
      <c r="C734" s="230"/>
      <c r="D734" s="203"/>
      <c r="E734" s="44">
        <v>2601</v>
      </c>
      <c r="F734" s="58">
        <v>5000</v>
      </c>
      <c r="G734" s="109" t="s">
        <v>154</v>
      </c>
      <c r="H734" s="98"/>
      <c r="I734" s="452"/>
    </row>
    <row r="735" spans="2:9" ht="12.75">
      <c r="B735" s="97"/>
      <c r="C735" s="230"/>
      <c r="D735" s="203"/>
      <c r="E735" s="49">
        <v>3000</v>
      </c>
      <c r="F735" s="59">
        <f>SUM(F736:F737)</f>
        <v>12000</v>
      </c>
      <c r="G735" s="109"/>
      <c r="H735" s="98"/>
      <c r="I735" s="452"/>
    </row>
    <row r="736" spans="2:9" ht="12.75">
      <c r="B736" s="97"/>
      <c r="C736" s="230"/>
      <c r="D736" s="203"/>
      <c r="E736" s="44">
        <v>3702</v>
      </c>
      <c r="F736" s="58">
        <v>10000</v>
      </c>
      <c r="G736" s="109" t="s">
        <v>232</v>
      </c>
      <c r="H736" s="98"/>
      <c r="I736" s="452"/>
    </row>
    <row r="737" spans="2:9" ht="12.75">
      <c r="B737" s="97"/>
      <c r="C737" s="230"/>
      <c r="D737" s="203"/>
      <c r="E737" s="44">
        <v>3903</v>
      </c>
      <c r="F737" s="58">
        <v>2000</v>
      </c>
      <c r="G737" s="109"/>
      <c r="H737" s="98"/>
      <c r="I737" s="452"/>
    </row>
    <row r="738" spans="2:9" ht="25.5">
      <c r="B738" s="97">
        <v>61</v>
      </c>
      <c r="C738" s="178" t="s">
        <v>691</v>
      </c>
      <c r="D738" s="203">
        <f>+F738+F743</f>
        <v>85578</v>
      </c>
      <c r="E738" s="49">
        <v>2000</v>
      </c>
      <c r="F738" s="59">
        <f>SUM(F739:F742)</f>
        <v>11978</v>
      </c>
      <c r="G738" s="109"/>
      <c r="H738" s="98"/>
      <c r="I738" s="452"/>
    </row>
    <row r="739" spans="2:9" ht="12.75">
      <c r="B739" s="97"/>
      <c r="C739" s="75"/>
      <c r="D739" s="203"/>
      <c r="E739" s="44">
        <v>2101</v>
      </c>
      <c r="F739" s="58">
        <v>5520</v>
      </c>
      <c r="G739" s="109"/>
      <c r="H739" s="98"/>
      <c r="I739" s="452"/>
    </row>
    <row r="740" spans="2:9" ht="12.75">
      <c r="B740" s="97"/>
      <c r="C740" s="75"/>
      <c r="D740" s="203"/>
      <c r="E740" s="44">
        <v>2103</v>
      </c>
      <c r="F740" s="58">
        <v>5</v>
      </c>
      <c r="G740" s="109"/>
      <c r="H740" s="98"/>
      <c r="I740" s="452"/>
    </row>
    <row r="741" spans="2:9" ht="12.75">
      <c r="B741" s="97"/>
      <c r="C741" s="75"/>
      <c r="D741" s="203"/>
      <c r="E741" s="44">
        <v>2105</v>
      </c>
      <c r="F741" s="58">
        <v>3453</v>
      </c>
      <c r="G741" s="109"/>
      <c r="H741" s="98"/>
      <c r="I741" s="452"/>
    </row>
    <row r="742" spans="2:9" ht="12.75">
      <c r="B742" s="97"/>
      <c r="C742" s="75"/>
      <c r="D742" s="203"/>
      <c r="E742" s="44">
        <v>2201</v>
      </c>
      <c r="F742" s="58">
        <v>3000</v>
      </c>
      <c r="G742" s="109"/>
      <c r="H742" s="98"/>
      <c r="I742" s="452"/>
    </row>
    <row r="743" spans="2:9" ht="12.75">
      <c r="B743" s="97"/>
      <c r="C743" s="75"/>
      <c r="D743" s="203"/>
      <c r="E743" s="49">
        <v>3000</v>
      </c>
      <c r="F743" s="59">
        <f>SUM(F744:F746)</f>
        <v>73600</v>
      </c>
      <c r="G743" s="109"/>
      <c r="H743" s="98"/>
      <c r="I743" s="452"/>
    </row>
    <row r="744" spans="2:9" ht="12.75">
      <c r="B744" s="97"/>
      <c r="C744" s="75"/>
      <c r="D744" s="203"/>
      <c r="E744" s="44">
        <v>3301</v>
      </c>
      <c r="F744" s="390">
        <v>10000</v>
      </c>
      <c r="G744" s="109"/>
      <c r="H744" s="98"/>
      <c r="I744" s="452"/>
    </row>
    <row r="745" spans="2:9" ht="12.75">
      <c r="B745" s="97"/>
      <c r="C745" s="75"/>
      <c r="D745" s="203"/>
      <c r="E745" s="44">
        <v>3701</v>
      </c>
      <c r="F745" s="390">
        <v>49600</v>
      </c>
      <c r="G745" s="109"/>
      <c r="H745" s="98"/>
      <c r="I745" s="452"/>
    </row>
    <row r="746" spans="2:9" ht="12.75">
      <c r="B746" s="97"/>
      <c r="C746" s="181"/>
      <c r="D746" s="203"/>
      <c r="E746" s="44">
        <v>3702</v>
      </c>
      <c r="F746" s="390">
        <v>14000</v>
      </c>
      <c r="G746" s="109" t="s">
        <v>232</v>
      </c>
      <c r="H746" s="98"/>
      <c r="I746" s="452"/>
    </row>
    <row r="747" spans="2:9" ht="12.75">
      <c r="B747" s="97">
        <v>62</v>
      </c>
      <c r="C747" s="180" t="s">
        <v>689</v>
      </c>
      <c r="D747" s="203">
        <f>+F747</f>
        <v>21062</v>
      </c>
      <c r="E747" s="49">
        <v>2000</v>
      </c>
      <c r="F747" s="59">
        <f>SUM(F748:F750)</f>
        <v>21062</v>
      </c>
      <c r="G747" s="109"/>
      <c r="H747" s="98"/>
      <c r="I747" s="452"/>
    </row>
    <row r="748" spans="2:9" ht="12.75">
      <c r="B748" s="97"/>
      <c r="C748" s="86"/>
      <c r="D748" s="203"/>
      <c r="E748" s="44">
        <v>2101</v>
      </c>
      <c r="F748" s="58">
        <v>4510</v>
      </c>
      <c r="G748" s="109"/>
      <c r="H748" s="98"/>
      <c r="I748" s="452"/>
    </row>
    <row r="749" spans="2:9" ht="12.75">
      <c r="B749" s="97"/>
      <c r="C749" s="86"/>
      <c r="D749" s="203"/>
      <c r="E749" s="44">
        <v>2103</v>
      </c>
      <c r="F749" s="58">
        <v>5</v>
      </c>
      <c r="G749" s="109"/>
      <c r="H749" s="98"/>
      <c r="I749" s="452"/>
    </row>
    <row r="750" spans="2:9" ht="12.75">
      <c r="B750" s="97"/>
      <c r="C750" s="181"/>
      <c r="D750" s="203"/>
      <c r="E750" s="44">
        <v>2105</v>
      </c>
      <c r="F750" s="58">
        <v>16547</v>
      </c>
      <c r="G750" s="109"/>
      <c r="H750" s="98"/>
      <c r="I750" s="452"/>
    </row>
    <row r="751" spans="2:9" ht="25.5">
      <c r="B751" s="97">
        <v>63</v>
      </c>
      <c r="C751" s="180" t="s">
        <v>690</v>
      </c>
      <c r="D751" s="203">
        <f>+F751</f>
        <v>25944</v>
      </c>
      <c r="E751" s="49">
        <v>2000</v>
      </c>
      <c r="F751" s="59">
        <f>SUM(F752:F754)</f>
        <v>25944</v>
      </c>
      <c r="G751" s="109"/>
      <c r="H751" s="98"/>
      <c r="I751" s="452"/>
    </row>
    <row r="752" spans="2:9" ht="12.75">
      <c r="B752" s="97"/>
      <c r="C752" s="86"/>
      <c r="D752" s="203"/>
      <c r="E752" s="44">
        <v>2101</v>
      </c>
      <c r="F752" s="58">
        <v>7200</v>
      </c>
      <c r="G752" s="109"/>
      <c r="H752" s="98"/>
      <c r="I752" s="452"/>
    </row>
    <row r="753" spans="2:9" ht="12.75">
      <c r="B753" s="97"/>
      <c r="C753" s="86"/>
      <c r="D753" s="203"/>
      <c r="E753" s="44">
        <v>2105</v>
      </c>
      <c r="F753" s="58">
        <v>17744</v>
      </c>
      <c r="G753" s="109"/>
      <c r="H753" s="98"/>
      <c r="I753" s="452"/>
    </row>
    <row r="754" spans="2:9" ht="12.75">
      <c r="B754" s="97"/>
      <c r="C754" s="120"/>
      <c r="D754" s="202"/>
      <c r="E754" s="44">
        <v>2201</v>
      </c>
      <c r="F754" s="58">
        <v>1000</v>
      </c>
      <c r="G754" s="109"/>
      <c r="H754" s="98"/>
      <c r="I754" s="452"/>
    </row>
    <row r="755" spans="2:42" s="41" customFormat="1" ht="12.75">
      <c r="B755" s="97">
        <v>64</v>
      </c>
      <c r="C755" s="75" t="s">
        <v>687</v>
      </c>
      <c r="D755" s="48">
        <f>+F755+F761</f>
        <v>112621</v>
      </c>
      <c r="E755" s="49">
        <v>2000</v>
      </c>
      <c r="F755" s="59">
        <f>SUM(F756:F760)</f>
        <v>32621</v>
      </c>
      <c r="G755" s="109"/>
      <c r="H755" s="98"/>
      <c r="I755" s="452"/>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row>
    <row r="756" spans="2:42" s="41" customFormat="1" ht="12.75" customHeight="1">
      <c r="B756" s="97"/>
      <c r="C756" s="75"/>
      <c r="D756" s="48"/>
      <c r="E756" s="44">
        <v>2101</v>
      </c>
      <c r="F756" s="58">
        <v>8183</v>
      </c>
      <c r="G756" s="109"/>
      <c r="H756" s="98"/>
      <c r="I756" s="452"/>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row>
    <row r="757" spans="2:42" s="41" customFormat="1" ht="12.75">
      <c r="B757" s="97"/>
      <c r="C757" s="75"/>
      <c r="D757" s="48"/>
      <c r="E757" s="44">
        <v>2103</v>
      </c>
      <c r="F757" s="58">
        <v>19</v>
      </c>
      <c r="G757" s="109"/>
      <c r="H757" s="98"/>
      <c r="I757" s="452"/>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row>
    <row r="758" spans="2:42" s="41" customFormat="1" ht="12.75">
      <c r="B758" s="97"/>
      <c r="C758" s="75"/>
      <c r="D758" s="48"/>
      <c r="E758" s="44">
        <v>2105</v>
      </c>
      <c r="F758" s="58">
        <v>16719</v>
      </c>
      <c r="G758" s="109"/>
      <c r="H758" s="98"/>
      <c r="I758" s="452"/>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row>
    <row r="759" spans="2:42" s="41" customFormat="1" ht="12.75">
      <c r="B759" s="97"/>
      <c r="C759" s="75"/>
      <c r="D759" s="48"/>
      <c r="E759" s="44">
        <v>2201</v>
      </c>
      <c r="F759" s="58">
        <v>7200</v>
      </c>
      <c r="G759" s="109"/>
      <c r="H759" s="98"/>
      <c r="I759" s="452"/>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row>
    <row r="760" spans="2:42" s="41" customFormat="1" ht="12.75">
      <c r="B760" s="97"/>
      <c r="C760" s="231"/>
      <c r="D760" s="48"/>
      <c r="E760" s="44">
        <v>2302</v>
      </c>
      <c r="F760" s="58">
        <v>500</v>
      </c>
      <c r="G760" s="109"/>
      <c r="H760" s="98"/>
      <c r="I760" s="452"/>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row>
    <row r="761" spans="2:42" s="41" customFormat="1" ht="12.75">
      <c r="B761" s="97"/>
      <c r="C761" s="204"/>
      <c r="D761" s="48"/>
      <c r="E761" s="49">
        <v>3000</v>
      </c>
      <c r="F761" s="59">
        <f>SUM(F762:F763)</f>
        <v>80000</v>
      </c>
      <c r="G761" s="109"/>
      <c r="H761" s="98"/>
      <c r="I761" s="452"/>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row>
    <row r="762" spans="2:42" s="41" customFormat="1" ht="12.75">
      <c r="B762" s="97"/>
      <c r="C762" s="204"/>
      <c r="D762" s="48"/>
      <c r="E762" s="44">
        <v>3701</v>
      </c>
      <c r="F762" s="390">
        <f>24000+24000</f>
        <v>48000</v>
      </c>
      <c r="G762" s="109" t="s">
        <v>232</v>
      </c>
      <c r="H762" s="98"/>
      <c r="I762" s="452"/>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row>
    <row r="763" spans="2:42" s="41" customFormat="1" ht="12.75">
      <c r="B763" s="97"/>
      <c r="C763" s="76"/>
      <c r="D763" s="48"/>
      <c r="E763" s="44">
        <v>3702</v>
      </c>
      <c r="F763" s="390">
        <f>16000+16000</f>
        <v>32000</v>
      </c>
      <c r="G763" s="109" t="s">
        <v>232</v>
      </c>
      <c r="H763" s="98"/>
      <c r="I763" s="452"/>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row>
    <row r="764" spans="2:9" ht="12.75">
      <c r="B764" s="95"/>
      <c r="C764" s="220" t="s">
        <v>564</v>
      </c>
      <c r="D764" s="222">
        <f>SUM(D765:D1065)</f>
        <v>41113917.02</v>
      </c>
      <c r="E764" s="222"/>
      <c r="F764" s="222">
        <f>SUM(F765:F1065)/2</f>
        <v>41113917.02000001</v>
      </c>
      <c r="G764" s="107"/>
      <c r="H764" s="96"/>
      <c r="I764" s="451"/>
    </row>
    <row r="765" spans="1:9" ht="25.5">
      <c r="A765">
        <v>1</v>
      </c>
      <c r="B765" s="97">
        <v>65</v>
      </c>
      <c r="C765" s="75" t="s">
        <v>457</v>
      </c>
      <c r="D765" s="470">
        <f>+F765+F770</f>
        <v>589929</v>
      </c>
      <c r="E765" s="49">
        <v>2000</v>
      </c>
      <c r="F765" s="59">
        <f>SUM(F766:F769)</f>
        <v>44989</v>
      </c>
      <c r="G765" s="109" t="s">
        <v>456</v>
      </c>
      <c r="H765" s="98"/>
      <c r="I765" s="452"/>
    </row>
    <row r="766" spans="2:9" ht="12.75">
      <c r="B766" s="97"/>
      <c r="C766" s="75"/>
      <c r="D766" s="48"/>
      <c r="E766" s="44">
        <v>2101</v>
      </c>
      <c r="F766" s="58">
        <v>2800</v>
      </c>
      <c r="G766" s="109"/>
      <c r="H766" s="98"/>
      <c r="I766" s="452"/>
    </row>
    <row r="767" spans="2:9" ht="12.75">
      <c r="B767" s="97"/>
      <c r="C767" s="75"/>
      <c r="D767" s="48"/>
      <c r="E767" s="44">
        <v>2104</v>
      </c>
      <c r="F767" s="58">
        <v>14789</v>
      </c>
      <c r="G767" s="243"/>
      <c r="H767" s="98"/>
      <c r="I767" s="452"/>
    </row>
    <row r="768" spans="2:15" ht="12.75">
      <c r="B768" s="97"/>
      <c r="C768" s="75"/>
      <c r="D768" s="48"/>
      <c r="E768" s="44">
        <v>2105</v>
      </c>
      <c r="F768" s="58">
        <v>1400</v>
      </c>
      <c r="G768" s="109"/>
      <c r="H768" s="98"/>
      <c r="I768" s="452"/>
      <c r="O768" s="450">
        <f>+F764+5971900</f>
        <v>47085817.02000001</v>
      </c>
    </row>
    <row r="769" spans="2:9" ht="12.75">
      <c r="B769" s="97"/>
      <c r="C769" s="75"/>
      <c r="D769" s="48"/>
      <c r="E769" s="44">
        <v>2201</v>
      </c>
      <c r="F769" s="58">
        <v>26000</v>
      </c>
      <c r="G769" s="109"/>
      <c r="H769" s="98"/>
      <c r="I769" s="452"/>
    </row>
    <row r="770" spans="2:9" ht="12.75">
      <c r="B770" s="97"/>
      <c r="C770" s="75"/>
      <c r="D770" s="48"/>
      <c r="E770" s="49">
        <v>3000</v>
      </c>
      <c r="F770" s="59">
        <f>SUM(F771:F777)</f>
        <v>544940</v>
      </c>
      <c r="G770" s="109"/>
      <c r="H770" s="98"/>
      <c r="I770" s="452"/>
    </row>
    <row r="771" spans="2:9" ht="12.75">
      <c r="B771" s="97"/>
      <c r="C771" s="75"/>
      <c r="D771" s="48"/>
      <c r="E771" s="44">
        <v>3204</v>
      </c>
      <c r="F771" s="58">
        <v>6000</v>
      </c>
      <c r="G771" s="109"/>
      <c r="H771" s="98"/>
      <c r="I771" s="452"/>
    </row>
    <row r="772" spans="2:9" ht="12.75">
      <c r="B772" s="97"/>
      <c r="C772" s="75"/>
      <c r="D772" s="48"/>
      <c r="E772" s="44">
        <v>3301</v>
      </c>
      <c r="F772" s="390">
        <f>10400+250000+86300</f>
        <v>346700</v>
      </c>
      <c r="G772" s="109"/>
      <c r="H772" s="98"/>
      <c r="I772" s="452"/>
    </row>
    <row r="773" spans="2:9" ht="12.75">
      <c r="B773" s="97"/>
      <c r="C773" s="75"/>
      <c r="D773" s="48"/>
      <c r="E773" s="44">
        <v>3401</v>
      </c>
      <c r="F773" s="58">
        <v>19800</v>
      </c>
      <c r="G773" s="109"/>
      <c r="H773" s="98"/>
      <c r="I773" s="452"/>
    </row>
    <row r="774" spans="2:9" ht="12.75">
      <c r="B774" s="97"/>
      <c r="C774" s="75"/>
      <c r="D774" s="48"/>
      <c r="E774" s="44">
        <v>3602</v>
      </c>
      <c r="F774" s="58">
        <v>130000</v>
      </c>
      <c r="G774" s="109"/>
      <c r="H774" s="98"/>
      <c r="I774" s="452"/>
    </row>
    <row r="775" spans="2:9" ht="12.75">
      <c r="B775" s="97"/>
      <c r="C775" s="75"/>
      <c r="D775" s="48"/>
      <c r="E775" s="44">
        <v>3702</v>
      </c>
      <c r="F775" s="58">
        <v>28000</v>
      </c>
      <c r="G775" s="109" t="s">
        <v>232</v>
      </c>
      <c r="H775" s="98"/>
      <c r="I775" s="452"/>
    </row>
    <row r="776" spans="2:9" ht="12.75">
      <c r="B776" s="97"/>
      <c r="C776" s="75"/>
      <c r="D776" s="48"/>
      <c r="E776" s="44">
        <v>3703</v>
      </c>
      <c r="F776" s="58">
        <v>2440</v>
      </c>
      <c r="G776" s="109"/>
      <c r="H776" s="98"/>
      <c r="I776" s="452"/>
    </row>
    <row r="777" spans="2:9" ht="12.75">
      <c r="B777" s="97"/>
      <c r="C777" s="75"/>
      <c r="D777" s="48"/>
      <c r="E777" s="44">
        <v>3903</v>
      </c>
      <c r="F777" s="58">
        <v>12000</v>
      </c>
      <c r="G777" s="109"/>
      <c r="H777" s="98"/>
      <c r="I777" s="452"/>
    </row>
    <row r="778" spans="1:9" ht="12.75">
      <c r="A778">
        <v>2</v>
      </c>
      <c r="B778" s="97">
        <v>66</v>
      </c>
      <c r="C778" s="178" t="s">
        <v>454</v>
      </c>
      <c r="D778" s="470">
        <f>+F778+F783</f>
        <v>194100</v>
      </c>
      <c r="E778" s="49">
        <v>2000</v>
      </c>
      <c r="F778" s="59">
        <f>SUM(F779:F782)</f>
        <v>16110</v>
      </c>
      <c r="G778" s="109" t="s">
        <v>456</v>
      </c>
      <c r="H778" s="98"/>
      <c r="I778" s="452"/>
    </row>
    <row r="779" spans="2:9" ht="12.75">
      <c r="B779" s="97"/>
      <c r="C779" s="75"/>
      <c r="D779" s="48"/>
      <c r="E779" s="44">
        <v>2101</v>
      </c>
      <c r="F779" s="58">
        <v>1600</v>
      </c>
      <c r="G779" s="109"/>
      <c r="H779" s="98"/>
      <c r="I779" s="452"/>
    </row>
    <row r="780" spans="2:9" ht="12.75">
      <c r="B780" s="97"/>
      <c r="C780" s="75"/>
      <c r="D780" s="48"/>
      <c r="E780" s="44">
        <v>2104</v>
      </c>
      <c r="F780" s="58">
        <v>7610</v>
      </c>
      <c r="G780" s="109"/>
      <c r="H780" s="98"/>
      <c r="I780" s="452"/>
    </row>
    <row r="781" spans="2:9" ht="12.75">
      <c r="B781" s="97"/>
      <c r="C781" s="75"/>
      <c r="D781" s="48"/>
      <c r="E781" s="44">
        <v>2105</v>
      </c>
      <c r="F781" s="58">
        <v>900</v>
      </c>
      <c r="G781" s="109"/>
      <c r="H781" s="98"/>
      <c r="I781" s="452"/>
    </row>
    <row r="782" spans="2:9" ht="12.75">
      <c r="B782" s="97"/>
      <c r="C782" s="75"/>
      <c r="D782" s="48"/>
      <c r="E782" s="44">
        <v>2201</v>
      </c>
      <c r="F782" s="58">
        <v>6000</v>
      </c>
      <c r="G782" s="109"/>
      <c r="H782" s="98"/>
      <c r="I782" s="452"/>
    </row>
    <row r="783" spans="2:9" ht="12.75">
      <c r="B783" s="97"/>
      <c r="C783" s="75"/>
      <c r="D783" s="48"/>
      <c r="E783" s="49">
        <v>3000</v>
      </c>
      <c r="F783" s="59">
        <f>SUM(F784:F788)</f>
        <v>177990</v>
      </c>
      <c r="G783" s="109"/>
      <c r="H783" s="98"/>
      <c r="I783" s="452"/>
    </row>
    <row r="784" spans="2:9" ht="12.75">
      <c r="B784" s="97"/>
      <c r="C784" s="75"/>
      <c r="D784" s="48"/>
      <c r="E784" s="44">
        <v>3103</v>
      </c>
      <c r="F784" s="58">
        <v>3000</v>
      </c>
      <c r="G784" s="109"/>
      <c r="H784" s="98"/>
      <c r="I784" s="452"/>
    </row>
    <row r="785" spans="2:9" ht="12.75">
      <c r="B785" s="97"/>
      <c r="C785" s="75"/>
      <c r="D785" s="48"/>
      <c r="E785" s="44">
        <v>3401</v>
      </c>
      <c r="F785" s="58">
        <v>19800</v>
      </c>
      <c r="G785" s="109"/>
      <c r="H785" s="98"/>
      <c r="I785" s="452"/>
    </row>
    <row r="786" spans="2:9" ht="12.75">
      <c r="B786" s="97"/>
      <c r="C786" s="75"/>
      <c r="D786" s="48"/>
      <c r="E786" s="44">
        <v>3701</v>
      </c>
      <c r="F786" s="58">
        <v>96000</v>
      </c>
      <c r="G786" s="109" t="s">
        <v>232</v>
      </c>
      <c r="H786" s="98"/>
      <c r="I786" s="452"/>
    </row>
    <row r="787" spans="2:9" ht="12.75">
      <c r="B787" s="97"/>
      <c r="C787" s="75"/>
      <c r="D787" s="48"/>
      <c r="E787" s="44">
        <v>3702</v>
      </c>
      <c r="F787" s="58">
        <v>54000</v>
      </c>
      <c r="G787" s="109" t="s">
        <v>232</v>
      </c>
      <c r="H787" s="98"/>
      <c r="I787" s="452"/>
    </row>
    <row r="788" spans="2:9" ht="12.75">
      <c r="B788" s="97"/>
      <c r="C788" s="76"/>
      <c r="D788" s="48"/>
      <c r="E788" s="44">
        <v>3703</v>
      </c>
      <c r="F788" s="58">
        <v>5190</v>
      </c>
      <c r="G788" s="109"/>
      <c r="H788" s="98"/>
      <c r="I788" s="452"/>
    </row>
    <row r="789" spans="1:9" ht="12.75">
      <c r="A789">
        <v>3</v>
      </c>
      <c r="B789" s="97">
        <v>67</v>
      </c>
      <c r="C789" s="75" t="s">
        <v>459</v>
      </c>
      <c r="D789" s="470">
        <f>+F789+F794</f>
        <v>32349</v>
      </c>
      <c r="E789" s="49">
        <v>2000</v>
      </c>
      <c r="F789" s="59">
        <f>SUM(F790:F793)</f>
        <v>12549</v>
      </c>
      <c r="G789" s="109" t="s">
        <v>456</v>
      </c>
      <c r="H789" s="98"/>
      <c r="I789" s="452"/>
    </row>
    <row r="790" spans="2:9" ht="12.75">
      <c r="B790" s="97"/>
      <c r="C790" s="75"/>
      <c r="D790" s="48"/>
      <c r="E790" s="44">
        <v>2101</v>
      </c>
      <c r="F790" s="58">
        <v>1200</v>
      </c>
      <c r="G790" s="109"/>
      <c r="H790" s="98"/>
      <c r="I790" s="452"/>
    </row>
    <row r="791" spans="2:9" ht="12.75">
      <c r="B791" s="97"/>
      <c r="C791" s="75"/>
      <c r="D791" s="48"/>
      <c r="E791" s="44">
        <v>2104</v>
      </c>
      <c r="F791" s="58">
        <v>6449</v>
      </c>
      <c r="G791" s="109"/>
      <c r="H791" s="98"/>
      <c r="I791" s="452"/>
    </row>
    <row r="792" spans="2:9" ht="12.75">
      <c r="B792" s="97"/>
      <c r="C792" s="75"/>
      <c r="D792" s="48"/>
      <c r="E792" s="44">
        <v>2105</v>
      </c>
      <c r="F792" s="58">
        <v>900</v>
      </c>
      <c r="G792" s="109"/>
      <c r="H792" s="98"/>
      <c r="I792" s="452"/>
    </row>
    <row r="793" spans="2:9" ht="12.75">
      <c r="B793" s="97"/>
      <c r="C793" s="75"/>
      <c r="D793" s="48"/>
      <c r="E793" s="44">
        <v>2201</v>
      </c>
      <c r="F793" s="58">
        <v>4000</v>
      </c>
      <c r="G793" s="109"/>
      <c r="H793" s="98"/>
      <c r="I793" s="452"/>
    </row>
    <row r="794" spans="2:9" ht="12.75">
      <c r="B794" s="97"/>
      <c r="C794" s="75"/>
      <c r="D794" s="48"/>
      <c r="E794" s="49">
        <v>3000</v>
      </c>
      <c r="F794" s="59">
        <f>SUM(F795)</f>
        <v>19800</v>
      </c>
      <c r="G794" s="109"/>
      <c r="H794" s="98"/>
      <c r="I794" s="452"/>
    </row>
    <row r="795" spans="2:9" ht="12.75">
      <c r="B795" s="97"/>
      <c r="C795" s="75"/>
      <c r="D795" s="48"/>
      <c r="E795" s="44">
        <v>3401</v>
      </c>
      <c r="F795" s="58">
        <v>19800</v>
      </c>
      <c r="G795" s="109"/>
      <c r="H795" s="98"/>
      <c r="I795" s="452"/>
    </row>
    <row r="796" spans="1:9" ht="38.25">
      <c r="A796">
        <v>4</v>
      </c>
      <c r="B796" s="97">
        <v>68</v>
      </c>
      <c r="C796" s="178" t="s">
        <v>462</v>
      </c>
      <c r="D796" s="470">
        <f>+F796+F802</f>
        <v>4291884</v>
      </c>
      <c r="E796" s="49">
        <v>2000</v>
      </c>
      <c r="F796" s="59">
        <f>SUM(F797:F801)</f>
        <v>2331090</v>
      </c>
      <c r="G796" s="163" t="s">
        <v>456</v>
      </c>
      <c r="H796" s="98"/>
      <c r="I796" s="452"/>
    </row>
    <row r="797" spans="2:9" ht="12.75">
      <c r="B797" s="97"/>
      <c r="C797" s="75"/>
      <c r="D797" s="48"/>
      <c r="E797" s="44">
        <v>2101</v>
      </c>
      <c r="F797" s="58">
        <v>74852</v>
      </c>
      <c r="G797" s="163"/>
      <c r="H797" s="98"/>
      <c r="I797" s="452"/>
    </row>
    <row r="798" spans="2:9" ht="12.75">
      <c r="B798" s="97"/>
      <c r="C798" s="75"/>
      <c r="D798" s="48"/>
      <c r="E798" s="44">
        <v>2103</v>
      </c>
      <c r="F798" s="58">
        <v>1551193</v>
      </c>
      <c r="G798" s="109"/>
      <c r="H798" s="98"/>
      <c r="I798" s="452"/>
    </row>
    <row r="799" spans="2:9" ht="12.75">
      <c r="B799" s="97"/>
      <c r="C799" s="75"/>
      <c r="D799" s="48"/>
      <c r="E799" s="44">
        <v>2105</v>
      </c>
      <c r="F799" s="58">
        <v>94385</v>
      </c>
      <c r="G799" s="109"/>
      <c r="H799" s="98"/>
      <c r="I799" s="452"/>
    </row>
    <row r="800" spans="2:9" ht="12.75">
      <c r="B800" s="97"/>
      <c r="C800" s="75"/>
      <c r="D800" s="48"/>
      <c r="E800" s="44">
        <v>2201</v>
      </c>
      <c r="F800" s="58">
        <v>581860</v>
      </c>
      <c r="G800" s="109"/>
      <c r="H800" s="98"/>
      <c r="I800" s="452"/>
    </row>
    <row r="801" spans="2:9" ht="12.75">
      <c r="B801" s="97"/>
      <c r="C801" s="75"/>
      <c r="D801" s="48"/>
      <c r="E801" s="44">
        <v>2601</v>
      </c>
      <c r="F801" s="58">
        <v>28800</v>
      </c>
      <c r="G801" s="109" t="s">
        <v>154</v>
      </c>
      <c r="H801" s="98"/>
      <c r="I801" s="452"/>
    </row>
    <row r="802" spans="2:9" ht="12.75">
      <c r="B802" s="97"/>
      <c r="C802" s="75"/>
      <c r="D802" s="48"/>
      <c r="E802" s="49">
        <v>3000</v>
      </c>
      <c r="F802" s="59">
        <f>SUM(F803:F805)</f>
        <v>1960794</v>
      </c>
      <c r="G802" s="109"/>
      <c r="H802" s="98"/>
      <c r="I802" s="452"/>
    </row>
    <row r="803" spans="2:9" ht="12.75">
      <c r="B803" s="97"/>
      <c r="C803" s="75"/>
      <c r="D803" s="48"/>
      <c r="E803" s="44">
        <v>3701</v>
      </c>
      <c r="F803" s="58">
        <v>576180</v>
      </c>
      <c r="G803" s="109" t="s">
        <v>232</v>
      </c>
      <c r="H803" s="98"/>
      <c r="I803" s="452"/>
    </row>
    <row r="804" spans="2:9" ht="12.75">
      <c r="B804" s="97"/>
      <c r="C804" s="75"/>
      <c r="D804" s="48"/>
      <c r="E804" s="44">
        <v>3702</v>
      </c>
      <c r="F804" s="58">
        <v>1087506</v>
      </c>
      <c r="G804" s="109" t="s">
        <v>232</v>
      </c>
      <c r="H804" s="98"/>
      <c r="I804" s="452"/>
    </row>
    <row r="805" spans="2:9" ht="12.75">
      <c r="B805" s="97"/>
      <c r="C805" s="75"/>
      <c r="D805" s="48"/>
      <c r="E805" s="44">
        <v>3703</v>
      </c>
      <c r="F805" s="58">
        <v>297108</v>
      </c>
      <c r="G805" s="109"/>
      <c r="H805" s="98"/>
      <c r="I805" s="452"/>
    </row>
    <row r="806" spans="1:9" ht="38.25">
      <c r="A806">
        <v>5</v>
      </c>
      <c r="B806" s="97">
        <v>69</v>
      </c>
      <c r="C806" s="178" t="s">
        <v>465</v>
      </c>
      <c r="D806" s="470">
        <f>+F806+F811</f>
        <v>1622822</v>
      </c>
      <c r="E806" s="49">
        <v>2000</v>
      </c>
      <c r="F806" s="59">
        <f>SUM(F807:F810)</f>
        <v>223806</v>
      </c>
      <c r="G806" s="109"/>
      <c r="H806" s="98"/>
      <c r="I806" s="452"/>
    </row>
    <row r="807" spans="2:9" ht="12.75">
      <c r="B807" s="97"/>
      <c r="C807" s="75"/>
      <c r="D807" s="48"/>
      <c r="E807" s="44">
        <v>2101</v>
      </c>
      <c r="F807" s="58">
        <v>105</v>
      </c>
      <c r="G807" s="109"/>
      <c r="H807" s="98"/>
      <c r="I807" s="452"/>
    </row>
    <row r="808" spans="2:9" ht="12.75">
      <c r="B808" s="97"/>
      <c r="C808" s="75"/>
      <c r="D808" s="48"/>
      <c r="E808" s="44">
        <v>2103</v>
      </c>
      <c r="F808" s="58">
        <v>160800</v>
      </c>
      <c r="G808" s="109"/>
      <c r="H808" s="98"/>
      <c r="I808" s="452"/>
    </row>
    <row r="809" spans="2:9" ht="12.75">
      <c r="B809" s="97"/>
      <c r="C809" s="75"/>
      <c r="D809" s="48"/>
      <c r="E809" s="44">
        <v>2201</v>
      </c>
      <c r="F809" s="58">
        <v>50901</v>
      </c>
      <c r="G809" s="109"/>
      <c r="H809" s="98"/>
      <c r="I809" s="452"/>
    </row>
    <row r="810" spans="2:9" ht="12.75">
      <c r="B810" s="97"/>
      <c r="C810" s="75"/>
      <c r="D810" s="48"/>
      <c r="E810" s="44">
        <v>2601</v>
      </c>
      <c r="F810" s="58">
        <v>12000</v>
      </c>
      <c r="G810" s="109" t="s">
        <v>154</v>
      </c>
      <c r="H810" s="98"/>
      <c r="I810" s="452"/>
    </row>
    <row r="811" spans="2:9" ht="12.75">
      <c r="B811" s="97"/>
      <c r="C811" s="75"/>
      <c r="D811" s="48"/>
      <c r="E811" s="49">
        <v>3000</v>
      </c>
      <c r="F811" s="59">
        <f>SUM(F812:F814)</f>
        <v>1399016</v>
      </c>
      <c r="G811" s="109"/>
      <c r="H811" s="98"/>
      <c r="I811" s="452"/>
    </row>
    <row r="812" spans="2:9" ht="12.75">
      <c r="B812" s="97"/>
      <c r="C812" s="75"/>
      <c r="D812" s="48"/>
      <c r="E812" s="44">
        <v>3701</v>
      </c>
      <c r="F812" s="58">
        <v>30000</v>
      </c>
      <c r="G812" s="109" t="s">
        <v>232</v>
      </c>
      <c r="H812" s="98"/>
      <c r="I812" s="452"/>
    </row>
    <row r="813" spans="2:9" ht="12.75">
      <c r="B813" s="97"/>
      <c r="C813" s="75"/>
      <c r="D813" s="48"/>
      <c r="E813" s="44">
        <v>3702</v>
      </c>
      <c r="F813" s="58">
        <v>29016</v>
      </c>
      <c r="G813" s="109" t="s">
        <v>232</v>
      </c>
      <c r="H813" s="98"/>
      <c r="I813" s="452"/>
    </row>
    <row r="814" spans="2:9" ht="12.75">
      <c r="B814" s="97"/>
      <c r="C814" s="75"/>
      <c r="D814" s="48"/>
      <c r="E814" s="44">
        <v>3903</v>
      </c>
      <c r="F814" s="58">
        <v>1340000</v>
      </c>
      <c r="G814" s="109"/>
      <c r="H814" s="98"/>
      <c r="I814" s="452"/>
    </row>
    <row r="815" spans="1:9" ht="25.5">
      <c r="A815">
        <v>6</v>
      </c>
      <c r="B815" s="97">
        <v>70</v>
      </c>
      <c r="C815" s="178" t="s">
        <v>467</v>
      </c>
      <c r="D815" s="470">
        <f>+F815+F820</f>
        <v>1054331</v>
      </c>
      <c r="E815" s="49">
        <v>2000</v>
      </c>
      <c r="F815" s="59">
        <f>SUM(F816:F819)</f>
        <v>294225</v>
      </c>
      <c r="G815" s="163" t="s">
        <v>469</v>
      </c>
      <c r="H815" s="98"/>
      <c r="I815" s="452"/>
    </row>
    <row r="816" spans="2:9" ht="12.75">
      <c r="B816" s="97"/>
      <c r="C816" s="75"/>
      <c r="D816" s="48"/>
      <c r="E816" s="44">
        <v>2101</v>
      </c>
      <c r="F816" s="58">
        <v>210</v>
      </c>
      <c r="G816" s="109"/>
      <c r="H816" s="98"/>
      <c r="I816" s="452"/>
    </row>
    <row r="817" spans="2:9" ht="12.75">
      <c r="B817" s="97"/>
      <c r="C817" s="75"/>
      <c r="D817" s="48"/>
      <c r="E817" s="44">
        <v>2103</v>
      </c>
      <c r="F817" s="58">
        <v>221656</v>
      </c>
      <c r="G817" s="109"/>
      <c r="H817" s="98"/>
      <c r="I817" s="452"/>
    </row>
    <row r="818" spans="2:9" ht="12.75">
      <c r="B818" s="97"/>
      <c r="C818" s="75"/>
      <c r="D818" s="48"/>
      <c r="E818" s="44">
        <v>2105</v>
      </c>
      <c r="F818" s="58">
        <v>3655</v>
      </c>
      <c r="G818" s="109"/>
      <c r="H818" s="98"/>
      <c r="I818" s="452"/>
    </row>
    <row r="819" spans="2:9" ht="12.75">
      <c r="B819" s="97"/>
      <c r="C819" s="75"/>
      <c r="D819" s="48"/>
      <c r="E819" s="44">
        <v>2201</v>
      </c>
      <c r="F819" s="58">
        <v>68704</v>
      </c>
      <c r="G819" s="109"/>
      <c r="H819" s="98"/>
      <c r="I819" s="452"/>
    </row>
    <row r="820" spans="2:9" ht="12.75">
      <c r="B820" s="97"/>
      <c r="C820" s="75"/>
      <c r="D820" s="48"/>
      <c r="E820" s="49">
        <v>3000</v>
      </c>
      <c r="F820" s="59">
        <f>SUM(F821:F825)</f>
        <v>760106</v>
      </c>
      <c r="G820" s="109"/>
      <c r="H820" s="98"/>
      <c r="I820" s="452"/>
    </row>
    <row r="821" spans="2:9" ht="12.75">
      <c r="B821" s="97"/>
      <c r="C821" s="75"/>
      <c r="D821" s="48"/>
      <c r="E821" s="44">
        <v>3401</v>
      </c>
      <c r="F821" s="58">
        <v>42640</v>
      </c>
      <c r="G821" s="109"/>
      <c r="H821" s="98"/>
      <c r="I821" s="452"/>
    </row>
    <row r="822" spans="2:9" ht="12.75">
      <c r="B822" s="97"/>
      <c r="C822" s="75"/>
      <c r="D822" s="48"/>
      <c r="E822" s="44">
        <v>3701</v>
      </c>
      <c r="F822" s="58">
        <v>75480</v>
      </c>
      <c r="G822" s="109" t="s">
        <v>232</v>
      </c>
      <c r="H822" s="98"/>
      <c r="I822" s="452"/>
    </row>
    <row r="823" spans="2:9" ht="12.75">
      <c r="B823" s="97"/>
      <c r="C823" s="75"/>
      <c r="D823" s="48"/>
      <c r="E823" s="44">
        <v>3702</v>
      </c>
      <c r="F823" s="58">
        <v>141986</v>
      </c>
      <c r="G823" s="109" t="s">
        <v>232</v>
      </c>
      <c r="H823" s="98"/>
      <c r="I823" s="452"/>
    </row>
    <row r="824" spans="2:9" ht="12.75">
      <c r="B824" s="97"/>
      <c r="C824" s="75"/>
      <c r="D824" s="48"/>
      <c r="E824" s="44">
        <v>3703</v>
      </c>
      <c r="F824" s="58">
        <v>24000</v>
      </c>
      <c r="G824" s="109"/>
      <c r="H824" s="98"/>
      <c r="I824" s="452"/>
    </row>
    <row r="825" spans="2:9" ht="12.75">
      <c r="B825" s="97"/>
      <c r="C825" s="76"/>
      <c r="D825" s="48"/>
      <c r="E825" s="44">
        <v>3903</v>
      </c>
      <c r="F825" s="58">
        <v>476000</v>
      </c>
      <c r="G825" s="109"/>
      <c r="H825" s="98"/>
      <c r="I825" s="452"/>
    </row>
    <row r="826" spans="1:9" ht="38.25">
      <c r="A826">
        <v>7</v>
      </c>
      <c r="B826" s="97">
        <v>71</v>
      </c>
      <c r="C826" s="178" t="s">
        <v>470</v>
      </c>
      <c r="D826" s="470">
        <f>+F826</f>
        <v>275000</v>
      </c>
      <c r="E826" s="49">
        <v>3000</v>
      </c>
      <c r="F826" s="59">
        <f>SUM(F827:F828)</f>
        <v>275000</v>
      </c>
      <c r="G826" s="109"/>
      <c r="H826" s="98"/>
      <c r="I826" s="452"/>
    </row>
    <row r="827" spans="2:9" ht="12.75">
      <c r="B827" s="97"/>
      <c r="C827" s="75"/>
      <c r="D827" s="48"/>
      <c r="E827" s="44">
        <v>3701</v>
      </c>
      <c r="F827" s="58">
        <v>150000</v>
      </c>
      <c r="G827" s="109" t="s">
        <v>232</v>
      </c>
      <c r="H827" s="98"/>
      <c r="I827" s="452"/>
    </row>
    <row r="828" spans="2:9" ht="12.75">
      <c r="B828" s="97"/>
      <c r="C828" s="75"/>
      <c r="D828" s="48"/>
      <c r="E828" s="44">
        <v>3702</v>
      </c>
      <c r="F828" s="58">
        <v>125000</v>
      </c>
      <c r="G828" s="109" t="s">
        <v>232</v>
      </c>
      <c r="H828" s="98"/>
      <c r="I828" s="452"/>
    </row>
    <row r="829" spans="1:9" ht="25.5">
      <c r="A829">
        <v>11</v>
      </c>
      <c r="B829" s="97">
        <v>75</v>
      </c>
      <c r="C829" s="178" t="s">
        <v>481</v>
      </c>
      <c r="D829" s="470">
        <f>+F829+F831</f>
        <v>347700</v>
      </c>
      <c r="E829" s="49">
        <v>2000</v>
      </c>
      <c r="F829" s="59">
        <f>SUM(F830)</f>
        <v>4200</v>
      </c>
      <c r="G829" s="109"/>
      <c r="H829" s="98"/>
      <c r="I829" s="452"/>
    </row>
    <row r="830" spans="2:9" ht="12.75">
      <c r="B830" s="97"/>
      <c r="C830" s="75"/>
      <c r="D830" s="48"/>
      <c r="E830" s="44">
        <v>2201</v>
      </c>
      <c r="F830" s="58">
        <v>4200</v>
      </c>
      <c r="G830" s="109"/>
      <c r="H830" s="98"/>
      <c r="I830" s="452"/>
    </row>
    <row r="831" spans="2:9" ht="12.75">
      <c r="B831" s="97"/>
      <c r="C831" s="75"/>
      <c r="D831" s="48"/>
      <c r="E831" s="49">
        <v>3000</v>
      </c>
      <c r="F831" s="59">
        <f>SUM(F832:F834)</f>
        <v>343500</v>
      </c>
      <c r="G831" s="109"/>
      <c r="H831" s="98"/>
      <c r="I831" s="452"/>
    </row>
    <row r="832" spans="2:9" ht="12.75">
      <c r="B832" s="97"/>
      <c r="C832" s="75"/>
      <c r="D832" s="48"/>
      <c r="E832" s="44">
        <v>3301</v>
      </c>
      <c r="F832" s="58">
        <f>15000+97500</f>
        <v>112500</v>
      </c>
      <c r="G832" s="109"/>
      <c r="H832" s="98"/>
      <c r="I832" s="452"/>
    </row>
    <row r="833" spans="2:9" ht="12.75">
      <c r="B833" s="97"/>
      <c r="C833" s="75"/>
      <c r="D833" s="48"/>
      <c r="E833" s="44">
        <v>3701</v>
      </c>
      <c r="F833" s="58">
        <f>15000+18000+18000</f>
        <v>51000</v>
      </c>
      <c r="G833" s="109" t="s">
        <v>232</v>
      </c>
      <c r="H833" s="98"/>
      <c r="I833" s="452"/>
    </row>
    <row r="834" spans="2:9" ht="12.75">
      <c r="B834" s="97"/>
      <c r="C834" s="75"/>
      <c r="D834" s="48"/>
      <c r="E834" s="44">
        <v>3702</v>
      </c>
      <c r="F834" s="58">
        <f>67500+112500</f>
        <v>180000</v>
      </c>
      <c r="G834" s="109" t="s">
        <v>232</v>
      </c>
      <c r="H834" s="98"/>
      <c r="I834" s="452"/>
    </row>
    <row r="835" spans="1:9" ht="12.75">
      <c r="A835">
        <v>14</v>
      </c>
      <c r="B835" s="97">
        <v>78</v>
      </c>
      <c r="C835" s="178" t="s">
        <v>487</v>
      </c>
      <c r="D835" s="473">
        <f>+F835+F838</f>
        <v>264800</v>
      </c>
      <c r="E835" s="49">
        <v>2000</v>
      </c>
      <c r="F835" s="59">
        <f>SUM(F836:F837)</f>
        <v>13000</v>
      </c>
      <c r="G835" s="109"/>
      <c r="H835" s="96"/>
      <c r="I835" s="451"/>
    </row>
    <row r="836" spans="2:9" ht="12.75">
      <c r="B836" s="97"/>
      <c r="C836" s="75"/>
      <c r="D836" s="48"/>
      <c r="E836" s="44">
        <v>2103</v>
      </c>
      <c r="F836" s="58">
        <v>10000</v>
      </c>
      <c r="G836" s="109"/>
      <c r="H836" s="96"/>
      <c r="I836" s="451"/>
    </row>
    <row r="837" spans="2:9" ht="12.75">
      <c r="B837" s="97"/>
      <c r="C837" s="75"/>
      <c r="D837" s="48"/>
      <c r="E837" s="44">
        <v>2201</v>
      </c>
      <c r="F837" s="58">
        <v>3000</v>
      </c>
      <c r="G837" s="109"/>
      <c r="H837" s="96"/>
      <c r="I837" s="451"/>
    </row>
    <row r="838" spans="2:9" ht="12.75">
      <c r="B838" s="97"/>
      <c r="C838" s="75"/>
      <c r="D838" s="48"/>
      <c r="E838" s="49">
        <v>3000</v>
      </c>
      <c r="F838" s="59">
        <f>SUM(F839:F844)</f>
        <v>251800</v>
      </c>
      <c r="G838" s="163"/>
      <c r="H838" s="96"/>
      <c r="I838" s="451"/>
    </row>
    <row r="839" spans="2:9" ht="12.75">
      <c r="B839" s="97"/>
      <c r="C839" s="75"/>
      <c r="D839" s="48"/>
      <c r="E839" s="44">
        <v>3201</v>
      </c>
      <c r="F839" s="390">
        <v>7500</v>
      </c>
      <c r="G839" s="109"/>
      <c r="H839" s="96"/>
      <c r="I839" s="451"/>
    </row>
    <row r="840" spans="2:9" ht="12.75">
      <c r="B840" s="97"/>
      <c r="C840" s="75"/>
      <c r="D840" s="48"/>
      <c r="E840" s="44">
        <v>3301</v>
      </c>
      <c r="F840" s="390">
        <v>86300</v>
      </c>
      <c r="G840" s="109"/>
      <c r="H840" s="96"/>
      <c r="I840" s="451"/>
    </row>
    <row r="841" spans="2:9" ht="12.75">
      <c r="B841" s="97"/>
      <c r="C841" s="75"/>
      <c r="D841" s="48"/>
      <c r="E841" s="44">
        <v>3604</v>
      </c>
      <c r="F841" s="390">
        <v>5000</v>
      </c>
      <c r="G841" s="109"/>
      <c r="H841" s="96"/>
      <c r="I841" s="451"/>
    </row>
    <row r="842" spans="2:9" ht="12.75">
      <c r="B842" s="97"/>
      <c r="C842" s="75"/>
      <c r="D842" s="48"/>
      <c r="E842" s="44">
        <v>3701</v>
      </c>
      <c r="F842" s="390">
        <v>60000</v>
      </c>
      <c r="G842" s="109" t="s">
        <v>232</v>
      </c>
      <c r="H842" s="96"/>
      <c r="I842" s="451"/>
    </row>
    <row r="843" spans="2:9" ht="12.75">
      <c r="B843" s="97"/>
      <c r="C843" s="75"/>
      <c r="D843" s="48"/>
      <c r="E843" s="44">
        <v>3702</v>
      </c>
      <c r="F843" s="390">
        <v>65700</v>
      </c>
      <c r="G843" s="109" t="s">
        <v>232</v>
      </c>
      <c r="H843" s="96"/>
      <c r="I843" s="451"/>
    </row>
    <row r="844" spans="2:9" ht="12.75">
      <c r="B844" s="97"/>
      <c r="C844" s="75"/>
      <c r="D844" s="48"/>
      <c r="E844" s="44">
        <v>3703</v>
      </c>
      <c r="F844" s="390">
        <v>27300</v>
      </c>
      <c r="G844" s="109"/>
      <c r="H844" s="96"/>
      <c r="I844" s="451"/>
    </row>
    <row r="845" spans="1:42" s="41" customFormat="1" ht="25.5">
      <c r="A845" s="41">
        <v>15</v>
      </c>
      <c r="B845" s="97">
        <v>79</v>
      </c>
      <c r="C845" s="178" t="s">
        <v>490</v>
      </c>
      <c r="D845" s="470">
        <f>+F845</f>
        <v>165000</v>
      </c>
      <c r="E845" s="50">
        <v>3000</v>
      </c>
      <c r="F845" s="60">
        <f>SUM(F846:F849)</f>
        <v>165000</v>
      </c>
      <c r="G845" s="109"/>
      <c r="H845" s="98"/>
      <c r="I845" s="452"/>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row>
    <row r="846" spans="2:42" s="41" customFormat="1" ht="12.75">
      <c r="B846" s="97"/>
      <c r="C846" s="75"/>
      <c r="D846" s="50"/>
      <c r="E846" s="44">
        <v>3201</v>
      </c>
      <c r="F846" s="58">
        <v>12000</v>
      </c>
      <c r="G846" s="109"/>
      <c r="H846" s="98"/>
      <c r="I846" s="452"/>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row>
    <row r="847" spans="2:42" s="41" customFormat="1" ht="12.75">
      <c r="B847" s="97"/>
      <c r="C847" s="75"/>
      <c r="D847" s="50"/>
      <c r="E847" s="44">
        <v>3701</v>
      </c>
      <c r="F847" s="58">
        <v>60000</v>
      </c>
      <c r="G847" s="109" t="s">
        <v>232</v>
      </c>
      <c r="H847" s="98"/>
      <c r="I847" s="452"/>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row>
    <row r="848" spans="2:42" s="41" customFormat="1" ht="12.75">
      <c r="B848" s="97"/>
      <c r="C848" s="75"/>
      <c r="D848" s="50"/>
      <c r="E848" s="44">
        <v>3702</v>
      </c>
      <c r="F848" s="58">
        <v>65700</v>
      </c>
      <c r="G848" s="109" t="s">
        <v>232</v>
      </c>
      <c r="H848" s="98"/>
      <c r="I848" s="452"/>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row>
    <row r="849" spans="2:42" s="41" customFormat="1" ht="12.75">
      <c r="B849" s="97"/>
      <c r="C849" s="75"/>
      <c r="D849" s="50"/>
      <c r="E849" s="44">
        <v>3703</v>
      </c>
      <c r="F849" s="58">
        <v>27300</v>
      </c>
      <c r="G849" s="109"/>
      <c r="H849" s="98"/>
      <c r="I849" s="452"/>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row>
    <row r="850" spans="1:42" s="41" customFormat="1" ht="25.5">
      <c r="A850" s="41">
        <v>16</v>
      </c>
      <c r="B850" s="97">
        <v>80</v>
      </c>
      <c r="C850" s="178" t="s">
        <v>30</v>
      </c>
      <c r="D850" s="513">
        <f>+F850+F856</f>
        <v>4171900</v>
      </c>
      <c r="E850" s="241">
        <v>2000</v>
      </c>
      <c r="F850" s="391">
        <f>SUM(F851:F855)</f>
        <v>4137000</v>
      </c>
      <c r="G850" s="109"/>
      <c r="H850" s="98"/>
      <c r="I850" s="452"/>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row>
    <row r="851" spans="2:42" s="41" customFormat="1" ht="12.75">
      <c r="B851" s="97"/>
      <c r="C851" s="75"/>
      <c r="D851" s="530"/>
      <c r="E851" s="280">
        <v>2101</v>
      </c>
      <c r="F851" s="390">
        <v>28000</v>
      </c>
      <c r="G851" s="109"/>
      <c r="H851" s="98"/>
      <c r="I851" s="452"/>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row>
    <row r="852" spans="2:42" s="41" customFormat="1" ht="12.75">
      <c r="B852" s="97"/>
      <c r="C852" s="75"/>
      <c r="D852" s="530"/>
      <c r="E852" s="280">
        <v>2103</v>
      </c>
      <c r="F852" s="390">
        <v>12000</v>
      </c>
      <c r="G852" s="109"/>
      <c r="H852" s="98"/>
      <c r="I852" s="452"/>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row>
    <row r="853" spans="2:42" s="41" customFormat="1" ht="12.75">
      <c r="B853" s="97"/>
      <c r="C853" s="75"/>
      <c r="D853" s="530"/>
      <c r="E853" s="280">
        <v>2104</v>
      </c>
      <c r="F853" s="390">
        <v>8000</v>
      </c>
      <c r="G853" s="109"/>
      <c r="H853" s="98"/>
      <c r="I853" s="452"/>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row>
    <row r="854" spans="2:42" s="41" customFormat="1" ht="12.75">
      <c r="B854" s="97"/>
      <c r="C854" s="75"/>
      <c r="D854" s="531"/>
      <c r="E854" s="280">
        <v>2501</v>
      </c>
      <c r="F854" s="390">
        <v>589000</v>
      </c>
      <c r="G854" s="109" t="s">
        <v>154</v>
      </c>
      <c r="H854" s="98"/>
      <c r="I854" s="452"/>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row>
    <row r="855" spans="2:42" s="41" customFormat="1" ht="12.75">
      <c r="B855" s="97"/>
      <c r="C855" s="75"/>
      <c r="D855" s="531"/>
      <c r="E855" s="280">
        <v>2505</v>
      </c>
      <c r="F855" s="390">
        <v>3500000</v>
      </c>
      <c r="G855" s="109"/>
      <c r="H855" s="98"/>
      <c r="I855" s="452"/>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row>
    <row r="856" spans="2:42" s="41" customFormat="1" ht="12.75">
      <c r="B856" s="97"/>
      <c r="C856" s="75"/>
      <c r="D856" s="241"/>
      <c r="E856" s="241">
        <v>3000</v>
      </c>
      <c r="F856" s="60">
        <f>SUM(F857:F859)</f>
        <v>34900</v>
      </c>
      <c r="G856" s="109"/>
      <c r="H856" s="98"/>
      <c r="I856" s="452"/>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row>
    <row r="857" spans="2:42" s="41" customFormat="1" ht="12.75">
      <c r="B857" s="97"/>
      <c r="C857" s="75"/>
      <c r="D857" s="241"/>
      <c r="E857" s="280">
        <v>3701</v>
      </c>
      <c r="F857" s="390">
        <v>9300</v>
      </c>
      <c r="G857" s="109" t="s">
        <v>232</v>
      </c>
      <c r="H857" s="98"/>
      <c r="I857" s="452"/>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row>
    <row r="858" spans="2:42" s="41" customFormat="1" ht="12.75">
      <c r="B858" s="97"/>
      <c r="C858" s="75"/>
      <c r="D858" s="241"/>
      <c r="E858" s="280">
        <v>3702</v>
      </c>
      <c r="F858" s="390">
        <v>16000</v>
      </c>
      <c r="G858" s="109" t="s">
        <v>232</v>
      </c>
      <c r="H858" s="98"/>
      <c r="I858" s="452"/>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row>
    <row r="859" spans="2:42" s="41" customFormat="1" ht="12.75">
      <c r="B859" s="97"/>
      <c r="C859" s="76"/>
      <c r="D859" s="241"/>
      <c r="E859" s="280">
        <v>3703</v>
      </c>
      <c r="F859" s="390">
        <v>9600</v>
      </c>
      <c r="G859" s="109"/>
      <c r="H859" s="98"/>
      <c r="I859" s="452"/>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row>
    <row r="860" spans="1:42" s="41" customFormat="1" ht="25.5">
      <c r="A860" s="41">
        <v>17</v>
      </c>
      <c r="B860" s="97">
        <v>80</v>
      </c>
      <c r="C860" s="178" t="s">
        <v>491</v>
      </c>
      <c r="D860" s="513">
        <f>+F860+F865</f>
        <v>5971900</v>
      </c>
      <c r="E860" s="50">
        <v>2000</v>
      </c>
      <c r="F860" s="60">
        <f>SUM(F861:F864)</f>
        <v>4331300</v>
      </c>
      <c r="G860" s="109"/>
      <c r="H860" s="98"/>
      <c r="I860" s="452"/>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row>
    <row r="861" spans="2:42" s="41" customFormat="1" ht="12.75">
      <c r="B861" s="97"/>
      <c r="C861" s="75"/>
      <c r="D861" s="63"/>
      <c r="E861" s="44">
        <v>2106</v>
      </c>
      <c r="F861" s="390">
        <f>900000-29500</f>
        <v>870500</v>
      </c>
      <c r="G861" s="109"/>
      <c r="H861" s="98"/>
      <c r="I861" s="452"/>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row>
    <row r="862" spans="2:42" s="41" customFormat="1" ht="12.75">
      <c r="B862" s="97"/>
      <c r="C862" s="75"/>
      <c r="D862" s="63"/>
      <c r="E862" s="44">
        <v>2501</v>
      </c>
      <c r="F862" s="58">
        <v>650000</v>
      </c>
      <c r="G862" s="109"/>
      <c r="H862" s="98"/>
      <c r="I862" s="452"/>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row>
    <row r="863" spans="2:42" s="41" customFormat="1" ht="12.75">
      <c r="B863" s="97"/>
      <c r="C863" s="75"/>
      <c r="D863" s="63"/>
      <c r="E863" s="44">
        <v>2505</v>
      </c>
      <c r="F863" s="281">
        <v>2800000</v>
      </c>
      <c r="G863" s="109"/>
      <c r="H863" s="98"/>
      <c r="I863" s="452"/>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row>
    <row r="864" spans="2:42" s="41" customFormat="1" ht="12.75">
      <c r="B864" s="97"/>
      <c r="C864" s="75"/>
      <c r="D864" s="52"/>
      <c r="E864" s="44">
        <v>2601</v>
      </c>
      <c r="F864" s="281">
        <v>10800</v>
      </c>
      <c r="G864" s="109" t="s">
        <v>154</v>
      </c>
      <c r="H864" s="98"/>
      <c r="I864" s="452"/>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row>
    <row r="865" spans="2:42" s="41" customFormat="1" ht="12.75">
      <c r="B865" s="97"/>
      <c r="C865" s="75"/>
      <c r="D865" s="50"/>
      <c r="E865" s="50">
        <v>3000</v>
      </c>
      <c r="F865" s="532">
        <f>SUM(F866:F869)</f>
        <v>1640600</v>
      </c>
      <c r="G865" s="109"/>
      <c r="H865" s="98"/>
      <c r="I865" s="452"/>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row>
    <row r="866" spans="2:42" s="41" customFormat="1" ht="12.75">
      <c r="B866" s="97"/>
      <c r="C866" s="75"/>
      <c r="D866" s="50"/>
      <c r="E866" s="44">
        <v>3501</v>
      </c>
      <c r="F866" s="281">
        <v>1600000</v>
      </c>
      <c r="G866" s="109"/>
      <c r="H866" s="98"/>
      <c r="I866" s="452"/>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row>
    <row r="867" spans="2:42" s="41" customFormat="1" ht="12.75">
      <c r="B867" s="97"/>
      <c r="C867" s="75"/>
      <c r="D867" s="50"/>
      <c r="E867" s="44">
        <v>3701</v>
      </c>
      <c r="F867" s="281">
        <v>4000</v>
      </c>
      <c r="G867" s="109" t="s">
        <v>232</v>
      </c>
      <c r="H867" s="98"/>
      <c r="I867" s="452"/>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row>
    <row r="868" spans="2:42" s="41" customFormat="1" ht="12.75">
      <c r="B868" s="97"/>
      <c r="C868" s="75"/>
      <c r="D868" s="50"/>
      <c r="E868" s="44">
        <v>3702</v>
      </c>
      <c r="F868" s="58">
        <v>34500</v>
      </c>
      <c r="G868" s="109" t="s">
        <v>232</v>
      </c>
      <c r="H868" s="98"/>
      <c r="I868" s="452"/>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row>
    <row r="869" spans="2:42" s="41" customFormat="1" ht="12.75">
      <c r="B869" s="97"/>
      <c r="C869" s="76"/>
      <c r="D869" s="50"/>
      <c r="E869" s="44">
        <v>3703</v>
      </c>
      <c r="F869" s="58">
        <v>2100</v>
      </c>
      <c r="G869" s="109"/>
      <c r="H869" s="98"/>
      <c r="I869" s="452"/>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row>
    <row r="870" spans="1:42" s="41" customFormat="1" ht="25.5">
      <c r="A870" s="41">
        <v>18</v>
      </c>
      <c r="B870" s="97">
        <v>81</v>
      </c>
      <c r="C870" s="178" t="s">
        <v>492</v>
      </c>
      <c r="D870" s="515">
        <f>+F870+F874</f>
        <v>176000</v>
      </c>
      <c r="E870" s="50">
        <v>2000</v>
      </c>
      <c r="F870" s="60">
        <f>SUM(F871:F873)</f>
        <v>36000</v>
      </c>
      <c r="G870" s="236"/>
      <c r="H870" s="98"/>
      <c r="I870" s="452"/>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row>
    <row r="871" spans="2:42" s="41" customFormat="1" ht="12.75">
      <c r="B871" s="97"/>
      <c r="C871" s="75"/>
      <c r="D871" s="50"/>
      <c r="E871" s="44">
        <v>2101</v>
      </c>
      <c r="F871" s="58">
        <v>14000</v>
      </c>
      <c r="G871" s="109"/>
      <c r="H871" s="98"/>
      <c r="I871" s="452"/>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row>
    <row r="872" spans="2:42" s="41" customFormat="1" ht="12.75">
      <c r="B872" s="97"/>
      <c r="C872" s="75"/>
      <c r="D872" s="50"/>
      <c r="E872" s="44">
        <v>2103</v>
      </c>
      <c r="F872" s="58">
        <v>4000</v>
      </c>
      <c r="G872" s="109"/>
      <c r="H872" s="98"/>
      <c r="I872" s="452"/>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row>
    <row r="873" spans="2:42" s="41" customFormat="1" ht="12.75">
      <c r="B873" s="97"/>
      <c r="C873" s="75"/>
      <c r="D873" s="50"/>
      <c r="E873" s="44">
        <v>2104</v>
      </c>
      <c r="F873" s="58">
        <v>18000</v>
      </c>
      <c r="G873" s="109"/>
      <c r="H873" s="98"/>
      <c r="I873" s="452"/>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row>
    <row r="874" spans="2:42" s="41" customFormat="1" ht="12.75">
      <c r="B874" s="97"/>
      <c r="C874" s="75"/>
      <c r="D874" s="50"/>
      <c r="E874" s="49">
        <v>3000</v>
      </c>
      <c r="F874" s="59">
        <f>SUM(F875:F879)</f>
        <v>140000</v>
      </c>
      <c r="G874" s="109"/>
      <c r="H874" s="98"/>
      <c r="I874" s="452"/>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row>
    <row r="875" spans="2:42" s="41" customFormat="1" ht="12.75">
      <c r="B875" s="97"/>
      <c r="C875" s="75"/>
      <c r="D875" s="50"/>
      <c r="E875" s="44">
        <v>3301</v>
      </c>
      <c r="F875" s="58">
        <v>36000</v>
      </c>
      <c r="G875" s="109"/>
      <c r="H875" s="98"/>
      <c r="I875" s="452"/>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row>
    <row r="876" spans="2:42" s="41" customFormat="1" ht="12.75">
      <c r="B876" s="97"/>
      <c r="C876" s="75"/>
      <c r="D876" s="50"/>
      <c r="E876" s="44">
        <v>3701</v>
      </c>
      <c r="F876" s="58">
        <v>20000</v>
      </c>
      <c r="G876" s="109"/>
      <c r="H876" s="98"/>
      <c r="I876" s="452"/>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row>
    <row r="877" spans="2:42" s="41" customFormat="1" ht="12.75">
      <c r="B877" s="97"/>
      <c r="C877" s="75"/>
      <c r="D877" s="50"/>
      <c r="E877" s="44">
        <v>3702</v>
      </c>
      <c r="F877" s="58">
        <v>40000</v>
      </c>
      <c r="G877" s="109"/>
      <c r="H877" s="98"/>
      <c r="I877" s="452"/>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row>
    <row r="878" spans="2:42" s="41" customFormat="1" ht="12.75">
      <c r="B878" s="97"/>
      <c r="C878" s="75"/>
      <c r="D878" s="50"/>
      <c r="E878" s="44">
        <v>3703</v>
      </c>
      <c r="F878" s="58">
        <v>24000</v>
      </c>
      <c r="G878" s="109"/>
      <c r="H878" s="98"/>
      <c r="I878" s="452"/>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row>
    <row r="879" spans="2:42" s="41" customFormat="1" ht="12.75">
      <c r="B879" s="97"/>
      <c r="C879" s="75"/>
      <c r="D879" s="50"/>
      <c r="E879" s="44">
        <v>3802</v>
      </c>
      <c r="F879" s="58">
        <v>20000</v>
      </c>
      <c r="G879" s="109"/>
      <c r="H879" s="98"/>
      <c r="I879" s="452"/>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row>
    <row r="880" spans="1:42" s="41" customFormat="1" ht="12.75">
      <c r="A880" s="41">
        <v>19</v>
      </c>
      <c r="B880" s="97">
        <v>82</v>
      </c>
      <c r="C880" s="178" t="s">
        <v>494</v>
      </c>
      <c r="D880" s="516">
        <f>+F880+F882</f>
        <v>327000</v>
      </c>
      <c r="E880" s="50">
        <v>2000</v>
      </c>
      <c r="F880" s="60">
        <f>SUM(F881)</f>
        <v>66000</v>
      </c>
      <c r="G880" s="109"/>
      <c r="H880" s="98"/>
      <c r="I880" s="452"/>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row>
    <row r="881" spans="2:42" s="41" customFormat="1" ht="12.75" customHeight="1">
      <c r="B881" s="97"/>
      <c r="C881" s="75"/>
      <c r="D881" s="50"/>
      <c r="E881" s="44">
        <v>2304</v>
      </c>
      <c r="F881" s="58">
        <v>66000</v>
      </c>
      <c r="G881" s="109"/>
      <c r="H881" s="98"/>
      <c r="I881" s="452"/>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row>
    <row r="882" spans="2:42" s="41" customFormat="1" ht="12.75">
      <c r="B882" s="97"/>
      <c r="C882" s="75"/>
      <c r="D882" s="51"/>
      <c r="E882" s="50">
        <v>3000</v>
      </c>
      <c r="F882" s="60">
        <f>SUM(F883:F885)</f>
        <v>261000</v>
      </c>
      <c r="G882" s="109"/>
      <c r="H882" s="98"/>
      <c r="I882" s="452"/>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row>
    <row r="883" spans="2:42" s="41" customFormat="1" ht="12.75">
      <c r="B883" s="97"/>
      <c r="C883" s="75"/>
      <c r="D883" s="50"/>
      <c r="E883" s="44">
        <v>3301</v>
      </c>
      <c r="F883" s="58">
        <v>72000</v>
      </c>
      <c r="G883" s="108"/>
      <c r="H883" s="98"/>
      <c r="I883" s="452"/>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row>
    <row r="884" spans="2:42" s="41" customFormat="1" ht="12.75">
      <c r="B884" s="97"/>
      <c r="C884" s="75"/>
      <c r="D884" s="37"/>
      <c r="E884" s="44">
        <v>3702</v>
      </c>
      <c r="F884" s="58">
        <v>135000</v>
      </c>
      <c r="G884" s="108" t="s">
        <v>232</v>
      </c>
      <c r="H884" s="98"/>
      <c r="I884" s="452"/>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row>
    <row r="885" spans="2:42" s="41" customFormat="1" ht="12.75">
      <c r="B885" s="97"/>
      <c r="C885" s="76"/>
      <c r="D885" s="51"/>
      <c r="E885" s="44">
        <v>3703</v>
      </c>
      <c r="F885" s="58">
        <v>54000</v>
      </c>
      <c r="G885" s="109"/>
      <c r="H885" s="98"/>
      <c r="I885" s="452"/>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row>
    <row r="886" spans="1:42" s="41" customFormat="1" ht="25.5">
      <c r="A886" s="41">
        <v>20</v>
      </c>
      <c r="B886" s="97">
        <v>83</v>
      </c>
      <c r="C886" s="178" t="s">
        <v>33</v>
      </c>
      <c r="D886" s="517">
        <f>+F886+F891+F898</f>
        <v>4796000</v>
      </c>
      <c r="E886" s="50">
        <v>2000</v>
      </c>
      <c r="F886" s="60">
        <f>SUM(F887:F890)</f>
        <v>2014000</v>
      </c>
      <c r="G886" s="109" t="s">
        <v>456</v>
      </c>
      <c r="H886" s="98"/>
      <c r="I886" s="452"/>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row>
    <row r="887" spans="2:42" s="41" customFormat="1" ht="12.75">
      <c r="B887" s="97"/>
      <c r="C887" s="75"/>
      <c r="D887" s="51"/>
      <c r="E887" s="44">
        <v>2101</v>
      </c>
      <c r="F887" s="58">
        <v>6000</v>
      </c>
      <c r="G887" s="109"/>
      <c r="H887" s="98"/>
      <c r="I887" s="452"/>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row>
    <row r="888" spans="2:42" s="41" customFormat="1" ht="12.75">
      <c r="B888" s="97"/>
      <c r="C888" s="75"/>
      <c r="D888" s="65"/>
      <c r="E888" s="44">
        <v>2103</v>
      </c>
      <c r="F888" s="58">
        <v>2000000</v>
      </c>
      <c r="G888" s="109"/>
      <c r="H888" s="98"/>
      <c r="I888" s="452"/>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row>
    <row r="889" spans="2:42" s="41" customFormat="1" ht="12.75">
      <c r="B889" s="97"/>
      <c r="C889" s="75"/>
      <c r="D889" s="51"/>
      <c r="E889" s="44">
        <v>2201</v>
      </c>
      <c r="F889" s="58">
        <v>3000</v>
      </c>
      <c r="G889" s="109"/>
      <c r="H889" s="98"/>
      <c r="I889" s="452"/>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row>
    <row r="890" spans="2:42" s="41" customFormat="1" ht="12.75">
      <c r="B890" s="97"/>
      <c r="C890" s="75"/>
      <c r="D890" s="51"/>
      <c r="E890" s="44">
        <v>2601</v>
      </c>
      <c r="F890" s="58">
        <v>5000</v>
      </c>
      <c r="G890" s="109"/>
      <c r="H890" s="98"/>
      <c r="I890" s="452"/>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row>
    <row r="891" spans="2:42" s="41" customFormat="1" ht="12.75">
      <c r="B891" s="97"/>
      <c r="C891" s="75"/>
      <c r="D891" s="51"/>
      <c r="E891" s="50">
        <v>3000</v>
      </c>
      <c r="F891" s="60">
        <f>SUM(F892:F897)</f>
        <v>252000</v>
      </c>
      <c r="G891" s="109"/>
      <c r="H891" s="98"/>
      <c r="I891" s="452"/>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row>
    <row r="892" spans="2:42" s="41" customFormat="1" ht="12.75">
      <c r="B892" s="97"/>
      <c r="C892" s="75"/>
      <c r="D892" s="51"/>
      <c r="E892" s="44">
        <v>3301</v>
      </c>
      <c r="F892" s="58">
        <v>16000</v>
      </c>
      <c r="G892" s="109"/>
      <c r="H892" s="98"/>
      <c r="I892" s="452"/>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row>
    <row r="893" spans="2:42" s="41" customFormat="1" ht="12.75">
      <c r="B893" s="97"/>
      <c r="C893" s="75"/>
      <c r="D893" s="51"/>
      <c r="E893" s="44">
        <v>3701</v>
      </c>
      <c r="F893" s="58">
        <v>6500</v>
      </c>
      <c r="G893" s="108" t="s">
        <v>232</v>
      </c>
      <c r="H893" s="98"/>
      <c r="I893" s="452"/>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row>
    <row r="894" spans="2:42" s="41" customFormat="1" ht="12.75">
      <c r="B894" s="97"/>
      <c r="C894" s="75"/>
      <c r="D894" s="51"/>
      <c r="E894" s="44">
        <v>3702</v>
      </c>
      <c r="F894" s="58">
        <f>21000+120000</f>
        <v>141000</v>
      </c>
      <c r="G894" s="108" t="s">
        <v>232</v>
      </c>
      <c r="H894" s="98"/>
      <c r="I894" s="452"/>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row>
    <row r="895" spans="2:42" s="41" customFormat="1" ht="12.75">
      <c r="B895" s="97"/>
      <c r="C895" s="75"/>
      <c r="D895" s="51"/>
      <c r="E895" s="44">
        <v>3703</v>
      </c>
      <c r="F895" s="58">
        <f>4000+9500</f>
        <v>13500</v>
      </c>
      <c r="G895" s="108"/>
      <c r="H895" s="98"/>
      <c r="I895" s="452"/>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row>
    <row r="896" spans="2:42" s="41" customFormat="1" ht="12.75">
      <c r="B896" s="97"/>
      <c r="C896" s="75"/>
      <c r="D896" s="51"/>
      <c r="E896" s="44">
        <v>3802</v>
      </c>
      <c r="F896" s="58">
        <v>20000</v>
      </c>
      <c r="G896" s="108"/>
      <c r="H896" s="98"/>
      <c r="I896" s="452"/>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row>
    <row r="897" spans="2:42" s="41" customFormat="1" ht="12.75">
      <c r="B897" s="97"/>
      <c r="C897" s="75"/>
      <c r="D897" s="51"/>
      <c r="E897" s="44">
        <v>3903</v>
      </c>
      <c r="F897" s="390">
        <v>55000</v>
      </c>
      <c r="G897" s="108"/>
      <c r="H897" s="98"/>
      <c r="I897" s="452"/>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row>
    <row r="898" spans="2:42" s="41" customFormat="1" ht="12.75">
      <c r="B898" s="97"/>
      <c r="C898" s="75"/>
      <c r="D898" s="51"/>
      <c r="E898" s="50">
        <v>5000</v>
      </c>
      <c r="F898" s="60">
        <f>SUM(F899:F900)</f>
        <v>2530000</v>
      </c>
      <c r="G898" s="108"/>
      <c r="H898" s="98"/>
      <c r="I898" s="452"/>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row>
    <row r="899" spans="2:42" s="41" customFormat="1" ht="12.75">
      <c r="B899" s="97"/>
      <c r="C899" s="75"/>
      <c r="D899" s="51"/>
      <c r="E899" s="280">
        <v>5206</v>
      </c>
      <c r="F899" s="281">
        <v>30000</v>
      </c>
      <c r="G899" s="108"/>
      <c r="H899" s="98"/>
      <c r="I899" s="452"/>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row>
    <row r="900" spans="2:42" s="41" customFormat="1" ht="12.75">
      <c r="B900" s="97"/>
      <c r="C900" s="76"/>
      <c r="D900" s="51"/>
      <c r="E900" s="280">
        <v>5101</v>
      </c>
      <c r="F900" s="390">
        <v>2500000</v>
      </c>
      <c r="G900" s="109"/>
      <c r="H900" s="98"/>
      <c r="I900" s="452"/>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row>
    <row r="901" spans="1:42" s="41" customFormat="1" ht="12.75">
      <c r="A901" s="41">
        <v>21</v>
      </c>
      <c r="B901" s="97">
        <v>84</v>
      </c>
      <c r="C901" s="178" t="s">
        <v>34</v>
      </c>
      <c r="D901" s="66">
        <f>+F901+F906</f>
        <v>1855853</v>
      </c>
      <c r="E901" s="50">
        <v>2000</v>
      </c>
      <c r="F901" s="60">
        <f>SUM(F902:F905)</f>
        <v>188653</v>
      </c>
      <c r="G901" s="109" t="s">
        <v>456</v>
      </c>
      <c r="H901" s="98"/>
      <c r="I901" s="452"/>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row>
    <row r="902" spans="2:42" s="41" customFormat="1" ht="12.75">
      <c r="B902" s="97"/>
      <c r="C902" s="75"/>
      <c r="D902" s="51"/>
      <c r="E902" s="44">
        <v>2101</v>
      </c>
      <c r="F902" s="58">
        <v>2308</v>
      </c>
      <c r="G902" s="109"/>
      <c r="H902" s="98"/>
      <c r="I902" s="452"/>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row>
    <row r="903" spans="2:42" s="41" customFormat="1" ht="12.75">
      <c r="B903" s="97"/>
      <c r="C903" s="75"/>
      <c r="D903" s="51"/>
      <c r="E903" s="44">
        <v>2104</v>
      </c>
      <c r="F903" s="58">
        <v>138045</v>
      </c>
      <c r="G903" s="109"/>
      <c r="H903" s="98"/>
      <c r="I903" s="452"/>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row>
    <row r="904" spans="2:42" s="41" customFormat="1" ht="12.75">
      <c r="B904" s="97"/>
      <c r="C904" s="75"/>
      <c r="D904" s="51"/>
      <c r="E904" s="44">
        <v>2105</v>
      </c>
      <c r="F904" s="58">
        <v>13300</v>
      </c>
      <c r="G904" s="109"/>
      <c r="H904" s="98"/>
      <c r="I904" s="452"/>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row>
    <row r="905" spans="2:42" s="41" customFormat="1" ht="12.75">
      <c r="B905" s="97"/>
      <c r="C905" s="75"/>
      <c r="D905" s="51"/>
      <c r="E905" s="44">
        <v>2201</v>
      </c>
      <c r="F905" s="58">
        <v>35000</v>
      </c>
      <c r="G905" s="109"/>
      <c r="H905" s="98"/>
      <c r="I905" s="452"/>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row>
    <row r="906" spans="2:42" s="41" customFormat="1" ht="12.75">
      <c r="B906" s="97"/>
      <c r="C906" s="75"/>
      <c r="D906" s="51"/>
      <c r="E906" s="50">
        <v>3000</v>
      </c>
      <c r="F906" s="60">
        <f>SUM(F907:F915)</f>
        <v>1667200</v>
      </c>
      <c r="G906" s="109"/>
      <c r="H906" s="98"/>
      <c r="I906" s="452"/>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row>
    <row r="907" spans="2:42" s="41" customFormat="1" ht="12.75">
      <c r="B907" s="97"/>
      <c r="C907" s="75"/>
      <c r="D907" s="51"/>
      <c r="E907" s="44">
        <v>3204</v>
      </c>
      <c r="F907" s="58">
        <v>12000</v>
      </c>
      <c r="G907" s="109"/>
      <c r="H907" s="98"/>
      <c r="I907" s="452"/>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row>
    <row r="908" spans="2:42" s="41" customFormat="1" ht="12.75">
      <c r="B908" s="97"/>
      <c r="C908" s="75"/>
      <c r="D908" s="51"/>
      <c r="E908" s="44">
        <v>3301</v>
      </c>
      <c r="F908" s="58">
        <v>321300</v>
      </c>
      <c r="G908" s="109"/>
      <c r="H908" s="98"/>
      <c r="I908" s="452"/>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row>
    <row r="909" spans="2:42" s="41" customFormat="1" ht="12.75">
      <c r="B909" s="97"/>
      <c r="C909" s="75"/>
      <c r="D909" s="51"/>
      <c r="E909" s="44">
        <v>3401</v>
      </c>
      <c r="F909" s="58">
        <v>9900</v>
      </c>
      <c r="G909" s="109"/>
      <c r="H909" s="98"/>
      <c r="I909" s="452"/>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row>
    <row r="910" spans="2:42" s="41" customFormat="1" ht="12.75">
      <c r="B910" s="97"/>
      <c r="C910" s="75"/>
      <c r="D910" s="51"/>
      <c r="E910" s="44">
        <v>3701</v>
      </c>
      <c r="F910" s="390">
        <v>192000</v>
      </c>
      <c r="G910" s="109"/>
      <c r="H910" s="98"/>
      <c r="I910" s="452"/>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row>
    <row r="911" spans="2:42" s="41" customFormat="1" ht="12.75">
      <c r="B911" s="97"/>
      <c r="C911" s="75"/>
      <c r="D911" s="51"/>
      <c r="E911" s="280">
        <v>3702</v>
      </c>
      <c r="F911" s="390">
        <v>592000</v>
      </c>
      <c r="G911" s="108" t="s">
        <v>232</v>
      </c>
      <c r="H911" s="98"/>
      <c r="I911" s="452"/>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row>
    <row r="912" spans="2:42" s="41" customFormat="1" ht="12.75">
      <c r="B912" s="97"/>
      <c r="C912" s="75"/>
      <c r="D912" s="51"/>
      <c r="E912" s="44">
        <v>3703</v>
      </c>
      <c r="F912" s="390">
        <v>158400</v>
      </c>
      <c r="G912" s="109"/>
      <c r="H912" s="98"/>
      <c r="I912" s="452"/>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row>
    <row r="913" spans="2:42" s="41" customFormat="1" ht="12.75">
      <c r="B913" s="97"/>
      <c r="C913" s="75"/>
      <c r="D913" s="51"/>
      <c r="E913" s="44">
        <v>3801</v>
      </c>
      <c r="F913" s="58">
        <v>64800</v>
      </c>
      <c r="G913" s="109"/>
      <c r="H913" s="98"/>
      <c r="I913" s="452"/>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row>
    <row r="914" spans="2:42" s="41" customFormat="1" ht="12.75">
      <c r="B914" s="97"/>
      <c r="C914" s="75"/>
      <c r="D914" s="51"/>
      <c r="E914" s="44">
        <v>3903</v>
      </c>
      <c r="F914" s="58">
        <v>18000</v>
      </c>
      <c r="G914" s="109"/>
      <c r="H914" s="98"/>
      <c r="I914" s="452"/>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row>
    <row r="915" spans="2:42" s="41" customFormat="1" ht="12.75">
      <c r="B915" s="97"/>
      <c r="C915" s="76"/>
      <c r="D915" s="51"/>
      <c r="E915" s="44">
        <v>3907</v>
      </c>
      <c r="F915" s="58">
        <v>298800</v>
      </c>
      <c r="G915" s="109"/>
      <c r="H915" s="98"/>
      <c r="I915" s="452"/>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row>
    <row r="916" spans="1:42" s="41" customFormat="1" ht="38.25">
      <c r="A916" s="41">
        <v>22</v>
      </c>
      <c r="B916" s="97">
        <v>85</v>
      </c>
      <c r="C916" s="178" t="s">
        <v>37</v>
      </c>
      <c r="D916" s="520">
        <f>+F916+F921</f>
        <v>1104850</v>
      </c>
      <c r="E916" s="521">
        <v>2000</v>
      </c>
      <c r="F916" s="522">
        <f>SUM(F917:F920)</f>
        <v>0</v>
      </c>
      <c r="G916" s="109" t="s">
        <v>456</v>
      </c>
      <c r="H916" s="98"/>
      <c r="I916" s="452"/>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row>
    <row r="917" spans="2:42" s="41" customFormat="1" ht="12.75">
      <c r="B917" s="97"/>
      <c r="C917" s="75"/>
      <c r="D917" s="520"/>
      <c r="E917" s="523">
        <v>2101</v>
      </c>
      <c r="F917" s="524">
        <v>0</v>
      </c>
      <c r="G917" s="238"/>
      <c r="H917" s="98"/>
      <c r="I917" s="452"/>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row>
    <row r="918" spans="2:42" s="41" customFormat="1" ht="12.75">
      <c r="B918" s="97"/>
      <c r="C918" s="75"/>
      <c r="D918" s="520"/>
      <c r="E918" s="523">
        <v>2104</v>
      </c>
      <c r="F918" s="524">
        <v>0</v>
      </c>
      <c r="G918" s="518"/>
      <c r="H918" s="98"/>
      <c r="I918" s="452"/>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row>
    <row r="919" spans="2:42" s="41" customFormat="1" ht="12.75">
      <c r="B919" s="97"/>
      <c r="C919" s="75"/>
      <c r="D919" s="520"/>
      <c r="E919" s="523">
        <v>2105</v>
      </c>
      <c r="F919" s="524">
        <v>0</v>
      </c>
      <c r="G919" s="238"/>
      <c r="H919" s="98"/>
      <c r="I919" s="452"/>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row>
    <row r="920" spans="2:42" s="41" customFormat="1" ht="12.75">
      <c r="B920" s="97"/>
      <c r="C920" s="75"/>
      <c r="D920" s="520"/>
      <c r="E920" s="523">
        <v>2201</v>
      </c>
      <c r="F920" s="524">
        <v>0</v>
      </c>
      <c r="G920" s="238"/>
      <c r="H920" s="98"/>
      <c r="I920" s="452"/>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row>
    <row r="921" spans="2:42" s="41" customFormat="1" ht="12.75">
      <c r="B921" s="97"/>
      <c r="C921" s="75"/>
      <c r="D921" s="51"/>
      <c r="E921" s="49">
        <v>3000</v>
      </c>
      <c r="F921" s="59">
        <f>SUM(F922:F925)</f>
        <v>1104850</v>
      </c>
      <c r="G921" s="238"/>
      <c r="H921" s="98"/>
      <c r="I921" s="452"/>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row>
    <row r="922" spans="2:42" s="41" customFormat="1" ht="12.75">
      <c r="B922" s="97"/>
      <c r="C922" s="75"/>
      <c r="D922" s="51"/>
      <c r="E922" s="44">
        <v>3204</v>
      </c>
      <c r="F922" s="58">
        <v>6000</v>
      </c>
      <c r="G922" s="238"/>
      <c r="H922" s="98"/>
      <c r="I922" s="452"/>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row>
    <row r="923" spans="2:42" s="41" customFormat="1" ht="12.75">
      <c r="B923" s="97"/>
      <c r="C923" s="75"/>
      <c r="D923" s="51"/>
      <c r="E923" s="44">
        <v>3301</v>
      </c>
      <c r="F923" s="58">
        <v>338850</v>
      </c>
      <c r="G923" s="238"/>
      <c r="H923" s="98"/>
      <c r="I923" s="452"/>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row>
    <row r="924" spans="2:42" s="41" customFormat="1" ht="12.75" customHeight="1">
      <c r="B924" s="97"/>
      <c r="C924" s="75"/>
      <c r="D924" s="51"/>
      <c r="E924" s="44">
        <v>3702</v>
      </c>
      <c r="F924" s="58">
        <v>640000</v>
      </c>
      <c r="G924" s="238"/>
      <c r="H924" s="98"/>
      <c r="I924" s="452"/>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row>
    <row r="925" spans="2:42" s="41" customFormat="1" ht="12.75">
      <c r="B925" s="97"/>
      <c r="C925" s="75"/>
      <c r="D925" s="51"/>
      <c r="E925" s="44">
        <v>3703</v>
      </c>
      <c r="F925" s="58">
        <v>120000</v>
      </c>
      <c r="G925" s="238"/>
      <c r="H925" s="98"/>
      <c r="I925" s="452"/>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row>
    <row r="926" spans="1:42" s="41" customFormat="1" ht="12.75" customHeight="1">
      <c r="A926" s="41">
        <v>23</v>
      </c>
      <c r="B926" s="97">
        <v>86</v>
      </c>
      <c r="C926" s="178" t="s">
        <v>366</v>
      </c>
      <c r="D926" s="519">
        <f>+F926+F933</f>
        <v>619242</v>
      </c>
      <c r="E926" s="50">
        <v>2000</v>
      </c>
      <c r="F926" s="60">
        <f>SUM(F927:F932)</f>
        <v>37250</v>
      </c>
      <c r="G926" s="109"/>
      <c r="H926" s="98"/>
      <c r="I926" s="452"/>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row>
    <row r="927" spans="2:42" s="41" customFormat="1" ht="12.75" customHeight="1">
      <c r="B927" s="97"/>
      <c r="C927" s="75"/>
      <c r="D927" s="66"/>
      <c r="E927" s="44">
        <v>2101</v>
      </c>
      <c r="F927" s="390">
        <v>2936</v>
      </c>
      <c r="G927" s="109"/>
      <c r="H927" s="98"/>
      <c r="I927" s="452"/>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row>
    <row r="928" spans="2:42" s="41" customFormat="1" ht="12.75" customHeight="1">
      <c r="B928" s="97"/>
      <c r="C928" s="75"/>
      <c r="D928" s="66"/>
      <c r="E928" s="44">
        <v>2103</v>
      </c>
      <c r="F928" s="58">
        <v>14</v>
      </c>
      <c r="G928" s="109"/>
      <c r="H928" s="98"/>
      <c r="I928" s="452"/>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row>
    <row r="929" spans="2:42" s="41" customFormat="1" ht="12.75" customHeight="1">
      <c r="B929" s="97"/>
      <c r="C929" s="75"/>
      <c r="D929" s="66"/>
      <c r="E929" s="44">
        <v>2104</v>
      </c>
      <c r="F929" s="390">
        <v>0</v>
      </c>
      <c r="G929" s="109"/>
      <c r="H929" s="98"/>
      <c r="I929" s="452"/>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row>
    <row r="930" spans="2:42" s="41" customFormat="1" ht="12.75" customHeight="1">
      <c r="B930" s="97"/>
      <c r="C930" s="75"/>
      <c r="D930" s="66"/>
      <c r="E930" s="44">
        <v>2105</v>
      </c>
      <c r="F930" s="58">
        <v>10500</v>
      </c>
      <c r="G930" s="109"/>
      <c r="H930" s="98"/>
      <c r="I930" s="452"/>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row>
    <row r="931" spans="2:42" s="41" customFormat="1" ht="12.75" customHeight="1">
      <c r="B931" s="97"/>
      <c r="C931" s="75"/>
      <c r="D931" s="66"/>
      <c r="E931" s="44">
        <v>2201</v>
      </c>
      <c r="F931" s="390">
        <v>3800</v>
      </c>
      <c r="G931" s="109"/>
      <c r="H931" s="98"/>
      <c r="I931" s="452"/>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row>
    <row r="932" spans="2:42" s="41" customFormat="1" ht="12.75" customHeight="1">
      <c r="B932" s="97"/>
      <c r="C932" s="75"/>
      <c r="D932" s="66"/>
      <c r="E932" s="44">
        <v>2601</v>
      </c>
      <c r="F932" s="390">
        <v>20000</v>
      </c>
      <c r="G932" s="109"/>
      <c r="H932" s="98"/>
      <c r="I932" s="452"/>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row>
    <row r="933" spans="2:42" s="41" customFormat="1" ht="12.75" customHeight="1">
      <c r="B933" s="97"/>
      <c r="C933" s="75"/>
      <c r="D933" s="51"/>
      <c r="E933" s="50">
        <v>3000</v>
      </c>
      <c r="F933" s="60">
        <f>SUM(F934:F943)</f>
        <v>581992</v>
      </c>
      <c r="G933" s="109"/>
      <c r="H933" s="98"/>
      <c r="I933" s="452"/>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row>
    <row r="934" spans="2:42" s="41" customFormat="1" ht="12.75" customHeight="1">
      <c r="B934" s="97"/>
      <c r="C934" s="75"/>
      <c r="D934" s="51"/>
      <c r="E934" s="44">
        <v>3301</v>
      </c>
      <c r="F934" s="390">
        <f>310000+86300</f>
        <v>396300</v>
      </c>
      <c r="G934" s="109"/>
      <c r="H934" s="98"/>
      <c r="I934" s="452"/>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row>
    <row r="935" spans="2:42" s="41" customFormat="1" ht="12.75" customHeight="1">
      <c r="B935" s="97"/>
      <c r="C935" s="75"/>
      <c r="D935" s="51"/>
      <c r="E935" s="44">
        <v>3401</v>
      </c>
      <c r="F935" s="390">
        <v>6992</v>
      </c>
      <c r="G935" s="109"/>
      <c r="H935" s="98"/>
      <c r="I935" s="452"/>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row>
    <row r="936" spans="2:42" s="41" customFormat="1" ht="12.75" customHeight="1">
      <c r="B936" s="97"/>
      <c r="C936" s="75"/>
      <c r="D936" s="51"/>
      <c r="E936" s="44">
        <v>3601</v>
      </c>
      <c r="F936" s="58">
        <v>14000</v>
      </c>
      <c r="G936" s="109"/>
      <c r="H936" s="98"/>
      <c r="I936" s="452"/>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row>
    <row r="937" spans="2:42" s="41" customFormat="1" ht="12.75" customHeight="1">
      <c r="B937" s="97"/>
      <c r="C937" s="75"/>
      <c r="D937" s="51"/>
      <c r="E937" s="44">
        <v>3604</v>
      </c>
      <c r="F937" s="58">
        <v>13200</v>
      </c>
      <c r="G937" s="109"/>
      <c r="H937" s="98"/>
      <c r="I937" s="452"/>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row>
    <row r="938" spans="2:42" s="41" customFormat="1" ht="12.75" customHeight="1">
      <c r="B938" s="97"/>
      <c r="C938" s="75"/>
      <c r="D938" s="51"/>
      <c r="E938" s="44">
        <v>3701</v>
      </c>
      <c r="F938" s="58">
        <v>48000</v>
      </c>
      <c r="G938" s="109"/>
      <c r="H938" s="98"/>
      <c r="I938" s="452"/>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row>
    <row r="939" spans="2:42" s="41" customFormat="1" ht="12.75" customHeight="1">
      <c r="B939" s="97"/>
      <c r="C939" s="75"/>
      <c r="D939" s="51"/>
      <c r="E939" s="44">
        <v>3702</v>
      </c>
      <c r="F939" s="58">
        <v>69000</v>
      </c>
      <c r="G939" s="109"/>
      <c r="H939" s="98"/>
      <c r="I939" s="452"/>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row>
    <row r="940" spans="2:42" s="41" customFormat="1" ht="12.75" customHeight="1">
      <c r="B940" s="97"/>
      <c r="C940" s="75"/>
      <c r="D940" s="51"/>
      <c r="E940" s="44">
        <v>3703</v>
      </c>
      <c r="F940" s="58">
        <v>6000</v>
      </c>
      <c r="G940" s="109"/>
      <c r="H940" s="98"/>
      <c r="I940" s="452"/>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row>
    <row r="941" spans="2:42" s="41" customFormat="1" ht="12.75" customHeight="1">
      <c r="B941" s="97"/>
      <c r="C941" s="75"/>
      <c r="D941" s="51"/>
      <c r="E941" s="44">
        <v>3801</v>
      </c>
      <c r="F941" s="390">
        <f>4000+8000</f>
        <v>12000</v>
      </c>
      <c r="G941" s="109"/>
      <c r="H941" s="98"/>
      <c r="I941" s="452"/>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row>
    <row r="942" spans="2:42" s="41" customFormat="1" ht="12.75" customHeight="1">
      <c r="B942" s="97"/>
      <c r="C942" s="75"/>
      <c r="D942" s="51"/>
      <c r="E942" s="44">
        <v>3802</v>
      </c>
      <c r="F942" s="58">
        <v>15000</v>
      </c>
      <c r="G942" s="109"/>
      <c r="H942" s="98"/>
      <c r="I942" s="452"/>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row>
    <row r="943" spans="2:42" s="41" customFormat="1" ht="12.75" customHeight="1">
      <c r="B943" s="97"/>
      <c r="C943" s="75"/>
      <c r="D943" s="51"/>
      <c r="E943" s="44">
        <v>3907</v>
      </c>
      <c r="F943" s="58">
        <v>1500</v>
      </c>
      <c r="G943" s="109"/>
      <c r="H943" s="98"/>
      <c r="I943" s="452"/>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row>
    <row r="944" spans="1:42" s="41" customFormat="1" ht="25.5">
      <c r="A944" s="41">
        <v>24</v>
      </c>
      <c r="B944" s="97">
        <v>87</v>
      </c>
      <c r="C944" s="178" t="s">
        <v>368</v>
      </c>
      <c r="D944" s="526">
        <f>+F944+F947</f>
        <v>252560</v>
      </c>
      <c r="E944" s="50">
        <v>2000</v>
      </c>
      <c r="F944" s="60">
        <f>SUM(F945:F946)</f>
        <v>24360</v>
      </c>
      <c r="G944" s="109"/>
      <c r="H944" s="98"/>
      <c r="I944" s="452"/>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row>
    <row r="945" spans="2:42" s="41" customFormat="1" ht="12.75">
      <c r="B945" s="97"/>
      <c r="C945" s="75"/>
      <c r="D945" s="51"/>
      <c r="E945" s="45">
        <v>2101</v>
      </c>
      <c r="F945" s="61">
        <v>15360</v>
      </c>
      <c r="G945" s="109"/>
      <c r="H945" s="98"/>
      <c r="I945" s="452"/>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row>
    <row r="946" spans="2:42" s="41" customFormat="1" ht="12.75">
      <c r="B946" s="97"/>
      <c r="C946" s="75"/>
      <c r="D946" s="51"/>
      <c r="E946" s="45">
        <v>2201</v>
      </c>
      <c r="F946" s="61">
        <v>9000</v>
      </c>
      <c r="G946" s="109"/>
      <c r="H946" s="98"/>
      <c r="I946" s="452"/>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row>
    <row r="947" spans="2:42" s="41" customFormat="1" ht="12.75">
      <c r="B947" s="97"/>
      <c r="C947" s="75"/>
      <c r="D947" s="51"/>
      <c r="E947" s="50">
        <v>3000</v>
      </c>
      <c r="F947" s="60">
        <f>SUM(F948:F950)</f>
        <v>228200</v>
      </c>
      <c r="G947" s="109"/>
      <c r="H947" s="98"/>
      <c r="I947" s="452"/>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row>
    <row r="948" spans="2:42" s="41" customFormat="1" ht="12.75">
      <c r="B948" s="97"/>
      <c r="C948" s="75"/>
      <c r="D948" s="51"/>
      <c r="E948" s="45">
        <v>3601</v>
      </c>
      <c r="F948" s="61">
        <v>54000</v>
      </c>
      <c r="G948" s="109"/>
      <c r="H948" s="98"/>
      <c r="I948" s="452"/>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row>
    <row r="949" spans="2:42" s="41" customFormat="1" ht="12.75">
      <c r="B949" s="97"/>
      <c r="C949" s="75"/>
      <c r="D949" s="51"/>
      <c r="E949" s="45">
        <v>3701</v>
      </c>
      <c r="F949" s="61">
        <v>53800</v>
      </c>
      <c r="G949" s="109"/>
      <c r="H949" s="98"/>
      <c r="I949" s="452"/>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row>
    <row r="950" spans="2:42" s="41" customFormat="1" ht="12.75">
      <c r="B950" s="97"/>
      <c r="C950" s="76"/>
      <c r="D950" s="50"/>
      <c r="E950" s="45">
        <v>3702</v>
      </c>
      <c r="F950" s="61">
        <v>120400</v>
      </c>
      <c r="G950" s="109"/>
      <c r="H950" s="98"/>
      <c r="I950" s="452"/>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row>
    <row r="951" spans="1:42" s="41" customFormat="1" ht="26.25" customHeight="1">
      <c r="A951" s="41">
        <v>25</v>
      </c>
      <c r="B951" s="97">
        <v>88</v>
      </c>
      <c r="C951" s="178" t="s">
        <v>370</v>
      </c>
      <c r="D951" s="525">
        <f>+F951+F954</f>
        <v>2050930</v>
      </c>
      <c r="E951" s="50">
        <v>2000</v>
      </c>
      <c r="F951" s="60">
        <f>SUM(F952:F953)</f>
        <v>86080</v>
      </c>
      <c r="G951" s="107"/>
      <c r="H951" s="98"/>
      <c r="I951" s="452"/>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row>
    <row r="952" spans="2:42" s="41" customFormat="1" ht="12.75">
      <c r="B952" s="97"/>
      <c r="C952" s="75"/>
      <c r="D952" s="37"/>
      <c r="E952" s="45">
        <v>2104</v>
      </c>
      <c r="F952" s="61">
        <v>7600</v>
      </c>
      <c r="G952" s="107"/>
      <c r="H952" s="98"/>
      <c r="I952" s="452"/>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row>
    <row r="953" spans="2:42" s="41" customFormat="1" ht="12.75">
      <c r="B953" s="97"/>
      <c r="C953" s="75"/>
      <c r="D953" s="37"/>
      <c r="E953" s="45">
        <v>2201</v>
      </c>
      <c r="F953" s="61">
        <v>78480</v>
      </c>
      <c r="G953" s="107"/>
      <c r="H953" s="98"/>
      <c r="I953" s="452"/>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row>
    <row r="954" spans="2:42" s="41" customFormat="1" ht="12.75">
      <c r="B954" s="97"/>
      <c r="C954" s="75"/>
      <c r="D954" s="37"/>
      <c r="E954" s="50">
        <v>3000</v>
      </c>
      <c r="F954" s="60">
        <f>SUM(F955:F959)</f>
        <v>1964850</v>
      </c>
      <c r="G954" s="107"/>
      <c r="H954" s="98"/>
      <c r="I954" s="452"/>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row>
    <row r="955" spans="2:42" s="41" customFormat="1" ht="12.75">
      <c r="B955" s="97"/>
      <c r="C955" s="75"/>
      <c r="D955" s="37"/>
      <c r="E955" s="45">
        <v>3601</v>
      </c>
      <c r="F955" s="61">
        <v>24000</v>
      </c>
      <c r="G955" s="107"/>
      <c r="H955" s="98"/>
      <c r="I955" s="452"/>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row>
    <row r="956" spans="2:42" s="41" customFormat="1" ht="12.75">
      <c r="B956" s="97"/>
      <c r="C956" s="75"/>
      <c r="D956" s="37"/>
      <c r="E956" s="45">
        <v>3702</v>
      </c>
      <c r="F956" s="61">
        <v>955000</v>
      </c>
      <c r="G956" s="107"/>
      <c r="H956" s="98"/>
      <c r="I956" s="452"/>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row>
    <row r="957" spans="2:42" s="41" customFormat="1" ht="12.75">
      <c r="B957" s="97"/>
      <c r="C957" s="75"/>
      <c r="D957" s="37"/>
      <c r="E957" s="45">
        <v>3701</v>
      </c>
      <c r="F957" s="61">
        <v>696500</v>
      </c>
      <c r="G957" s="107"/>
      <c r="H957" s="98"/>
      <c r="I957" s="452"/>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row>
    <row r="958" spans="2:42" s="41" customFormat="1" ht="12.75">
      <c r="B958" s="97"/>
      <c r="C958" s="75"/>
      <c r="D958" s="37"/>
      <c r="E958" s="45">
        <v>3907</v>
      </c>
      <c r="F958" s="61">
        <v>283350</v>
      </c>
      <c r="G958" s="107"/>
      <c r="H958" s="98"/>
      <c r="I958" s="452"/>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row>
    <row r="959" spans="2:42" s="41" customFormat="1" ht="12.75">
      <c r="B959" s="97"/>
      <c r="C959" s="76"/>
      <c r="D959" s="37"/>
      <c r="E959" s="45">
        <v>3205</v>
      </c>
      <c r="F959" s="61">
        <v>6000</v>
      </c>
      <c r="G959" s="107"/>
      <c r="H959" s="98"/>
      <c r="I959" s="452"/>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row>
    <row r="960" spans="1:42" s="41" customFormat="1" ht="36.75" customHeight="1">
      <c r="A960" s="41">
        <v>26</v>
      </c>
      <c r="B960" s="97">
        <v>89</v>
      </c>
      <c r="C960" s="178" t="s">
        <v>372</v>
      </c>
      <c r="D960" s="473">
        <f>+F960+F963</f>
        <v>81983</v>
      </c>
      <c r="E960" s="49">
        <v>2000</v>
      </c>
      <c r="F960" s="59">
        <f>SUM(F961:F962)</f>
        <v>17543</v>
      </c>
      <c r="G960" s="109" t="s">
        <v>456</v>
      </c>
      <c r="H960" s="98"/>
      <c r="I960" s="452"/>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row>
    <row r="961" spans="2:42" s="41" customFormat="1" ht="12.75" customHeight="1">
      <c r="B961" s="97"/>
      <c r="C961" s="75"/>
      <c r="D961" s="48"/>
      <c r="E961" s="44">
        <v>2101</v>
      </c>
      <c r="F961" s="58">
        <f>12900+2643</f>
        <v>15543</v>
      </c>
      <c r="G961" s="109"/>
      <c r="H961" s="98"/>
      <c r="I961" s="452"/>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row>
    <row r="962" spans="2:42" s="41" customFormat="1" ht="12.75">
      <c r="B962" s="97"/>
      <c r="C962" s="75"/>
      <c r="D962" s="48"/>
      <c r="E962" s="44">
        <v>2201</v>
      </c>
      <c r="F962" s="58">
        <v>2000</v>
      </c>
      <c r="G962" s="109"/>
      <c r="H962" s="98"/>
      <c r="I962" s="452"/>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row>
    <row r="963" spans="2:42" s="41" customFormat="1" ht="12.75">
      <c r="B963" s="97"/>
      <c r="C963" s="75"/>
      <c r="D963" s="48"/>
      <c r="E963" s="49">
        <v>3000</v>
      </c>
      <c r="F963" s="59">
        <f>SUM(F964:F965)</f>
        <v>64440</v>
      </c>
      <c r="G963" s="109"/>
      <c r="H963" s="98"/>
      <c r="I963" s="452"/>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row>
    <row r="964" spans="2:42" s="41" customFormat="1" ht="12.75">
      <c r="B964" s="97"/>
      <c r="C964" s="75"/>
      <c r="D964" s="48"/>
      <c r="E964" s="44">
        <v>3701</v>
      </c>
      <c r="F964" s="390">
        <f>6000+37440</f>
        <v>43440</v>
      </c>
      <c r="G964" s="109" t="s">
        <v>232</v>
      </c>
      <c r="H964" s="98"/>
      <c r="I964" s="452"/>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row>
    <row r="965" spans="2:42" s="41" customFormat="1" ht="12.75">
      <c r="B965" s="97"/>
      <c r="C965" s="75"/>
      <c r="D965" s="48"/>
      <c r="E965" s="44">
        <v>3702</v>
      </c>
      <c r="F965" s="58">
        <v>21000</v>
      </c>
      <c r="G965" s="109" t="s">
        <v>232</v>
      </c>
      <c r="H965" s="98"/>
      <c r="I965" s="452"/>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row>
    <row r="966" spans="1:42" s="41" customFormat="1" ht="39.75" customHeight="1">
      <c r="A966" s="41">
        <v>27</v>
      </c>
      <c r="B966" s="97">
        <v>90</v>
      </c>
      <c r="C966" s="178" t="s">
        <v>374</v>
      </c>
      <c r="D966" s="470">
        <f>+F966+F970</f>
        <v>109842</v>
      </c>
      <c r="E966" s="49">
        <v>2000</v>
      </c>
      <c r="F966" s="59">
        <f>SUM(F967:F969)</f>
        <v>17982</v>
      </c>
      <c r="G966" s="109" t="s">
        <v>456</v>
      </c>
      <c r="H966" s="98"/>
      <c r="I966" s="452"/>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row>
    <row r="967" spans="2:42" s="41" customFormat="1" ht="12.75">
      <c r="B967" s="97"/>
      <c r="C967" s="75"/>
      <c r="D967" s="48"/>
      <c r="E967" s="44">
        <v>2101</v>
      </c>
      <c r="F967" s="58">
        <f>6500+7982</f>
        <v>14482</v>
      </c>
      <c r="G967" s="109"/>
      <c r="H967" s="98"/>
      <c r="I967" s="452"/>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row>
    <row r="968" spans="2:42" s="41" customFormat="1" ht="12.75">
      <c r="B968" s="97"/>
      <c r="C968" s="75"/>
      <c r="D968" s="48"/>
      <c r="E968" s="44">
        <v>2201</v>
      </c>
      <c r="F968" s="58">
        <v>2000</v>
      </c>
      <c r="G968" s="109"/>
      <c r="H968" s="98"/>
      <c r="I968" s="452"/>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row>
    <row r="969" spans="2:42" s="41" customFormat="1" ht="12.75" customHeight="1">
      <c r="B969" s="97"/>
      <c r="C969" s="75"/>
      <c r="D969" s="48"/>
      <c r="E969" s="44">
        <v>2601</v>
      </c>
      <c r="F969" s="58">
        <v>1500</v>
      </c>
      <c r="G969" s="109"/>
      <c r="H969" s="98"/>
      <c r="I969" s="452"/>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row>
    <row r="970" spans="2:42" s="41" customFormat="1" ht="12.75" customHeight="1">
      <c r="B970" s="97"/>
      <c r="C970" s="75"/>
      <c r="D970" s="48"/>
      <c r="E970" s="49">
        <v>3000</v>
      </c>
      <c r="F970" s="59">
        <f>SUM(F971:F975)</f>
        <v>91860</v>
      </c>
      <c r="G970" s="109"/>
      <c r="H970" s="98"/>
      <c r="I970" s="452"/>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row>
    <row r="971" spans="2:42" s="41" customFormat="1" ht="12.75" customHeight="1">
      <c r="B971" s="97"/>
      <c r="C971" s="75"/>
      <c r="D971" s="48"/>
      <c r="E971" s="44">
        <v>3301</v>
      </c>
      <c r="F971" s="58">
        <v>15000</v>
      </c>
      <c r="G971" s="109"/>
      <c r="H971" s="98"/>
      <c r="I971" s="452"/>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row>
    <row r="972" spans="2:42" s="41" customFormat="1" ht="12.75" customHeight="1">
      <c r="B972" s="97"/>
      <c r="C972" s="75"/>
      <c r="D972" s="48"/>
      <c r="E972" s="44">
        <v>3701</v>
      </c>
      <c r="F972" s="58">
        <v>12000</v>
      </c>
      <c r="G972" s="109"/>
      <c r="H972" s="98"/>
      <c r="I972" s="452"/>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row>
    <row r="973" spans="2:42" s="41" customFormat="1" ht="12.75">
      <c r="B973" s="97"/>
      <c r="C973" s="75"/>
      <c r="D973" s="48"/>
      <c r="E973" s="44">
        <v>3702</v>
      </c>
      <c r="F973" s="58">
        <f>21000+13860</f>
        <v>34860</v>
      </c>
      <c r="G973" s="109" t="s">
        <v>232</v>
      </c>
      <c r="H973" s="98"/>
      <c r="I973" s="452"/>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row>
    <row r="974" spans="2:42" s="41" customFormat="1" ht="12.75">
      <c r="B974" s="97"/>
      <c r="C974" s="75"/>
      <c r="D974" s="48"/>
      <c r="E974" s="44">
        <v>3802</v>
      </c>
      <c r="F974" s="58">
        <v>15000</v>
      </c>
      <c r="G974" s="109"/>
      <c r="H974" s="98"/>
      <c r="I974" s="452"/>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row>
    <row r="975" spans="2:42" s="41" customFormat="1" ht="12.75">
      <c r="B975" s="97"/>
      <c r="C975" s="76"/>
      <c r="D975" s="48"/>
      <c r="E975" s="44">
        <v>3903</v>
      </c>
      <c r="F975" s="58">
        <v>15000</v>
      </c>
      <c r="G975" s="109"/>
      <c r="H975" s="98"/>
      <c r="I975" s="452"/>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row>
    <row r="976" spans="1:9" ht="38.25">
      <c r="A976">
        <v>28</v>
      </c>
      <c r="B976" s="97">
        <v>91</v>
      </c>
      <c r="C976" s="178" t="s">
        <v>376</v>
      </c>
      <c r="D976" s="473">
        <f>+F976+F980:F980</f>
        <v>1991930</v>
      </c>
      <c r="E976" s="49">
        <v>2000</v>
      </c>
      <c r="F976" s="59">
        <f>SUM(F977:F979)</f>
        <v>33690</v>
      </c>
      <c r="G976" s="107"/>
      <c r="H976" s="96"/>
      <c r="I976" s="451"/>
    </row>
    <row r="977" spans="2:9" ht="12.75">
      <c r="B977" s="97"/>
      <c r="C977" s="75"/>
      <c r="D977" s="48"/>
      <c r="E977" s="44">
        <v>2101</v>
      </c>
      <c r="F977" s="390">
        <v>29890</v>
      </c>
      <c r="G977" s="107"/>
      <c r="H977" s="96"/>
      <c r="I977" s="451"/>
    </row>
    <row r="978" spans="2:9" ht="12.75">
      <c r="B978" s="97"/>
      <c r="C978" s="75"/>
      <c r="D978" s="48"/>
      <c r="E978" s="44">
        <v>2104</v>
      </c>
      <c r="F978" s="58">
        <v>3800</v>
      </c>
      <c r="G978" s="107"/>
      <c r="H978" s="96"/>
      <c r="I978" s="451"/>
    </row>
    <row r="979" spans="2:9" ht="12.75">
      <c r="B979" s="97"/>
      <c r="C979" s="75"/>
      <c r="D979" s="48"/>
      <c r="E979" s="44">
        <v>2701</v>
      </c>
      <c r="F979" s="390"/>
      <c r="G979" s="107"/>
      <c r="H979" s="96"/>
      <c r="I979" s="451"/>
    </row>
    <row r="980" spans="2:9" ht="12.75">
      <c r="B980" s="97"/>
      <c r="C980" s="75"/>
      <c r="D980" s="48"/>
      <c r="E980" s="49">
        <v>3000</v>
      </c>
      <c r="F980" s="59">
        <f>SUM(F981:F985)</f>
        <v>1958240</v>
      </c>
      <c r="G980" s="107"/>
      <c r="H980" s="96"/>
      <c r="I980" s="451"/>
    </row>
    <row r="981" spans="2:9" ht="12.75">
      <c r="B981" s="97"/>
      <c r="C981" s="75"/>
      <c r="D981" s="48"/>
      <c r="E981" s="44">
        <v>3205</v>
      </c>
      <c r="F981" s="58">
        <v>2000</v>
      </c>
      <c r="G981" s="107"/>
      <c r="H981" s="96"/>
      <c r="I981" s="451"/>
    </row>
    <row r="982" spans="2:9" ht="12.75">
      <c r="B982" s="97"/>
      <c r="C982" s="75"/>
      <c r="D982" s="48"/>
      <c r="E982" s="44">
        <v>3601</v>
      </c>
      <c r="F982" s="58">
        <v>31200</v>
      </c>
      <c r="G982" s="107"/>
      <c r="H982" s="96"/>
      <c r="I982" s="451"/>
    </row>
    <row r="983" spans="2:9" ht="12.75">
      <c r="B983" s="97"/>
      <c r="C983" s="75"/>
      <c r="D983" s="48"/>
      <c r="E983" s="44">
        <v>3701</v>
      </c>
      <c r="F983" s="390">
        <v>821340</v>
      </c>
      <c r="G983" s="107"/>
      <c r="H983" s="96"/>
      <c r="I983" s="451"/>
    </row>
    <row r="984" spans="2:9" ht="12.75">
      <c r="B984" s="97"/>
      <c r="C984" s="75"/>
      <c r="D984" s="48"/>
      <c r="E984" s="280">
        <v>3702</v>
      </c>
      <c r="F984" s="390">
        <v>1064700</v>
      </c>
      <c r="G984" s="107"/>
      <c r="H984" s="96"/>
      <c r="I984" s="451"/>
    </row>
    <row r="985" spans="2:9" ht="12.75">
      <c r="B985" s="97"/>
      <c r="C985" s="76"/>
      <c r="D985" s="48"/>
      <c r="E985" s="44">
        <v>3907</v>
      </c>
      <c r="F985" s="58">
        <v>39000</v>
      </c>
      <c r="G985" s="107"/>
      <c r="H985" s="96"/>
      <c r="I985" s="451"/>
    </row>
    <row r="986" spans="1:9" ht="25.5">
      <c r="A986">
        <v>29</v>
      </c>
      <c r="B986" s="97">
        <v>92</v>
      </c>
      <c r="C986" s="178" t="s">
        <v>378</v>
      </c>
      <c r="D986" s="473">
        <f>+F986+F988</f>
        <v>313897</v>
      </c>
      <c r="E986" s="49">
        <v>2000</v>
      </c>
      <c r="F986" s="59">
        <f>+F987</f>
        <v>8957</v>
      </c>
      <c r="G986" s="107"/>
      <c r="H986" s="96"/>
      <c r="I986" s="451"/>
    </row>
    <row r="987" spans="2:9" ht="12.75">
      <c r="B987" s="97"/>
      <c r="C987" s="75"/>
      <c r="D987" s="48"/>
      <c r="E987" s="44">
        <v>2101</v>
      </c>
      <c r="F987" s="58">
        <v>8957</v>
      </c>
      <c r="G987" s="107"/>
      <c r="H987" s="96"/>
      <c r="I987" s="451"/>
    </row>
    <row r="988" spans="2:9" ht="12.75">
      <c r="B988" s="97"/>
      <c r="C988" s="75"/>
      <c r="D988" s="48"/>
      <c r="E988" s="49">
        <v>3000</v>
      </c>
      <c r="F988" s="59">
        <f>+F989</f>
        <v>304940</v>
      </c>
      <c r="G988" s="107"/>
      <c r="H988" s="96"/>
      <c r="I988" s="451"/>
    </row>
    <row r="989" spans="2:9" ht="12.75">
      <c r="B989" s="97"/>
      <c r="C989" s="76"/>
      <c r="D989" s="48"/>
      <c r="E989" s="44">
        <v>3408</v>
      </c>
      <c r="F989" s="390">
        <v>304940</v>
      </c>
      <c r="G989" s="107"/>
      <c r="H989" s="96"/>
      <c r="I989" s="451"/>
    </row>
    <row r="990" spans="1:9" ht="25.5">
      <c r="A990">
        <v>30</v>
      </c>
      <c r="B990" s="97">
        <v>93</v>
      </c>
      <c r="C990" s="178" t="s">
        <v>380</v>
      </c>
      <c r="D990" s="473">
        <f>+F990+F995</f>
        <v>604277.81</v>
      </c>
      <c r="E990" s="49">
        <v>2000</v>
      </c>
      <c r="F990" s="59">
        <f>SUM(F991:F994)</f>
        <v>26617.81</v>
      </c>
      <c r="G990" s="107"/>
      <c r="H990" s="96"/>
      <c r="I990" s="451"/>
    </row>
    <row r="991" spans="2:9" ht="12.75">
      <c r="B991" s="97"/>
      <c r="C991" s="75"/>
      <c r="D991" s="48"/>
      <c r="E991" s="44">
        <v>2101</v>
      </c>
      <c r="F991" s="58">
        <v>3317.81</v>
      </c>
      <c r="G991" s="107"/>
      <c r="H991" s="96"/>
      <c r="I991" s="451"/>
    </row>
    <row r="992" spans="2:9" ht="12.75">
      <c r="B992" s="97"/>
      <c r="C992" s="75"/>
      <c r="D992" s="48"/>
      <c r="E992" s="44">
        <v>2201</v>
      </c>
      <c r="F992" s="58">
        <v>300</v>
      </c>
      <c r="G992" s="107"/>
      <c r="H992" s="96"/>
      <c r="I992" s="451"/>
    </row>
    <row r="993" spans="2:9" ht="12.75">
      <c r="B993" s="97"/>
      <c r="C993" s="75"/>
      <c r="D993" s="48"/>
      <c r="E993" s="280">
        <v>2206</v>
      </c>
      <c r="F993" s="281">
        <v>18000</v>
      </c>
      <c r="G993" s="107"/>
      <c r="H993" s="96"/>
      <c r="I993" s="451"/>
    </row>
    <row r="994" spans="2:9" ht="12.75">
      <c r="B994" s="97"/>
      <c r="C994" s="75"/>
      <c r="D994" s="48"/>
      <c r="E994" s="44">
        <v>2601</v>
      </c>
      <c r="F994" s="58">
        <v>5000</v>
      </c>
      <c r="G994" s="107"/>
      <c r="H994" s="96"/>
      <c r="I994" s="451"/>
    </row>
    <row r="995" spans="2:9" ht="12.75">
      <c r="B995" s="97"/>
      <c r="C995" s="75"/>
      <c r="D995" s="48"/>
      <c r="E995" s="49">
        <v>3000</v>
      </c>
      <c r="F995" s="59">
        <f>SUM(F996:F1000)</f>
        <v>577660</v>
      </c>
      <c r="G995" s="107"/>
      <c r="H995" s="96"/>
      <c r="I995" s="451"/>
    </row>
    <row r="996" spans="2:9" ht="12.75">
      <c r="B996" s="97"/>
      <c r="C996" s="75"/>
      <c r="D996" s="48"/>
      <c r="E996" s="44">
        <v>3604</v>
      </c>
      <c r="F996" s="58">
        <v>108000</v>
      </c>
      <c r="G996" s="107"/>
      <c r="H996" s="96"/>
      <c r="I996" s="451"/>
    </row>
    <row r="997" spans="2:9" ht="12.75">
      <c r="B997" s="97"/>
      <c r="C997" s="75"/>
      <c r="D997" s="48"/>
      <c r="E997" s="44">
        <v>3701</v>
      </c>
      <c r="F997" s="58">
        <v>95200</v>
      </c>
      <c r="G997" s="107"/>
      <c r="H997" s="96"/>
      <c r="I997" s="451"/>
    </row>
    <row r="998" spans="2:9" ht="12.75">
      <c r="B998" s="97"/>
      <c r="C998" s="75"/>
      <c r="D998" s="48"/>
      <c r="E998" s="44">
        <v>3702</v>
      </c>
      <c r="F998" s="58">
        <v>306000</v>
      </c>
      <c r="G998" s="107"/>
      <c r="H998" s="96"/>
      <c r="I998" s="451"/>
    </row>
    <row r="999" spans="2:9" ht="12.75">
      <c r="B999" s="97"/>
      <c r="C999" s="75"/>
      <c r="D999" s="48"/>
      <c r="E999" s="44">
        <v>3703</v>
      </c>
      <c r="F999" s="58">
        <v>20460</v>
      </c>
      <c r="G999" s="107"/>
      <c r="H999" s="96"/>
      <c r="I999" s="451"/>
    </row>
    <row r="1000" spans="2:9" ht="12.75">
      <c r="B1000" s="97"/>
      <c r="C1000" s="76"/>
      <c r="D1000" s="48"/>
      <c r="E1000" s="480">
        <v>3802</v>
      </c>
      <c r="F1000" s="390">
        <v>48000</v>
      </c>
      <c r="G1000" s="107"/>
      <c r="H1000" s="96"/>
      <c r="I1000" s="451"/>
    </row>
    <row r="1001" spans="1:9" s="374" customFormat="1" ht="25.5">
      <c r="A1001" s="510" t="s">
        <v>25</v>
      </c>
      <c r="B1001" s="487"/>
      <c r="C1001" s="482" t="s">
        <v>26</v>
      </c>
      <c r="D1001" s="483">
        <f>+F1001+F1005</f>
        <v>4842866</v>
      </c>
      <c r="E1001" s="424">
        <v>2000</v>
      </c>
      <c r="F1001" s="396">
        <f>SUM(F1002:F1004)</f>
        <v>255926</v>
      </c>
      <c r="G1001" s="484"/>
      <c r="H1001" s="485"/>
      <c r="I1001" s="486"/>
    </row>
    <row r="1002" spans="2:9" s="374" customFormat="1" ht="12.75">
      <c r="B1002" s="487"/>
      <c r="C1002" s="488"/>
      <c r="D1002" s="483"/>
      <c r="E1002" s="425">
        <v>2101</v>
      </c>
      <c r="F1002" s="367">
        <v>91926</v>
      </c>
      <c r="G1002" s="484"/>
      <c r="H1002" s="485"/>
      <c r="I1002" s="486"/>
    </row>
    <row r="1003" spans="2:9" s="374" customFormat="1" ht="12.75">
      <c r="B1003" s="487"/>
      <c r="C1003" s="488"/>
      <c r="D1003" s="483"/>
      <c r="E1003" s="425">
        <v>2201</v>
      </c>
      <c r="F1003" s="367">
        <v>50000</v>
      </c>
      <c r="G1003" s="484"/>
      <c r="H1003" s="485"/>
      <c r="I1003" s="486"/>
    </row>
    <row r="1004" spans="2:9" s="374" customFormat="1" ht="12.75">
      <c r="B1004" s="487"/>
      <c r="C1004" s="488"/>
      <c r="D1004" s="483"/>
      <c r="E1004" s="425" t="s">
        <v>478</v>
      </c>
      <c r="F1004" s="367">
        <v>114000</v>
      </c>
      <c r="G1004" s="484" t="s">
        <v>154</v>
      </c>
      <c r="H1004" s="485"/>
      <c r="I1004" s="486"/>
    </row>
    <row r="1005" spans="2:9" s="374" customFormat="1" ht="12.75">
      <c r="B1005" s="487"/>
      <c r="C1005" s="488"/>
      <c r="D1005" s="483"/>
      <c r="E1005" s="424">
        <v>3000</v>
      </c>
      <c r="F1005" s="396">
        <f>SUM(F1006:F1010)</f>
        <v>4586940</v>
      </c>
      <c r="G1005" s="484"/>
      <c r="H1005" s="485"/>
      <c r="I1005" s="486"/>
    </row>
    <row r="1006" spans="2:9" s="374" customFormat="1" ht="12.75">
      <c r="B1006" s="487"/>
      <c r="C1006" s="488"/>
      <c r="D1006" s="483"/>
      <c r="E1006" s="425">
        <v>3301</v>
      </c>
      <c r="F1006" s="367">
        <v>564000</v>
      </c>
      <c r="G1006" s="484"/>
      <c r="H1006" s="485"/>
      <c r="I1006" s="486"/>
    </row>
    <row r="1007" spans="2:9" s="374" customFormat="1" ht="12.75">
      <c r="B1007" s="487"/>
      <c r="C1007" s="488"/>
      <c r="D1007" s="483"/>
      <c r="E1007" s="425">
        <v>3701</v>
      </c>
      <c r="F1007" s="367">
        <v>1462400</v>
      </c>
      <c r="G1007" s="484" t="s">
        <v>232</v>
      </c>
      <c r="H1007" s="485"/>
      <c r="I1007" s="486"/>
    </row>
    <row r="1008" spans="2:9" s="374" customFormat="1" ht="12.75">
      <c r="B1008" s="487"/>
      <c r="C1008" s="488"/>
      <c r="D1008" s="483"/>
      <c r="E1008" s="425">
        <v>3702</v>
      </c>
      <c r="F1008" s="367">
        <v>2133500</v>
      </c>
      <c r="G1008" s="484"/>
      <c r="H1008" s="485"/>
      <c r="I1008" s="486"/>
    </row>
    <row r="1009" spans="2:9" s="374" customFormat="1" ht="12.75">
      <c r="B1009" s="487"/>
      <c r="C1009" s="488"/>
      <c r="D1009" s="483"/>
      <c r="E1009" s="425">
        <v>3703</v>
      </c>
      <c r="F1009" s="367">
        <v>397040</v>
      </c>
      <c r="G1009" s="484"/>
      <c r="H1009" s="485"/>
      <c r="I1009" s="486"/>
    </row>
    <row r="1010" spans="2:9" s="374" customFormat="1" ht="12.75">
      <c r="B1010" s="487"/>
      <c r="C1010" s="488"/>
      <c r="D1010" s="483"/>
      <c r="E1010" s="425">
        <v>3802</v>
      </c>
      <c r="F1010" s="367">
        <v>30000</v>
      </c>
      <c r="G1010" s="484"/>
      <c r="H1010" s="485"/>
      <c r="I1010" s="486"/>
    </row>
    <row r="1011" spans="1:9" ht="12.75">
      <c r="A1011">
        <v>32</v>
      </c>
      <c r="B1011" s="97">
        <v>95</v>
      </c>
      <c r="C1011" s="178" t="s">
        <v>384</v>
      </c>
      <c r="D1011" s="470">
        <f>+F1011+F1015</f>
        <v>739408.18</v>
      </c>
      <c r="E1011" s="174">
        <v>2000</v>
      </c>
      <c r="F1011" s="79">
        <f>SUM(F1012:F1014)</f>
        <v>29808.18</v>
      </c>
      <c r="G1011" s="173"/>
      <c r="H1011" s="96"/>
      <c r="I1011" s="451"/>
    </row>
    <row r="1012" spans="2:9" ht="12.75">
      <c r="B1012" s="97"/>
      <c r="C1012" s="75"/>
      <c r="D1012" s="48"/>
      <c r="E1012" s="189">
        <v>2101</v>
      </c>
      <c r="F1012" s="242">
        <v>7808.18</v>
      </c>
      <c r="G1012" s="173"/>
      <c r="H1012" s="96"/>
      <c r="I1012" s="451"/>
    </row>
    <row r="1013" spans="2:9" ht="12.75">
      <c r="B1013" s="97"/>
      <c r="C1013" s="75"/>
      <c r="D1013" s="48"/>
      <c r="E1013" s="189">
        <v>2201</v>
      </c>
      <c r="F1013" s="242">
        <v>6000</v>
      </c>
      <c r="G1013" s="173"/>
      <c r="H1013" s="96"/>
      <c r="I1013" s="451"/>
    </row>
    <row r="1014" spans="2:9" ht="12.75">
      <c r="B1014" s="97"/>
      <c r="C1014" s="75"/>
      <c r="D1014" s="48"/>
      <c r="E1014" s="189">
        <v>2601</v>
      </c>
      <c r="F1014" s="242">
        <v>16000</v>
      </c>
      <c r="G1014" s="173"/>
      <c r="H1014" s="96"/>
      <c r="I1014" s="451"/>
    </row>
    <row r="1015" spans="2:9" ht="12.75">
      <c r="B1015" s="97"/>
      <c r="C1015" s="75"/>
      <c r="D1015" s="48"/>
      <c r="E1015" s="176">
        <v>3000</v>
      </c>
      <c r="F1015" s="59">
        <f>SUM(F1016:F1018)</f>
        <v>709600</v>
      </c>
      <c r="G1015" s="173"/>
      <c r="H1015" s="96"/>
      <c r="I1015" s="451"/>
    </row>
    <row r="1016" spans="2:9" ht="12.75">
      <c r="B1016" s="97"/>
      <c r="C1016" s="75"/>
      <c r="D1016" s="48"/>
      <c r="E1016" s="189">
        <v>3701</v>
      </c>
      <c r="F1016" s="242">
        <v>392000</v>
      </c>
      <c r="G1016" s="173"/>
      <c r="H1016" s="96"/>
      <c r="I1016" s="451"/>
    </row>
    <row r="1017" spans="2:9" ht="12.75">
      <c r="B1017" s="97"/>
      <c r="C1017" s="75"/>
      <c r="D1017" s="48"/>
      <c r="E1017" s="189">
        <v>3702</v>
      </c>
      <c r="F1017" s="242">
        <v>300000</v>
      </c>
      <c r="G1017" s="173"/>
      <c r="H1017" s="96"/>
      <c r="I1017" s="451"/>
    </row>
    <row r="1018" spans="2:9" ht="12.75">
      <c r="B1018" s="97"/>
      <c r="C1018" s="76"/>
      <c r="D1018" s="48"/>
      <c r="E1018" s="189">
        <v>3703</v>
      </c>
      <c r="F1018" s="242">
        <v>17600</v>
      </c>
      <c r="G1018" s="173"/>
      <c r="H1018" s="96"/>
      <c r="I1018" s="451"/>
    </row>
    <row r="1019" spans="1:9" ht="25.5">
      <c r="A1019">
        <v>33</v>
      </c>
      <c r="B1019" s="97">
        <v>96</v>
      </c>
      <c r="C1019" s="178" t="s">
        <v>386</v>
      </c>
      <c r="D1019" s="470">
        <f>+F1019+F1021</f>
        <v>546150</v>
      </c>
      <c r="E1019" s="176">
        <v>2000</v>
      </c>
      <c r="F1019" s="59">
        <f>SUM(F1020)</f>
        <v>730</v>
      </c>
      <c r="G1019" s="173"/>
      <c r="H1019" s="96"/>
      <c r="I1019" s="451"/>
    </row>
    <row r="1020" spans="2:9" ht="12.75">
      <c r="B1020" s="97"/>
      <c r="C1020" s="75"/>
      <c r="D1020" s="48"/>
      <c r="E1020" s="175">
        <v>2101</v>
      </c>
      <c r="F1020" s="58">
        <v>730</v>
      </c>
      <c r="G1020" s="173"/>
      <c r="H1020" s="96"/>
      <c r="I1020" s="451"/>
    </row>
    <row r="1021" spans="2:9" ht="12.75">
      <c r="B1021" s="97"/>
      <c r="C1021" s="75"/>
      <c r="D1021" s="48"/>
      <c r="E1021" s="49">
        <v>3000</v>
      </c>
      <c r="F1021" s="59">
        <f>SUM(F1022:F1025)</f>
        <v>545420</v>
      </c>
      <c r="G1021" s="107"/>
      <c r="H1021" s="96"/>
      <c r="I1021" s="451"/>
    </row>
    <row r="1022" spans="2:9" ht="12.75">
      <c r="B1022" s="97"/>
      <c r="C1022" s="75"/>
      <c r="D1022" s="48"/>
      <c r="E1022" s="44">
        <v>3701</v>
      </c>
      <c r="F1022" s="58">
        <v>172200</v>
      </c>
      <c r="G1022" s="107"/>
      <c r="H1022" s="96"/>
      <c r="I1022" s="451"/>
    </row>
    <row r="1023" spans="2:9" ht="12.75">
      <c r="B1023" s="97"/>
      <c r="C1023" s="75"/>
      <c r="D1023" s="48"/>
      <c r="E1023" s="44">
        <v>3702</v>
      </c>
      <c r="F1023" s="58">
        <v>79500</v>
      </c>
      <c r="G1023" s="107"/>
      <c r="H1023" s="96"/>
      <c r="I1023" s="451"/>
    </row>
    <row r="1024" spans="2:9" ht="12.75">
      <c r="B1024" s="97"/>
      <c r="C1024" s="75"/>
      <c r="D1024" s="48"/>
      <c r="E1024" s="44">
        <v>3703</v>
      </c>
      <c r="F1024" s="58">
        <v>5720</v>
      </c>
      <c r="G1024" s="107"/>
      <c r="H1024" s="96"/>
      <c r="I1024" s="451"/>
    </row>
    <row r="1025" spans="2:9" ht="12.75">
      <c r="B1025" s="97"/>
      <c r="C1025" s="76"/>
      <c r="D1025" s="48"/>
      <c r="E1025" s="44">
        <v>3904</v>
      </c>
      <c r="F1025" s="58">
        <v>288000</v>
      </c>
      <c r="G1025" s="107"/>
      <c r="H1025" s="96"/>
      <c r="I1025" s="451"/>
    </row>
    <row r="1026" spans="2:9" s="404" customFormat="1" ht="29.25" customHeight="1">
      <c r="B1026" s="471" t="s">
        <v>22</v>
      </c>
      <c r="C1026" s="472" t="s">
        <v>20</v>
      </c>
      <c r="D1026" s="473">
        <f>+F1026+F1030</f>
        <v>778400</v>
      </c>
      <c r="E1026" s="474">
        <v>2000</v>
      </c>
      <c r="F1026" s="393">
        <f>SUM(F1027:F1029)</f>
        <v>280000</v>
      </c>
      <c r="G1026" s="475"/>
      <c r="H1026" s="476"/>
      <c r="I1026" s="477"/>
    </row>
    <row r="1027" spans="2:9" s="404" customFormat="1" ht="12.75">
      <c r="B1027" s="478"/>
      <c r="C1027" s="479"/>
      <c r="D1027" s="473"/>
      <c r="E1027" s="480" t="s">
        <v>473</v>
      </c>
      <c r="F1027" s="390">
        <v>100000</v>
      </c>
      <c r="G1027" s="475"/>
      <c r="H1027" s="476"/>
      <c r="I1027" s="477"/>
    </row>
    <row r="1028" spans="2:9" s="404" customFormat="1" ht="12.75">
      <c r="B1028" s="478"/>
      <c r="C1028" s="479"/>
      <c r="D1028" s="473"/>
      <c r="E1028" s="480" t="s">
        <v>474</v>
      </c>
      <c r="F1028" s="390">
        <v>20000</v>
      </c>
      <c r="G1028" s="475"/>
      <c r="H1028" s="476"/>
      <c r="I1028" s="477"/>
    </row>
    <row r="1029" spans="2:9" s="404" customFormat="1" ht="12.75">
      <c r="B1029" s="478"/>
      <c r="C1029" s="479"/>
      <c r="D1029" s="473"/>
      <c r="E1029" s="480">
        <v>2601</v>
      </c>
      <c r="F1029" s="390">
        <v>160000</v>
      </c>
      <c r="G1029" s="475" t="s">
        <v>154</v>
      </c>
      <c r="H1029" s="476"/>
      <c r="I1029" s="477"/>
    </row>
    <row r="1030" spans="2:9" s="404" customFormat="1" ht="12.75">
      <c r="B1030" s="478"/>
      <c r="C1030" s="479"/>
      <c r="D1030" s="473"/>
      <c r="E1030" s="474">
        <v>3000</v>
      </c>
      <c r="F1030" s="393">
        <f>SUM(F1031:F1033)</f>
        <v>498400</v>
      </c>
      <c r="G1030" s="475"/>
      <c r="H1030" s="476"/>
      <c r="I1030" s="477"/>
    </row>
    <row r="1031" spans="2:9" s="404" customFormat="1" ht="12.75">
      <c r="B1031" s="478"/>
      <c r="C1031" s="479"/>
      <c r="D1031" s="473"/>
      <c r="E1031" s="480">
        <v>3702</v>
      </c>
      <c r="F1031" s="390">
        <v>384000</v>
      </c>
      <c r="G1031" s="475" t="s">
        <v>232</v>
      </c>
      <c r="H1031" s="476"/>
      <c r="I1031" s="477"/>
    </row>
    <row r="1032" spans="2:9" s="404" customFormat="1" ht="12.75">
      <c r="B1032" s="478"/>
      <c r="C1032" s="479"/>
      <c r="D1032" s="473"/>
      <c r="E1032" s="480">
        <v>3703</v>
      </c>
      <c r="F1032" s="390">
        <v>102400</v>
      </c>
      <c r="G1032" s="475"/>
      <c r="H1032" s="476"/>
      <c r="I1032" s="477"/>
    </row>
    <row r="1033" spans="2:9" s="404" customFormat="1" ht="12.75">
      <c r="B1033" s="478"/>
      <c r="C1033" s="481"/>
      <c r="D1033" s="473"/>
      <c r="E1033" s="480">
        <v>3903</v>
      </c>
      <c r="F1033" s="390">
        <v>12000</v>
      </c>
      <c r="G1033" s="475"/>
      <c r="H1033" s="476"/>
      <c r="I1033" s="477"/>
    </row>
    <row r="1034" spans="1:9" ht="25.5">
      <c r="A1034">
        <v>37</v>
      </c>
      <c r="B1034" s="97">
        <v>98</v>
      </c>
      <c r="C1034" s="178" t="s">
        <v>390</v>
      </c>
      <c r="D1034" s="470">
        <f>+F1034+F1037</f>
        <v>104550</v>
      </c>
      <c r="E1034" s="49">
        <v>2000</v>
      </c>
      <c r="F1034" s="59">
        <f>SUM(F1035:F1036)</f>
        <v>92250</v>
      </c>
      <c r="G1034" s="107"/>
      <c r="H1034" s="96"/>
      <c r="I1034" s="451"/>
    </row>
    <row r="1035" spans="2:9" ht="12.75">
      <c r="B1035" s="97"/>
      <c r="C1035" s="75"/>
      <c r="D1035" s="48"/>
      <c r="E1035" s="44">
        <v>2104</v>
      </c>
      <c r="F1035" s="58">
        <v>48000</v>
      </c>
      <c r="G1035" s="107"/>
      <c r="H1035" s="96"/>
      <c r="I1035" s="451"/>
    </row>
    <row r="1036" spans="2:9" ht="12.75">
      <c r="B1036" s="97"/>
      <c r="C1036" s="75"/>
      <c r="D1036" s="48"/>
      <c r="E1036" s="44">
        <v>2601</v>
      </c>
      <c r="F1036" s="58">
        <v>44250</v>
      </c>
      <c r="G1036" s="107"/>
      <c r="H1036" s="96"/>
      <c r="I1036" s="451"/>
    </row>
    <row r="1037" spans="2:9" ht="12.75">
      <c r="B1037" s="97"/>
      <c r="C1037" s="75"/>
      <c r="D1037" s="48"/>
      <c r="E1037" s="49">
        <v>3000</v>
      </c>
      <c r="F1037" s="59">
        <f>SUM(F1038)</f>
        <v>12300</v>
      </c>
      <c r="G1037" s="107"/>
      <c r="H1037" s="96"/>
      <c r="I1037" s="451"/>
    </row>
    <row r="1038" spans="2:9" ht="12.75">
      <c r="B1038" s="172"/>
      <c r="C1038" s="76"/>
      <c r="D1038" s="171"/>
      <c r="E1038" s="44">
        <v>3401</v>
      </c>
      <c r="F1038" s="58">
        <v>12300</v>
      </c>
      <c r="G1038" s="107"/>
      <c r="H1038" s="96"/>
      <c r="I1038" s="451"/>
    </row>
    <row r="1039" spans="1:9" ht="25.5">
      <c r="A1039">
        <v>38</v>
      </c>
      <c r="B1039" s="172">
        <v>99</v>
      </c>
      <c r="C1039" s="178" t="s">
        <v>392</v>
      </c>
      <c r="D1039" s="529">
        <f>SUM(F1039)</f>
        <v>149800</v>
      </c>
      <c r="E1039" s="49">
        <v>2000</v>
      </c>
      <c r="F1039" s="59">
        <f>+F1040</f>
        <v>149800</v>
      </c>
      <c r="G1039" s="107"/>
      <c r="H1039" s="96"/>
      <c r="I1039" s="451"/>
    </row>
    <row r="1040" spans="2:9" ht="12.75">
      <c r="B1040" s="172"/>
      <c r="C1040" s="75"/>
      <c r="D1040" s="171"/>
      <c r="E1040" s="44">
        <v>2103</v>
      </c>
      <c r="F1040" s="58">
        <f>21000+112000+16800</f>
        <v>149800</v>
      </c>
      <c r="G1040" s="107"/>
      <c r="H1040" s="96"/>
      <c r="I1040" s="451"/>
    </row>
    <row r="1041" spans="1:9" ht="25.5">
      <c r="A1041">
        <v>39</v>
      </c>
      <c r="B1041" s="97">
        <v>100</v>
      </c>
      <c r="C1041" s="178" t="s">
        <v>394</v>
      </c>
      <c r="D1041" s="473">
        <f>+F1041+F1051</f>
        <v>597263.03</v>
      </c>
      <c r="E1041" s="49">
        <v>2000</v>
      </c>
      <c r="F1041" s="59">
        <f>SUM(F1042:F1050)</f>
        <v>106412.03</v>
      </c>
      <c r="G1041" s="107"/>
      <c r="H1041" s="96"/>
      <c r="I1041" s="451"/>
    </row>
    <row r="1042" spans="2:9" ht="12.75">
      <c r="B1042" s="97"/>
      <c r="C1042" s="75"/>
      <c r="D1042" s="48"/>
      <c r="E1042" s="44">
        <v>2101</v>
      </c>
      <c r="F1042" s="390">
        <v>32251</v>
      </c>
      <c r="G1042" s="107"/>
      <c r="H1042" s="96"/>
      <c r="I1042" s="451"/>
    </row>
    <row r="1043" spans="2:9" ht="12.75">
      <c r="B1043" s="97"/>
      <c r="C1043" s="75"/>
      <c r="D1043" s="48"/>
      <c r="E1043" s="44">
        <v>2104</v>
      </c>
      <c r="F1043" s="390">
        <v>7392</v>
      </c>
      <c r="G1043" s="107"/>
      <c r="H1043" s="96"/>
      <c r="I1043" s="451"/>
    </row>
    <row r="1044" spans="2:9" ht="12.75">
      <c r="B1044" s="97"/>
      <c r="C1044" s="75"/>
      <c r="D1044" s="48"/>
      <c r="E1044" s="44">
        <v>2105</v>
      </c>
      <c r="F1044" s="390">
        <v>7728</v>
      </c>
      <c r="G1044" s="107"/>
      <c r="H1044" s="96"/>
      <c r="I1044" s="451"/>
    </row>
    <row r="1045" spans="2:9" ht="12.75">
      <c r="B1045" s="97"/>
      <c r="C1045" s="75"/>
      <c r="D1045" s="48"/>
      <c r="E1045" s="44">
        <v>2106</v>
      </c>
      <c r="F1045" s="390">
        <v>5940</v>
      </c>
      <c r="G1045" s="107"/>
      <c r="H1045" s="96"/>
      <c r="I1045" s="451"/>
    </row>
    <row r="1046" spans="2:9" ht="12.75">
      <c r="B1046" s="97"/>
      <c r="C1046" s="75"/>
      <c r="D1046" s="48"/>
      <c r="E1046" s="44">
        <v>2201</v>
      </c>
      <c r="F1046" s="390">
        <v>24014</v>
      </c>
      <c r="G1046" s="107"/>
      <c r="H1046" s="96"/>
      <c r="I1046" s="451"/>
    </row>
    <row r="1047" spans="2:9" ht="12.75">
      <c r="B1047" s="97"/>
      <c r="C1047" s="75"/>
      <c r="D1047" s="48"/>
      <c r="E1047" s="44">
        <v>2206</v>
      </c>
      <c r="F1047" s="390">
        <v>151.03</v>
      </c>
      <c r="G1047" s="107"/>
      <c r="H1047" s="96"/>
      <c r="I1047" s="451"/>
    </row>
    <row r="1048" spans="2:9" ht="12.75">
      <c r="B1048" s="97"/>
      <c r="C1048" s="75"/>
      <c r="D1048" s="48"/>
      <c r="E1048" s="44">
        <v>2304</v>
      </c>
      <c r="F1048" s="390">
        <v>418</v>
      </c>
      <c r="G1048" s="107"/>
      <c r="H1048" s="96"/>
      <c r="I1048" s="451"/>
    </row>
    <row r="1049" spans="2:9" ht="12.75">
      <c r="B1049" s="97"/>
      <c r="C1049" s="75"/>
      <c r="D1049" s="48"/>
      <c r="E1049" s="44">
        <v>2403</v>
      </c>
      <c r="F1049" s="390">
        <v>4318</v>
      </c>
      <c r="G1049" s="107"/>
      <c r="H1049" s="96"/>
      <c r="I1049" s="451"/>
    </row>
    <row r="1050" spans="2:9" ht="12.75">
      <c r="B1050" s="97"/>
      <c r="C1050" s="75"/>
      <c r="D1050" s="48"/>
      <c r="E1050" s="44">
        <v>2601</v>
      </c>
      <c r="F1050" s="390">
        <v>24200</v>
      </c>
      <c r="G1050" s="107"/>
      <c r="H1050" s="96"/>
      <c r="I1050" s="451"/>
    </row>
    <row r="1051" spans="2:9" ht="12.75">
      <c r="B1051" s="97"/>
      <c r="C1051" s="75"/>
      <c r="D1051" s="48"/>
      <c r="E1051" s="49">
        <v>3000</v>
      </c>
      <c r="F1051" s="59">
        <f>SUM(F1052:F1057)</f>
        <v>490851</v>
      </c>
      <c r="G1051" s="107"/>
      <c r="H1051" s="96"/>
      <c r="I1051" s="451"/>
    </row>
    <row r="1052" spans="2:9" ht="12.75">
      <c r="B1052" s="97"/>
      <c r="C1052" s="75"/>
      <c r="D1052" s="48"/>
      <c r="E1052" s="44">
        <v>3205</v>
      </c>
      <c r="F1052" s="390">
        <v>5599</v>
      </c>
      <c r="G1052" s="107"/>
      <c r="H1052" s="96"/>
      <c r="I1052" s="451"/>
    </row>
    <row r="1053" spans="2:9" ht="12.75">
      <c r="B1053" s="97"/>
      <c r="C1053" s="75"/>
      <c r="D1053" s="48"/>
      <c r="E1053" s="44">
        <v>3301</v>
      </c>
      <c r="F1053" s="390">
        <v>184012</v>
      </c>
      <c r="G1053" s="107"/>
      <c r="H1053" s="96"/>
      <c r="I1053" s="451"/>
    </row>
    <row r="1054" spans="2:9" ht="12.75">
      <c r="B1054" s="97"/>
      <c r="C1054" s="75"/>
      <c r="D1054" s="48"/>
      <c r="E1054" s="44">
        <v>3304</v>
      </c>
      <c r="F1054" s="390">
        <v>2500</v>
      </c>
      <c r="G1054" s="107"/>
      <c r="H1054" s="96"/>
      <c r="I1054" s="451"/>
    </row>
    <row r="1055" spans="2:9" ht="12.75">
      <c r="B1055" s="97"/>
      <c r="C1055" s="75"/>
      <c r="D1055" s="48"/>
      <c r="E1055" s="44">
        <v>3401</v>
      </c>
      <c r="F1055" s="390">
        <v>711</v>
      </c>
      <c r="G1055" s="107"/>
      <c r="H1055" s="96"/>
      <c r="I1055" s="451"/>
    </row>
    <row r="1056" spans="2:9" ht="12.75">
      <c r="B1056" s="97"/>
      <c r="C1056" s="75"/>
      <c r="D1056" s="48"/>
      <c r="E1056" s="44">
        <v>3702</v>
      </c>
      <c r="F1056" s="390">
        <v>294272</v>
      </c>
      <c r="G1056" s="107"/>
      <c r="H1056" s="96"/>
      <c r="I1056" s="451"/>
    </row>
    <row r="1057" spans="2:9" ht="12.75">
      <c r="B1057" s="97"/>
      <c r="C1057" s="75"/>
      <c r="D1057" s="48"/>
      <c r="E1057" s="44">
        <v>3903</v>
      </c>
      <c r="F1057" s="390">
        <v>3757</v>
      </c>
      <c r="G1057" s="107"/>
      <c r="H1057" s="96"/>
      <c r="I1057" s="451"/>
    </row>
    <row r="1058" spans="1:9" ht="25.5">
      <c r="A1058">
        <v>40</v>
      </c>
      <c r="B1058" s="97"/>
      <c r="C1058" s="178" t="s">
        <v>35</v>
      </c>
      <c r="D1058" s="473">
        <f>+F1058+F1062</f>
        <v>89400</v>
      </c>
      <c r="E1058" s="474">
        <v>2000</v>
      </c>
      <c r="F1058" s="393">
        <f>SUM(F1059:F1061)</f>
        <v>26000</v>
      </c>
      <c r="G1058" s="107"/>
      <c r="H1058" s="96"/>
      <c r="I1058" s="451"/>
    </row>
    <row r="1059" spans="2:9" ht="12.75">
      <c r="B1059" s="97"/>
      <c r="C1059" s="75"/>
      <c r="D1059" s="474"/>
      <c r="E1059" s="480">
        <v>2101</v>
      </c>
      <c r="F1059" s="390">
        <v>10000</v>
      </c>
      <c r="G1059" s="107"/>
      <c r="H1059" s="96"/>
      <c r="I1059" s="451"/>
    </row>
    <row r="1060" spans="2:9" ht="12.75">
      <c r="B1060" s="97"/>
      <c r="C1060" s="75"/>
      <c r="D1060" s="474"/>
      <c r="E1060" s="480">
        <v>2201</v>
      </c>
      <c r="F1060" s="390">
        <v>6000</v>
      </c>
      <c r="G1060" s="107"/>
      <c r="H1060" s="96"/>
      <c r="I1060" s="451"/>
    </row>
    <row r="1061" spans="2:9" ht="12.75">
      <c r="B1061" s="97"/>
      <c r="C1061" s="75"/>
      <c r="D1061" s="474"/>
      <c r="E1061" s="480">
        <v>2601</v>
      </c>
      <c r="F1061" s="390">
        <v>10000</v>
      </c>
      <c r="G1061" s="107"/>
      <c r="H1061" s="96"/>
      <c r="I1061" s="451"/>
    </row>
    <row r="1062" spans="2:9" ht="12.75">
      <c r="B1062" s="97"/>
      <c r="C1062" s="75"/>
      <c r="D1062" s="474"/>
      <c r="E1062" s="474">
        <v>3000</v>
      </c>
      <c r="F1062" s="393">
        <f>SUM(F1063:F1065)</f>
        <v>63400</v>
      </c>
      <c r="G1062" s="107"/>
      <c r="H1062" s="96"/>
      <c r="I1062" s="451"/>
    </row>
    <row r="1063" spans="2:9" ht="12.75">
      <c r="B1063" s="97"/>
      <c r="C1063" s="75"/>
      <c r="D1063" s="474"/>
      <c r="E1063" s="480">
        <v>3701</v>
      </c>
      <c r="F1063" s="390">
        <v>14000</v>
      </c>
      <c r="G1063" s="107"/>
      <c r="H1063" s="96"/>
      <c r="I1063" s="451"/>
    </row>
    <row r="1064" spans="2:9" ht="12.75">
      <c r="B1064" s="97"/>
      <c r="C1064" s="75"/>
      <c r="D1064" s="473"/>
      <c r="E1064" s="480">
        <v>3702</v>
      </c>
      <c r="F1064" s="390">
        <v>45000</v>
      </c>
      <c r="G1064" s="107"/>
      <c r="H1064" s="96"/>
      <c r="I1064" s="451"/>
    </row>
    <row r="1065" spans="2:9" ht="12.75">
      <c r="B1065" s="97"/>
      <c r="C1065" s="75"/>
      <c r="D1065" s="473"/>
      <c r="E1065" s="480">
        <v>3703</v>
      </c>
      <c r="F1065" s="390">
        <v>4400</v>
      </c>
      <c r="G1065" s="107"/>
      <c r="H1065" s="96"/>
      <c r="I1065" s="451"/>
    </row>
    <row r="1066" spans="2:9" ht="12.75">
      <c r="B1066" s="95"/>
      <c r="C1066" s="220" t="s">
        <v>603</v>
      </c>
      <c r="D1066" s="279">
        <f>SUM(D1067:D1073)</f>
        <v>151800</v>
      </c>
      <c r="E1066" s="222"/>
      <c r="F1066" s="222">
        <f>SUM(F1067:F1073)/2</f>
        <v>151800</v>
      </c>
      <c r="G1066" s="107"/>
      <c r="H1066" s="96"/>
      <c r="I1066" s="451"/>
    </row>
    <row r="1067" spans="2:9" ht="25.5">
      <c r="B1067" s="97">
        <v>101</v>
      </c>
      <c r="C1067" s="75" t="s">
        <v>604</v>
      </c>
      <c r="D1067" s="48">
        <f>+F1067+F1070</f>
        <v>151800</v>
      </c>
      <c r="E1067" s="49">
        <v>2000</v>
      </c>
      <c r="F1067" s="59">
        <f>SUM(F1068:F1069)</f>
        <v>60654</v>
      </c>
      <c r="G1067" s="107"/>
      <c r="H1067" s="96"/>
      <c r="I1067" s="451"/>
    </row>
    <row r="1068" spans="2:9" ht="12.75">
      <c r="B1068" s="97"/>
      <c r="C1068" s="75"/>
      <c r="D1068" s="248"/>
      <c r="E1068" s="44">
        <v>2101</v>
      </c>
      <c r="F1068" s="58">
        <f>36000*1.1</f>
        <v>39600</v>
      </c>
      <c r="G1068" s="107"/>
      <c r="H1068" s="96"/>
      <c r="I1068" s="451"/>
    </row>
    <row r="1069" spans="2:9" ht="12.75">
      <c r="B1069" s="97"/>
      <c r="C1069" s="75"/>
      <c r="D1069" s="248"/>
      <c r="E1069" s="44">
        <v>2601</v>
      </c>
      <c r="F1069" s="58">
        <f>19140*1.1</f>
        <v>21054</v>
      </c>
      <c r="G1069" s="107"/>
      <c r="H1069" s="96"/>
      <c r="I1069" s="451"/>
    </row>
    <row r="1070" spans="2:9" ht="12.75">
      <c r="B1070" s="97"/>
      <c r="C1070" s="75"/>
      <c r="D1070" s="248"/>
      <c r="E1070" s="49">
        <v>3000</v>
      </c>
      <c r="F1070" s="59">
        <f>SUM(F1071:F1073)</f>
        <v>91146</v>
      </c>
      <c r="G1070" s="107"/>
      <c r="H1070" s="96"/>
      <c r="I1070" s="451"/>
    </row>
    <row r="1071" spans="2:9" ht="12.75">
      <c r="B1071" s="97"/>
      <c r="C1071" s="75"/>
      <c r="D1071" s="248"/>
      <c r="E1071" s="44">
        <v>3103</v>
      </c>
      <c r="F1071" s="58">
        <f>22860*1.1</f>
        <v>25146.000000000004</v>
      </c>
      <c r="G1071" s="107"/>
      <c r="H1071" s="96"/>
      <c r="I1071" s="451"/>
    </row>
    <row r="1072" spans="2:9" ht="12.75">
      <c r="B1072" s="97"/>
      <c r="C1072" s="75"/>
      <c r="D1072" s="248"/>
      <c r="E1072" s="44">
        <v>3104</v>
      </c>
      <c r="F1072" s="58">
        <f>24000*1.1</f>
        <v>26400.000000000004</v>
      </c>
      <c r="G1072" s="107"/>
      <c r="H1072" s="96"/>
      <c r="I1072" s="451"/>
    </row>
    <row r="1073" spans="2:9" ht="12.75">
      <c r="B1073" s="97"/>
      <c r="C1073" s="75"/>
      <c r="D1073" s="248"/>
      <c r="E1073" s="44">
        <v>3201</v>
      </c>
      <c r="F1073" s="58">
        <f>36000*1.1</f>
        <v>39600</v>
      </c>
      <c r="G1073" s="107"/>
      <c r="H1073" s="96"/>
      <c r="I1073" s="451"/>
    </row>
    <row r="1074" spans="2:42" s="41" customFormat="1" ht="18" customHeight="1">
      <c r="B1074" s="102"/>
      <c r="C1074" s="80" t="s">
        <v>328</v>
      </c>
      <c r="D1074" s="88">
        <f>+D672+D607+D474+D313+D250+D26+D6+D764+D1066+D451</f>
        <v>127528221.77000001</v>
      </c>
      <c r="E1074" s="88"/>
      <c r="F1074" s="88">
        <f>+F672+F607+F474+F313+F250+F26+F6+F764+F1066+F451</f>
        <v>127528221.77000001</v>
      </c>
      <c r="G1074" s="113"/>
      <c r="H1074" s="81"/>
      <c r="I1074" s="452"/>
      <c r="J1074" s="39"/>
      <c r="K1074" s="39"/>
      <c r="L1074" s="39"/>
      <c r="M1074" s="39"/>
      <c r="N1074" s="39"/>
      <c r="O1074" s="39"/>
      <c r="P1074" s="39"/>
      <c r="Q1074" s="39"/>
      <c r="R1074" s="39"/>
      <c r="S1074" s="39"/>
      <c r="T1074" s="39"/>
      <c r="U1074" s="39"/>
      <c r="V1074" s="39"/>
      <c r="W1074" s="39"/>
      <c r="X1074" s="39"/>
      <c r="Y1074" s="39"/>
      <c r="Z1074" s="39"/>
      <c r="AA1074" s="39"/>
      <c r="AB1074" s="39"/>
      <c r="AC1074" s="39"/>
      <c r="AD1074" s="39"/>
      <c r="AE1074" s="39"/>
      <c r="AF1074" s="39"/>
      <c r="AG1074" s="39"/>
      <c r="AH1074" s="39"/>
      <c r="AI1074" s="39"/>
      <c r="AJ1074" s="39"/>
      <c r="AK1074" s="39"/>
      <c r="AL1074" s="39"/>
      <c r="AM1074" s="39"/>
      <c r="AN1074" s="39"/>
      <c r="AO1074" s="39"/>
      <c r="AP1074" s="39"/>
    </row>
    <row r="1075" spans="4:13" ht="12.75" hidden="1">
      <c r="D1075" s="77">
        <f>+D1074-'[1]presupuesto oscar mexia'!$C$24</f>
        <v>127528221.77000001</v>
      </c>
      <c r="G1075" s="115"/>
      <c r="K1075" s="25">
        <v>2000</v>
      </c>
      <c r="L1075" s="116" t="e">
        <f>+F475+#REF!+#REF!+#REF!+#REF!+#REF!+#REF!+#REF!+#REF!+#REF!+#REF!+#REF!+#REF!+#REF!+#REF!+F944+F926+F916+F901+F886+F880+F870+F860+F845+#REF!+#REF!+#REF!+#REF!+#REF!+#REF!+#REF!+#REF!+#REF!+#REF!+#REF!+#REF!+#REF!+F1026+F826+F815+F796+F778+F765+F755+F966+F960+#REF!+F388+F363+F350+#REF!+F835+#REF!+#REF!+F314+#REF!+#REF!+F310+F296+#REF!+F294+F284+F275+F272+F269+#REF!+F251+F467+#REF!+F459+#REF!+F452+F175+F160+#REF!+#REF!+F149+#REF!+#REF!+#REF!+#REF!+F976+F56+F27+F21+F7</f>
        <v>#REF!</v>
      </c>
      <c r="M1075" s="116"/>
    </row>
    <row r="1076" spans="3:11" ht="12.75" hidden="1">
      <c r="C1076" s="40" t="s">
        <v>396</v>
      </c>
      <c r="D1076" s="77">
        <f>+D269</f>
        <v>5135313</v>
      </c>
      <c r="G1076" s="115"/>
      <c r="K1076" s="25">
        <v>3000</v>
      </c>
    </row>
    <row r="1077" spans="3:11" ht="12.75" hidden="1">
      <c r="C1077" s="40" t="s">
        <v>89</v>
      </c>
      <c r="D1077" s="77">
        <f>+D1074-D1076</f>
        <v>122392908.77000001</v>
      </c>
      <c r="G1077" s="115"/>
      <c r="K1077" s="25">
        <v>5000</v>
      </c>
    </row>
    <row r="1078" spans="4:7" ht="12.75">
      <c r="D1078" s="77"/>
      <c r="G1078" s="115"/>
    </row>
    <row r="1079" spans="4:7" ht="12.75">
      <c r="D1079" s="77"/>
      <c r="G1079" s="115"/>
    </row>
    <row r="1080" ht="12.75">
      <c r="C1080" s="89"/>
    </row>
    <row r="1081" spans="2:9" ht="20.25" customHeight="1">
      <c r="B1081" s="440" t="s">
        <v>147</v>
      </c>
      <c r="C1081" s="440"/>
      <c r="D1081" s="440"/>
      <c r="E1081" s="440"/>
      <c r="F1081" s="440"/>
      <c r="G1081" s="440"/>
      <c r="H1081" s="440"/>
      <c r="I1081" s="453"/>
    </row>
    <row r="1082" spans="2:9" ht="25.5" customHeight="1">
      <c r="B1082" s="440" t="s">
        <v>146</v>
      </c>
      <c r="C1082" s="440"/>
      <c r="D1082" s="440"/>
      <c r="E1082" s="440"/>
      <c r="F1082" s="440"/>
      <c r="G1082" s="440"/>
      <c r="H1082" s="440"/>
      <c r="I1082" s="453"/>
    </row>
    <row r="1083" ht="15">
      <c r="C1083" s="90"/>
    </row>
  </sheetData>
  <sheetProtection/>
  <mergeCells count="3">
    <mergeCell ref="C1:G2"/>
    <mergeCell ref="C3:G3"/>
    <mergeCell ref="E5:F5"/>
  </mergeCells>
  <printOptions/>
  <pageMargins left="0.35433070866141736" right="0.4330708661417323" top="0.5511811023622047" bottom="0.7086614173228347" header="0" footer="0"/>
  <pageSetup fitToHeight="4" horizontalDpi="600" verticalDpi="600" orientation="portrait" scale="70" r:id="rId1"/>
</worksheet>
</file>

<file path=xl/worksheets/sheet7.xml><?xml version="1.0" encoding="utf-8"?>
<worksheet xmlns="http://schemas.openxmlformats.org/spreadsheetml/2006/main" xmlns:r="http://schemas.openxmlformats.org/officeDocument/2006/relationships">
  <sheetPr>
    <pageSetUpPr fitToPage="1"/>
  </sheetPr>
  <dimension ref="A1:AD159"/>
  <sheetViews>
    <sheetView zoomScalePageLayoutView="0" workbookViewId="0" topLeftCell="A4">
      <pane ySplit="1335" topLeftCell="A49" activePane="bottomLeft" state="split"/>
      <selection pane="topLeft" activeCell="AA4" activeCellId="2" sqref="S1:U16384 W1:Y16384 AA1:AC16384"/>
      <selection pane="bottomLeft" activeCell="E58" sqref="E58:H58"/>
    </sheetView>
  </sheetViews>
  <sheetFormatPr defaultColWidth="11.421875" defaultRowHeight="12.75"/>
  <cols>
    <col min="1" max="1" width="9.57421875" style="0" customWidth="1"/>
    <col min="2" max="2" width="12.140625" style="14" customWidth="1"/>
    <col min="3" max="3" width="7.140625" style="16" customWidth="1"/>
    <col min="4" max="4" width="5.140625" style="24" customWidth="1"/>
    <col min="5" max="5" width="19.8515625" style="0" customWidth="1"/>
    <col min="6" max="6" width="14.57421875" style="0" customWidth="1"/>
    <col min="7" max="7" width="17.8515625" style="0" customWidth="1"/>
    <col min="8" max="8" width="14.7109375" style="0" customWidth="1"/>
    <col min="9" max="9" width="9.57421875" style="0" bestFit="1" customWidth="1"/>
    <col min="10" max="10" width="61.00390625" style="0" customWidth="1"/>
    <col min="11" max="11" width="14.57421875" style="0" customWidth="1"/>
    <col min="12" max="12" width="11.7109375" style="1" bestFit="1" customWidth="1"/>
    <col min="13" max="15" width="7.7109375" style="0" hidden="1" customWidth="1"/>
    <col min="16" max="16" width="7.7109375" style="212" customWidth="1"/>
    <col min="17" max="19" width="7.7109375" style="0" hidden="1" customWidth="1"/>
    <col min="20" max="20" width="7.7109375" style="212" customWidth="1"/>
    <col min="21" max="23" width="7.7109375" style="0" hidden="1" customWidth="1"/>
    <col min="24" max="24" width="7.7109375" style="212" customWidth="1"/>
    <col min="25" max="27" width="7.7109375" style="0" hidden="1" customWidth="1"/>
    <col min="28" max="28" width="7.7109375" style="212" customWidth="1"/>
    <col min="29" max="29" width="12.8515625" style="214" customWidth="1"/>
    <col min="30" max="31" width="11.421875" style="25" customWidth="1"/>
  </cols>
  <sheetData>
    <row r="1" spans="1:28" ht="12.75">
      <c r="A1" s="2"/>
      <c r="B1" s="770" t="s">
        <v>166</v>
      </c>
      <c r="C1" s="770"/>
      <c r="D1" s="770"/>
      <c r="E1" s="770"/>
      <c r="F1" s="770"/>
      <c r="G1" s="770"/>
      <c r="H1" s="770"/>
      <c r="I1" s="1"/>
      <c r="J1" s="1"/>
      <c r="K1" s="1"/>
      <c r="M1" s="1"/>
      <c r="N1" s="1"/>
      <c r="O1" s="1"/>
      <c r="P1" s="209"/>
      <c r="Q1" s="1"/>
      <c r="R1" s="1"/>
      <c r="S1" s="1"/>
      <c r="T1" s="209"/>
      <c r="U1" s="1"/>
      <c r="V1" s="1"/>
      <c r="W1" s="1"/>
      <c r="X1" s="209"/>
      <c r="Y1" s="1"/>
      <c r="Z1" s="1"/>
      <c r="AA1" s="1"/>
      <c r="AB1" s="209"/>
    </row>
    <row r="2" spans="1:28" ht="12.75">
      <c r="A2" s="2"/>
      <c r="B2" s="770"/>
      <c r="C2" s="770"/>
      <c r="D2" s="770"/>
      <c r="E2" s="770"/>
      <c r="F2" s="770"/>
      <c r="G2" s="770"/>
      <c r="H2" s="770"/>
      <c r="I2" s="1"/>
      <c r="J2" s="1"/>
      <c r="K2" s="1"/>
      <c r="M2" s="1"/>
      <c r="N2" s="1"/>
      <c r="O2" s="1"/>
      <c r="P2" s="209"/>
      <c r="Q2" s="1"/>
      <c r="R2" s="1"/>
      <c r="S2" s="1"/>
      <c r="T2" s="209"/>
      <c r="U2" s="1"/>
      <c r="V2" s="1"/>
      <c r="W2" s="1"/>
      <c r="X2" s="209"/>
      <c r="Y2" s="1"/>
      <c r="Z2" s="1"/>
      <c r="AA2" s="1"/>
      <c r="AB2" s="209"/>
    </row>
    <row r="3" spans="1:28" ht="12.75">
      <c r="A3" s="2"/>
      <c r="B3" s="770" t="s">
        <v>167</v>
      </c>
      <c r="C3" s="770"/>
      <c r="D3" s="770"/>
      <c r="E3" s="770"/>
      <c r="F3" s="770"/>
      <c r="G3" s="770"/>
      <c r="H3" s="770"/>
      <c r="I3" s="1"/>
      <c r="J3" s="1"/>
      <c r="K3" s="1"/>
      <c r="M3" s="1"/>
      <c r="N3" s="1" t="s">
        <v>198</v>
      </c>
      <c r="O3" s="1"/>
      <c r="P3" s="209"/>
      <c r="Q3" s="1"/>
      <c r="R3" s="1"/>
      <c r="S3" s="1"/>
      <c r="T3" s="209"/>
      <c r="U3" s="1"/>
      <c r="V3" s="1"/>
      <c r="W3" s="1"/>
      <c r="X3" s="209"/>
      <c r="Y3" s="1"/>
      <c r="Z3" s="1"/>
      <c r="AA3" s="1"/>
      <c r="AB3" s="209"/>
    </row>
    <row r="4" spans="1:28" ht="13.5" thickBot="1">
      <c r="A4" s="11"/>
      <c r="B4" s="804" t="s">
        <v>148</v>
      </c>
      <c r="C4" s="804"/>
      <c r="D4" s="804"/>
      <c r="E4" s="804"/>
      <c r="F4" s="804"/>
      <c r="G4" s="804"/>
      <c r="H4" s="804"/>
      <c r="I4" s="804"/>
      <c r="J4" s="804"/>
      <c r="K4" s="1"/>
      <c r="M4" s="1"/>
      <c r="N4" s="1"/>
      <c r="O4" s="1"/>
      <c r="P4" s="209"/>
      <c r="Q4" s="1"/>
      <c r="R4" s="1"/>
      <c r="S4" s="1"/>
      <c r="T4" s="209"/>
      <c r="U4" s="1"/>
      <c r="V4" s="1"/>
      <c r="W4" s="1"/>
      <c r="X4" s="209"/>
      <c r="Y4" s="1"/>
      <c r="Z4" s="1"/>
      <c r="AA4" s="1"/>
      <c r="AB4" s="209"/>
    </row>
    <row r="5" spans="1:29" ht="40.5" customHeight="1" thickBot="1">
      <c r="A5" s="2"/>
      <c r="B5" s="3"/>
      <c r="C5" s="17" t="s">
        <v>196</v>
      </c>
      <c r="D5" s="21"/>
      <c r="E5" s="3"/>
      <c r="F5" s="3"/>
      <c r="G5" s="3"/>
      <c r="H5" s="3"/>
      <c r="I5" s="3"/>
      <c r="J5" s="87"/>
      <c r="K5" s="18" t="s">
        <v>176</v>
      </c>
      <c r="L5" s="18" t="s">
        <v>197</v>
      </c>
      <c r="M5" s="19" t="s">
        <v>177</v>
      </c>
      <c r="N5" s="19" t="s">
        <v>178</v>
      </c>
      <c r="O5" s="19" t="s">
        <v>179</v>
      </c>
      <c r="P5" s="205" t="s">
        <v>623</v>
      </c>
      <c r="Q5" s="19" t="s">
        <v>180</v>
      </c>
      <c r="R5" s="19" t="s">
        <v>181</v>
      </c>
      <c r="S5" s="19" t="s">
        <v>182</v>
      </c>
      <c r="T5" s="205" t="s">
        <v>624</v>
      </c>
      <c r="U5" s="19" t="s">
        <v>183</v>
      </c>
      <c r="V5" s="19" t="s">
        <v>184</v>
      </c>
      <c r="W5" s="19" t="s">
        <v>185</v>
      </c>
      <c r="X5" s="205" t="s">
        <v>625</v>
      </c>
      <c r="Y5" s="19" t="s">
        <v>186</v>
      </c>
      <c r="Z5" s="19" t="s">
        <v>187</v>
      </c>
      <c r="AA5" s="20" t="s">
        <v>188</v>
      </c>
      <c r="AB5" s="215" t="s">
        <v>626</v>
      </c>
      <c r="AC5" s="214" t="s">
        <v>324</v>
      </c>
    </row>
    <row r="6" spans="2:30" s="147" customFormat="1" ht="40.5" customHeight="1" thickBot="1">
      <c r="B6" s="146"/>
      <c r="C6" s="148"/>
      <c r="D6" s="146"/>
      <c r="E6" s="151" t="s">
        <v>498</v>
      </c>
      <c r="F6" s="146"/>
      <c r="G6" s="146"/>
      <c r="H6" s="146"/>
      <c r="I6" s="146"/>
      <c r="J6" s="149"/>
      <c r="K6" s="150"/>
      <c r="L6" s="150">
        <f>SUM(L7:L43)</f>
        <v>129</v>
      </c>
      <c r="M6" s="150">
        <f>SUM(M7:M38)</f>
        <v>4</v>
      </c>
      <c r="N6" s="150">
        <f>SUM(N7:N38)</f>
        <v>8</v>
      </c>
      <c r="O6" s="150">
        <f>SUM(O7:O38)</f>
        <v>9</v>
      </c>
      <c r="P6" s="206">
        <f>SUM(P7:P43)</f>
        <v>23</v>
      </c>
      <c r="Q6" s="206">
        <f aca="true" t="shared" si="0" ref="Q6:AB6">SUM(Q7:Q43)</f>
        <v>13</v>
      </c>
      <c r="R6" s="206">
        <f t="shared" si="0"/>
        <v>11</v>
      </c>
      <c r="S6" s="206">
        <f t="shared" si="0"/>
        <v>15</v>
      </c>
      <c r="T6" s="206">
        <f t="shared" si="0"/>
        <v>39</v>
      </c>
      <c r="U6" s="206">
        <f t="shared" si="0"/>
        <v>2</v>
      </c>
      <c r="V6" s="206">
        <f t="shared" si="0"/>
        <v>11</v>
      </c>
      <c r="W6" s="206">
        <f t="shared" si="0"/>
        <v>12</v>
      </c>
      <c r="X6" s="206">
        <f t="shared" si="0"/>
        <v>25</v>
      </c>
      <c r="Y6" s="206">
        <f t="shared" si="0"/>
        <v>15</v>
      </c>
      <c r="Z6" s="206">
        <f t="shared" si="0"/>
        <v>13</v>
      </c>
      <c r="AA6" s="206">
        <f t="shared" si="0"/>
        <v>14</v>
      </c>
      <c r="AB6" s="206">
        <f t="shared" si="0"/>
        <v>42</v>
      </c>
      <c r="AC6" s="216">
        <f>+AB6+X6+T6+P6</f>
        <v>129</v>
      </c>
      <c r="AD6" s="147">
        <f>+P6+T6+X6+AB6</f>
        <v>129</v>
      </c>
    </row>
    <row r="7" spans="1:29" ht="29.25" customHeight="1" thickBot="1">
      <c r="A7" s="26"/>
      <c r="B7" s="27"/>
      <c r="C7" s="28">
        <v>4.5</v>
      </c>
      <c r="D7" s="22">
        <v>1</v>
      </c>
      <c r="E7" s="819" t="s">
        <v>437</v>
      </c>
      <c r="F7" s="820"/>
      <c r="G7" s="820"/>
      <c r="H7" s="821"/>
      <c r="I7" s="3">
        <f>+D7+0.1</f>
        <v>1.1</v>
      </c>
      <c r="J7" s="29" t="s">
        <v>123</v>
      </c>
      <c r="K7" s="32" t="s">
        <v>217</v>
      </c>
      <c r="L7" s="150">
        <f aca="true" t="shared" si="1" ref="L7:L70">+M7+N7+O7+Q7+R7+S7+U7+V7+W7+Y7+Z7+AA7</f>
        <v>1</v>
      </c>
      <c r="M7" s="121"/>
      <c r="N7" s="121"/>
      <c r="O7" s="121">
        <v>1</v>
      </c>
      <c r="P7" s="207">
        <f>SUM(M7:O7)</f>
        <v>1</v>
      </c>
      <c r="Q7" s="121"/>
      <c r="R7" s="121"/>
      <c r="S7" s="121"/>
      <c r="T7" s="207">
        <f>SUM(Q7:S7)</f>
        <v>0</v>
      </c>
      <c r="U7" s="121"/>
      <c r="V7" s="121"/>
      <c r="W7" s="121"/>
      <c r="X7" s="207">
        <f>SUM(U7:W7)</f>
        <v>0</v>
      </c>
      <c r="Y7" s="121"/>
      <c r="Z7" s="121"/>
      <c r="AA7" s="122"/>
      <c r="AB7" s="217">
        <f>SUM(Y7:AA7)</f>
        <v>0</v>
      </c>
      <c r="AC7" s="216">
        <f aca="true" t="shared" si="2" ref="AC7:AC70">+AB7+X7+T7+P7</f>
        <v>1</v>
      </c>
    </row>
    <row r="8" spans="1:29" ht="29.25" customHeight="1" thickBot="1">
      <c r="A8" s="26"/>
      <c r="B8" s="27"/>
      <c r="C8" s="28">
        <v>4.5</v>
      </c>
      <c r="D8" s="22">
        <v>2</v>
      </c>
      <c r="E8" s="819" t="s">
        <v>438</v>
      </c>
      <c r="F8" s="820"/>
      <c r="G8" s="820"/>
      <c r="H8" s="821"/>
      <c r="I8" s="3">
        <f aca="true" t="shared" si="3" ref="I8:I43">+D8+0.1</f>
        <v>2.1</v>
      </c>
      <c r="J8" s="29" t="s">
        <v>124</v>
      </c>
      <c r="K8" s="32" t="s">
        <v>218</v>
      </c>
      <c r="L8" s="150">
        <f t="shared" si="1"/>
        <v>2</v>
      </c>
      <c r="M8" s="121"/>
      <c r="N8" s="121"/>
      <c r="O8" s="121">
        <v>1</v>
      </c>
      <c r="P8" s="207">
        <f aca="true" t="shared" si="4" ref="P8:P71">SUM(M8:O8)</f>
        <v>1</v>
      </c>
      <c r="Q8" s="121"/>
      <c r="R8" s="121"/>
      <c r="S8" s="121"/>
      <c r="T8" s="207">
        <f aca="true" t="shared" si="5" ref="T8:T71">SUM(Q8:S8)</f>
        <v>0</v>
      </c>
      <c r="U8" s="121"/>
      <c r="V8" s="121">
        <v>1</v>
      </c>
      <c r="W8" s="121"/>
      <c r="X8" s="207">
        <f aca="true" t="shared" si="6" ref="X8:X71">SUM(U8:W8)</f>
        <v>1</v>
      </c>
      <c r="Y8" s="121"/>
      <c r="Z8" s="121"/>
      <c r="AA8" s="122"/>
      <c r="AB8" s="217">
        <f aca="true" t="shared" si="7" ref="AB8:AB71">SUM(Y8:AA8)</f>
        <v>0</v>
      </c>
      <c r="AC8" s="216">
        <f t="shared" si="2"/>
        <v>2</v>
      </c>
    </row>
    <row r="9" spans="1:29" ht="29.25" customHeight="1" thickBot="1">
      <c r="A9" s="26"/>
      <c r="B9" s="27"/>
      <c r="C9" s="28">
        <v>4.5</v>
      </c>
      <c r="D9" s="22">
        <v>3</v>
      </c>
      <c r="E9" s="819" t="s">
        <v>439</v>
      </c>
      <c r="F9" s="820"/>
      <c r="G9" s="820"/>
      <c r="H9" s="821"/>
      <c r="I9" s="3">
        <f t="shared" si="3"/>
        <v>3.1</v>
      </c>
      <c r="J9" s="29" t="s">
        <v>125</v>
      </c>
      <c r="K9" s="32" t="s">
        <v>218</v>
      </c>
      <c r="L9" s="150">
        <f t="shared" si="1"/>
        <v>2</v>
      </c>
      <c r="M9" s="121"/>
      <c r="N9" s="121"/>
      <c r="O9" s="121">
        <v>1</v>
      </c>
      <c r="P9" s="207">
        <f t="shared" si="4"/>
        <v>1</v>
      </c>
      <c r="Q9" s="121"/>
      <c r="R9" s="121"/>
      <c r="S9" s="121"/>
      <c r="T9" s="207">
        <f t="shared" si="5"/>
        <v>0</v>
      </c>
      <c r="U9" s="121"/>
      <c r="V9" s="121">
        <v>1</v>
      </c>
      <c r="W9" s="121"/>
      <c r="X9" s="207">
        <f t="shared" si="6"/>
        <v>1</v>
      </c>
      <c r="Y9" s="121"/>
      <c r="Z9" s="121"/>
      <c r="AA9" s="122"/>
      <c r="AB9" s="217">
        <f t="shared" si="7"/>
        <v>0</v>
      </c>
      <c r="AC9" s="216">
        <f t="shared" si="2"/>
        <v>2</v>
      </c>
    </row>
    <row r="10" spans="1:29" ht="29.25" customHeight="1" thickBot="1">
      <c r="A10" s="26"/>
      <c r="B10" s="27"/>
      <c r="C10" s="28">
        <v>4.5</v>
      </c>
      <c r="D10" s="22">
        <v>4</v>
      </c>
      <c r="E10" s="819" t="s">
        <v>440</v>
      </c>
      <c r="F10" s="820"/>
      <c r="G10" s="820"/>
      <c r="H10" s="821"/>
      <c r="I10" s="3">
        <f t="shared" si="3"/>
        <v>4.1</v>
      </c>
      <c r="J10" s="29" t="s">
        <v>126</v>
      </c>
      <c r="K10" s="32" t="s">
        <v>219</v>
      </c>
      <c r="L10" s="150">
        <f t="shared" si="1"/>
        <v>3</v>
      </c>
      <c r="M10" s="121"/>
      <c r="N10" s="121">
        <v>1</v>
      </c>
      <c r="O10" s="121"/>
      <c r="P10" s="207">
        <f t="shared" si="4"/>
        <v>1</v>
      </c>
      <c r="Q10" s="121"/>
      <c r="R10" s="121">
        <v>1</v>
      </c>
      <c r="S10" s="121"/>
      <c r="T10" s="207">
        <f t="shared" si="5"/>
        <v>1</v>
      </c>
      <c r="U10" s="121"/>
      <c r="V10" s="121"/>
      <c r="W10" s="121">
        <v>1</v>
      </c>
      <c r="X10" s="207">
        <f t="shared" si="6"/>
        <v>1</v>
      </c>
      <c r="Y10" s="121"/>
      <c r="Z10" s="121"/>
      <c r="AA10" s="122"/>
      <c r="AB10" s="217">
        <f t="shared" si="7"/>
        <v>0</v>
      </c>
      <c r="AC10" s="216">
        <f t="shared" si="2"/>
        <v>3</v>
      </c>
    </row>
    <row r="11" spans="1:29" ht="29.25" customHeight="1" thickBot="1">
      <c r="A11" s="26"/>
      <c r="B11" s="27"/>
      <c r="C11" s="28">
        <v>2.1</v>
      </c>
      <c r="D11" s="22">
        <v>5</v>
      </c>
      <c r="E11" s="819" t="s">
        <v>441</v>
      </c>
      <c r="F11" s="820"/>
      <c r="G11" s="820"/>
      <c r="H11" s="821"/>
      <c r="I11" s="3">
        <f t="shared" si="3"/>
        <v>5.1</v>
      </c>
      <c r="J11" s="29" t="s">
        <v>127</v>
      </c>
      <c r="K11" s="32" t="s">
        <v>220</v>
      </c>
      <c r="L11" s="150">
        <f t="shared" si="1"/>
        <v>1</v>
      </c>
      <c r="M11" s="121"/>
      <c r="N11" s="121"/>
      <c r="O11" s="121"/>
      <c r="P11" s="207">
        <f t="shared" si="4"/>
        <v>0</v>
      </c>
      <c r="Q11" s="121"/>
      <c r="R11" s="121">
        <v>1</v>
      </c>
      <c r="S11" s="121"/>
      <c r="T11" s="207">
        <f t="shared" si="5"/>
        <v>1</v>
      </c>
      <c r="U11" s="121"/>
      <c r="V11" s="121"/>
      <c r="W11" s="121"/>
      <c r="X11" s="207">
        <f t="shared" si="6"/>
        <v>0</v>
      </c>
      <c r="Y11" s="121"/>
      <c r="Z11" s="121"/>
      <c r="AA11" s="122"/>
      <c r="AB11" s="217">
        <f t="shared" si="7"/>
        <v>0</v>
      </c>
      <c r="AC11" s="216">
        <f t="shared" si="2"/>
        <v>1</v>
      </c>
    </row>
    <row r="12" spans="1:29" ht="29.25" customHeight="1" thickBot="1">
      <c r="A12" s="26"/>
      <c r="B12" s="27"/>
      <c r="C12" s="28">
        <v>1.4</v>
      </c>
      <c r="D12" s="22">
        <v>6</v>
      </c>
      <c r="E12" s="819" t="s">
        <v>443</v>
      </c>
      <c r="F12" s="820"/>
      <c r="G12" s="820"/>
      <c r="H12" s="821"/>
      <c r="I12" s="3">
        <f t="shared" si="3"/>
        <v>6.1</v>
      </c>
      <c r="J12" s="29" t="s">
        <v>128</v>
      </c>
      <c r="K12" s="30" t="s">
        <v>222</v>
      </c>
      <c r="L12" s="150">
        <f t="shared" si="1"/>
        <v>1</v>
      </c>
      <c r="M12" s="82"/>
      <c r="N12" s="82"/>
      <c r="O12" s="82"/>
      <c r="P12" s="207">
        <f t="shared" si="4"/>
        <v>0</v>
      </c>
      <c r="Q12" s="82">
        <v>1</v>
      </c>
      <c r="R12" s="82"/>
      <c r="S12" s="82"/>
      <c r="T12" s="207">
        <f t="shared" si="5"/>
        <v>1</v>
      </c>
      <c r="U12" s="82"/>
      <c r="V12" s="82"/>
      <c r="W12" s="82"/>
      <c r="X12" s="207">
        <f t="shared" si="6"/>
        <v>0</v>
      </c>
      <c r="Y12" s="82"/>
      <c r="Z12" s="82"/>
      <c r="AA12" s="123"/>
      <c r="AB12" s="217">
        <f t="shared" si="7"/>
        <v>0</v>
      </c>
      <c r="AC12" s="216">
        <f t="shared" si="2"/>
        <v>1</v>
      </c>
    </row>
    <row r="13" spans="1:29" ht="29.25" customHeight="1" thickBot="1">
      <c r="A13" s="26"/>
      <c r="B13" s="27"/>
      <c r="C13" s="28">
        <v>1.4</v>
      </c>
      <c r="D13" s="22">
        <v>7</v>
      </c>
      <c r="E13" s="819" t="s">
        <v>444</v>
      </c>
      <c r="F13" s="820"/>
      <c r="G13" s="820"/>
      <c r="H13" s="821"/>
      <c r="I13" s="3">
        <f t="shared" si="3"/>
        <v>7.1</v>
      </c>
      <c r="J13" s="29" t="s">
        <v>129</v>
      </c>
      <c r="K13" s="30" t="s">
        <v>222</v>
      </c>
      <c r="L13" s="150">
        <f t="shared" si="1"/>
        <v>1</v>
      </c>
      <c r="M13" s="82"/>
      <c r="N13" s="82"/>
      <c r="O13" s="82"/>
      <c r="P13" s="207">
        <f t="shared" si="4"/>
        <v>0</v>
      </c>
      <c r="Q13" s="82"/>
      <c r="R13" s="82">
        <v>1</v>
      </c>
      <c r="S13" s="82"/>
      <c r="T13" s="207">
        <f t="shared" si="5"/>
        <v>1</v>
      </c>
      <c r="U13" s="82"/>
      <c r="V13" s="82"/>
      <c r="W13" s="82"/>
      <c r="X13" s="207">
        <f t="shared" si="6"/>
        <v>0</v>
      </c>
      <c r="Y13" s="82"/>
      <c r="Z13" s="82"/>
      <c r="AA13" s="123"/>
      <c r="AB13" s="217">
        <f t="shared" si="7"/>
        <v>0</v>
      </c>
      <c r="AC13" s="216">
        <f t="shared" si="2"/>
        <v>1</v>
      </c>
    </row>
    <row r="14" spans="1:29" ht="29.25" customHeight="1" thickBot="1">
      <c r="A14" s="26"/>
      <c r="B14" s="27"/>
      <c r="C14" s="15">
        <v>1.6</v>
      </c>
      <c r="D14" s="22">
        <v>8</v>
      </c>
      <c r="E14" s="819" t="s">
        <v>399</v>
      </c>
      <c r="F14" s="820"/>
      <c r="G14" s="820"/>
      <c r="H14" s="821"/>
      <c r="I14" s="3">
        <f t="shared" si="3"/>
        <v>8.1</v>
      </c>
      <c r="J14" s="29" t="s">
        <v>327</v>
      </c>
      <c r="K14" s="32" t="s">
        <v>229</v>
      </c>
      <c r="L14" s="150">
        <f t="shared" si="1"/>
        <v>4</v>
      </c>
      <c r="M14" s="121"/>
      <c r="N14" s="121"/>
      <c r="O14" s="121"/>
      <c r="P14" s="207">
        <f t="shared" si="4"/>
        <v>0</v>
      </c>
      <c r="Q14" s="121">
        <v>1</v>
      </c>
      <c r="R14" s="121">
        <v>1</v>
      </c>
      <c r="S14" s="121"/>
      <c r="T14" s="207">
        <f t="shared" si="5"/>
        <v>2</v>
      </c>
      <c r="U14" s="121"/>
      <c r="V14" s="121"/>
      <c r="W14" s="121">
        <v>1</v>
      </c>
      <c r="X14" s="207">
        <f t="shared" si="6"/>
        <v>1</v>
      </c>
      <c r="Y14" s="121">
        <v>1</v>
      </c>
      <c r="Z14" s="121"/>
      <c r="AA14" s="122"/>
      <c r="AB14" s="217">
        <f t="shared" si="7"/>
        <v>1</v>
      </c>
      <c r="AC14" s="216">
        <f t="shared" si="2"/>
        <v>4</v>
      </c>
    </row>
    <row r="15" spans="1:29" ht="30" customHeight="1" thickBot="1">
      <c r="A15" s="26"/>
      <c r="B15" s="27"/>
      <c r="C15" s="15" t="s">
        <v>334</v>
      </c>
      <c r="D15" s="22">
        <v>9</v>
      </c>
      <c r="E15" s="819" t="s">
        <v>333</v>
      </c>
      <c r="F15" s="820"/>
      <c r="G15" s="820"/>
      <c r="H15" s="821"/>
      <c r="I15" s="3">
        <f t="shared" si="3"/>
        <v>9.1</v>
      </c>
      <c r="J15" s="29" t="s">
        <v>335</v>
      </c>
      <c r="K15" s="32" t="s">
        <v>227</v>
      </c>
      <c r="L15" s="150">
        <f t="shared" si="1"/>
        <v>1</v>
      </c>
      <c r="M15" s="121"/>
      <c r="N15" s="121"/>
      <c r="O15" s="121"/>
      <c r="P15" s="207">
        <f t="shared" si="4"/>
        <v>0</v>
      </c>
      <c r="Q15" s="121"/>
      <c r="R15" s="121"/>
      <c r="S15" s="121"/>
      <c r="T15" s="207">
        <f t="shared" si="5"/>
        <v>0</v>
      </c>
      <c r="U15" s="121"/>
      <c r="V15" s="121">
        <v>1</v>
      </c>
      <c r="W15" s="121"/>
      <c r="X15" s="207">
        <f t="shared" si="6"/>
        <v>1</v>
      </c>
      <c r="Y15" s="121"/>
      <c r="Z15" s="121"/>
      <c r="AA15" s="122"/>
      <c r="AB15" s="217">
        <f t="shared" si="7"/>
        <v>0</v>
      </c>
      <c r="AC15" s="216">
        <f t="shared" si="2"/>
        <v>1</v>
      </c>
    </row>
    <row r="16" spans="1:29" ht="30" customHeight="1" thickBot="1">
      <c r="A16" s="26"/>
      <c r="B16" s="27"/>
      <c r="C16" s="15">
        <v>2.1</v>
      </c>
      <c r="D16" s="22">
        <v>10</v>
      </c>
      <c r="E16" s="819" t="s">
        <v>336</v>
      </c>
      <c r="F16" s="820"/>
      <c r="G16" s="820"/>
      <c r="H16" s="821"/>
      <c r="I16" s="3">
        <f t="shared" si="3"/>
        <v>10.1</v>
      </c>
      <c r="J16" s="29" t="s">
        <v>337</v>
      </c>
      <c r="K16" s="32" t="s">
        <v>216</v>
      </c>
      <c r="L16" s="150">
        <f t="shared" si="1"/>
        <v>5</v>
      </c>
      <c r="M16" s="121"/>
      <c r="N16" s="121">
        <v>1</v>
      </c>
      <c r="O16" s="121"/>
      <c r="P16" s="207">
        <f t="shared" si="4"/>
        <v>1</v>
      </c>
      <c r="Q16" s="121">
        <v>1</v>
      </c>
      <c r="R16" s="121"/>
      <c r="S16" s="121">
        <v>1</v>
      </c>
      <c r="T16" s="207">
        <f t="shared" si="5"/>
        <v>2</v>
      </c>
      <c r="U16" s="121"/>
      <c r="V16" s="121"/>
      <c r="W16" s="121"/>
      <c r="X16" s="207">
        <f t="shared" si="6"/>
        <v>0</v>
      </c>
      <c r="Y16" s="121">
        <v>1</v>
      </c>
      <c r="Z16" s="121"/>
      <c r="AA16" s="122">
        <v>1</v>
      </c>
      <c r="AB16" s="217">
        <f t="shared" si="7"/>
        <v>2</v>
      </c>
      <c r="AC16" s="216">
        <f t="shared" si="2"/>
        <v>5</v>
      </c>
    </row>
    <row r="17" spans="1:29" ht="30" customHeight="1" thickBot="1">
      <c r="A17" s="26"/>
      <c r="B17" s="27"/>
      <c r="C17" s="15" t="s">
        <v>326</v>
      </c>
      <c r="D17" s="22">
        <v>11</v>
      </c>
      <c r="E17" s="819" t="s">
        <v>339</v>
      </c>
      <c r="F17" s="820"/>
      <c r="G17" s="820"/>
      <c r="H17" s="821"/>
      <c r="I17" s="3">
        <f t="shared" si="3"/>
        <v>11.1</v>
      </c>
      <c r="J17" s="29" t="s">
        <v>338</v>
      </c>
      <c r="K17" s="30" t="s">
        <v>221</v>
      </c>
      <c r="L17" s="150">
        <f t="shared" si="1"/>
        <v>1</v>
      </c>
      <c r="M17" s="124"/>
      <c r="N17" s="124"/>
      <c r="O17" s="124"/>
      <c r="P17" s="207">
        <f t="shared" si="4"/>
        <v>0</v>
      </c>
      <c r="Q17" s="124"/>
      <c r="R17" s="124"/>
      <c r="S17" s="124"/>
      <c r="T17" s="207">
        <f t="shared" si="5"/>
        <v>0</v>
      </c>
      <c r="U17" s="124"/>
      <c r="V17" s="124"/>
      <c r="W17" s="124"/>
      <c r="X17" s="207">
        <f t="shared" si="6"/>
        <v>0</v>
      </c>
      <c r="Y17" s="124"/>
      <c r="Z17" s="124">
        <v>1</v>
      </c>
      <c r="AA17" s="123"/>
      <c r="AB17" s="217">
        <f t="shared" si="7"/>
        <v>1</v>
      </c>
      <c r="AC17" s="216">
        <f t="shared" si="2"/>
        <v>1</v>
      </c>
    </row>
    <row r="18" spans="1:29" ht="29.25" customHeight="1" thickBot="1">
      <c r="A18" s="26"/>
      <c r="B18" s="27"/>
      <c r="C18" s="15">
        <v>1.7</v>
      </c>
      <c r="D18" s="22">
        <v>12</v>
      </c>
      <c r="E18" s="819" t="s">
        <v>341</v>
      </c>
      <c r="F18" s="820"/>
      <c r="G18" s="820"/>
      <c r="H18" s="821"/>
      <c r="I18" s="3">
        <f t="shared" si="3"/>
        <v>12.1</v>
      </c>
      <c r="J18" s="29" t="s">
        <v>340</v>
      </c>
      <c r="K18" s="30" t="s">
        <v>225</v>
      </c>
      <c r="L18" s="150">
        <f t="shared" si="1"/>
        <v>5</v>
      </c>
      <c r="M18" s="82"/>
      <c r="N18" s="82"/>
      <c r="O18" s="82"/>
      <c r="P18" s="207">
        <f t="shared" si="4"/>
        <v>0</v>
      </c>
      <c r="Q18" s="82">
        <v>1</v>
      </c>
      <c r="R18" s="82"/>
      <c r="S18" s="82">
        <v>1</v>
      </c>
      <c r="T18" s="207">
        <f t="shared" si="5"/>
        <v>2</v>
      </c>
      <c r="U18" s="82"/>
      <c r="V18" s="82">
        <v>1</v>
      </c>
      <c r="W18" s="82"/>
      <c r="X18" s="207">
        <f t="shared" si="6"/>
        <v>1</v>
      </c>
      <c r="Y18" s="82">
        <v>1</v>
      </c>
      <c r="Z18" s="82"/>
      <c r="AA18" s="125">
        <v>1</v>
      </c>
      <c r="AB18" s="217">
        <f t="shared" si="7"/>
        <v>2</v>
      </c>
      <c r="AC18" s="216">
        <f t="shared" si="2"/>
        <v>5</v>
      </c>
    </row>
    <row r="19" spans="1:29" ht="30" customHeight="1" thickBot="1">
      <c r="A19" s="26"/>
      <c r="B19" s="27"/>
      <c r="C19" s="15">
        <v>1.7</v>
      </c>
      <c r="D19" s="22">
        <v>13</v>
      </c>
      <c r="E19" s="819" t="s">
        <v>342</v>
      </c>
      <c r="F19" s="820"/>
      <c r="G19" s="820"/>
      <c r="H19" s="821"/>
      <c r="I19" s="3">
        <f t="shared" si="3"/>
        <v>13.1</v>
      </c>
      <c r="J19" s="29" t="s">
        <v>343</v>
      </c>
      <c r="K19" s="30" t="s">
        <v>225</v>
      </c>
      <c r="L19" s="150">
        <f t="shared" si="1"/>
        <v>3</v>
      </c>
      <c r="M19" s="82"/>
      <c r="N19" s="82"/>
      <c r="O19" s="82"/>
      <c r="P19" s="207">
        <f t="shared" si="4"/>
        <v>0</v>
      </c>
      <c r="Q19" s="82">
        <v>1</v>
      </c>
      <c r="R19" s="82"/>
      <c r="S19" s="82"/>
      <c r="T19" s="207">
        <f t="shared" si="5"/>
        <v>1</v>
      </c>
      <c r="U19" s="82"/>
      <c r="V19" s="82">
        <v>1</v>
      </c>
      <c r="W19" s="82"/>
      <c r="X19" s="207">
        <f t="shared" si="6"/>
        <v>1</v>
      </c>
      <c r="Y19" s="82"/>
      <c r="Z19" s="82">
        <v>1</v>
      </c>
      <c r="AA19" s="125"/>
      <c r="AB19" s="217">
        <f t="shared" si="7"/>
        <v>1</v>
      </c>
      <c r="AC19" s="216">
        <f t="shared" si="2"/>
        <v>3</v>
      </c>
    </row>
    <row r="20" spans="1:29" ht="60.75" customHeight="1" thickBot="1">
      <c r="A20" s="26"/>
      <c r="B20" s="27"/>
      <c r="C20" s="15">
        <v>1.4</v>
      </c>
      <c r="D20" s="22">
        <v>14</v>
      </c>
      <c r="E20" s="819" t="s">
        <v>344</v>
      </c>
      <c r="F20" s="820"/>
      <c r="G20" s="820"/>
      <c r="H20" s="821"/>
      <c r="I20" s="3">
        <f t="shared" si="3"/>
        <v>14.1</v>
      </c>
      <c r="J20" s="29" t="s">
        <v>345</v>
      </c>
      <c r="K20" s="30" t="s">
        <v>220</v>
      </c>
      <c r="L20" s="150">
        <f t="shared" si="1"/>
        <v>7</v>
      </c>
      <c r="M20" s="82"/>
      <c r="N20" s="82"/>
      <c r="O20" s="82"/>
      <c r="P20" s="207">
        <f t="shared" si="4"/>
        <v>0</v>
      </c>
      <c r="Q20" s="82">
        <v>2</v>
      </c>
      <c r="R20" s="82">
        <v>1</v>
      </c>
      <c r="S20" s="82">
        <v>1</v>
      </c>
      <c r="T20" s="207">
        <f t="shared" si="5"/>
        <v>4</v>
      </c>
      <c r="U20" s="82"/>
      <c r="V20" s="82">
        <v>1</v>
      </c>
      <c r="W20" s="82"/>
      <c r="X20" s="207">
        <f t="shared" si="6"/>
        <v>1</v>
      </c>
      <c r="Y20" s="82"/>
      <c r="Z20" s="82"/>
      <c r="AA20" s="125">
        <v>2</v>
      </c>
      <c r="AB20" s="217">
        <f t="shared" si="7"/>
        <v>2</v>
      </c>
      <c r="AC20" s="216">
        <f t="shared" si="2"/>
        <v>7</v>
      </c>
    </row>
    <row r="21" spans="1:29" ht="36" customHeight="1" thickBot="1">
      <c r="A21" s="26"/>
      <c r="B21" s="27"/>
      <c r="C21" s="15">
        <v>5.2</v>
      </c>
      <c r="D21" s="22">
        <v>15</v>
      </c>
      <c r="E21" s="819" t="s">
        <v>346</v>
      </c>
      <c r="F21" s="820"/>
      <c r="G21" s="820"/>
      <c r="H21" s="821"/>
      <c r="I21" s="3">
        <f t="shared" si="3"/>
        <v>15.1</v>
      </c>
      <c r="J21" s="29" t="s">
        <v>347</v>
      </c>
      <c r="K21" s="30" t="s">
        <v>225</v>
      </c>
      <c r="L21" s="150">
        <f t="shared" si="1"/>
        <v>1</v>
      </c>
      <c r="M21" s="82"/>
      <c r="N21" s="82"/>
      <c r="O21" s="82"/>
      <c r="P21" s="207">
        <f t="shared" si="4"/>
        <v>0</v>
      </c>
      <c r="Q21" s="82"/>
      <c r="R21" s="124"/>
      <c r="S21" s="82">
        <v>1</v>
      </c>
      <c r="T21" s="207">
        <f t="shared" si="5"/>
        <v>1</v>
      </c>
      <c r="U21" s="82"/>
      <c r="V21" s="82"/>
      <c r="W21" s="82"/>
      <c r="X21" s="207">
        <f t="shared" si="6"/>
        <v>0</v>
      </c>
      <c r="Y21" s="82"/>
      <c r="Z21" s="82"/>
      <c r="AA21" s="125"/>
      <c r="AB21" s="217">
        <f t="shared" si="7"/>
        <v>0</v>
      </c>
      <c r="AC21" s="216">
        <f t="shared" si="2"/>
        <v>1</v>
      </c>
    </row>
    <row r="22" spans="1:29" ht="51" customHeight="1" thickBot="1">
      <c r="A22" s="26"/>
      <c r="B22" s="27"/>
      <c r="C22" s="15">
        <v>2.1</v>
      </c>
      <c r="D22" s="22">
        <v>16</v>
      </c>
      <c r="E22" s="819" t="s">
        <v>348</v>
      </c>
      <c r="F22" s="820"/>
      <c r="G22" s="820"/>
      <c r="H22" s="821"/>
      <c r="I22" s="3">
        <f t="shared" si="3"/>
        <v>16.1</v>
      </c>
      <c r="J22" s="29" t="s">
        <v>130</v>
      </c>
      <c r="K22" s="30" t="s">
        <v>221</v>
      </c>
      <c r="L22" s="150">
        <f t="shared" si="1"/>
        <v>2</v>
      </c>
      <c r="M22" s="82"/>
      <c r="N22" s="82"/>
      <c r="O22" s="82"/>
      <c r="P22" s="207">
        <f t="shared" si="4"/>
        <v>0</v>
      </c>
      <c r="Q22" s="82"/>
      <c r="R22" s="82"/>
      <c r="S22" s="82"/>
      <c r="T22" s="207">
        <f t="shared" si="5"/>
        <v>0</v>
      </c>
      <c r="U22" s="82"/>
      <c r="V22" s="82"/>
      <c r="W22" s="82"/>
      <c r="X22" s="207">
        <f t="shared" si="6"/>
        <v>0</v>
      </c>
      <c r="Y22" s="82">
        <v>1</v>
      </c>
      <c r="Z22" s="82">
        <v>1</v>
      </c>
      <c r="AA22" s="125"/>
      <c r="AB22" s="217">
        <f t="shared" si="7"/>
        <v>2</v>
      </c>
      <c r="AC22" s="216">
        <f t="shared" si="2"/>
        <v>2</v>
      </c>
    </row>
    <row r="23" spans="1:29" ht="30" customHeight="1" thickBot="1">
      <c r="A23" s="26"/>
      <c r="B23" s="27"/>
      <c r="C23" s="15">
        <v>6.2</v>
      </c>
      <c r="D23" s="22">
        <v>17</v>
      </c>
      <c r="E23" s="819" t="s">
        <v>349</v>
      </c>
      <c r="F23" s="820"/>
      <c r="G23" s="820"/>
      <c r="H23" s="821"/>
      <c r="I23" s="3">
        <f t="shared" si="3"/>
        <v>17.1</v>
      </c>
      <c r="J23" s="29" t="s">
        <v>131</v>
      </c>
      <c r="K23" s="30" t="s">
        <v>228</v>
      </c>
      <c r="L23" s="150">
        <f t="shared" si="1"/>
        <v>1</v>
      </c>
      <c r="M23" s="82"/>
      <c r="N23" s="82"/>
      <c r="O23" s="82"/>
      <c r="P23" s="207">
        <f t="shared" si="4"/>
        <v>0</v>
      </c>
      <c r="Q23" s="82"/>
      <c r="R23" s="82"/>
      <c r="S23" s="82">
        <v>1</v>
      </c>
      <c r="T23" s="207">
        <f t="shared" si="5"/>
        <v>1</v>
      </c>
      <c r="U23" s="82"/>
      <c r="V23" s="82"/>
      <c r="W23" s="82"/>
      <c r="X23" s="207">
        <f t="shared" si="6"/>
        <v>0</v>
      </c>
      <c r="Y23" s="82"/>
      <c r="Z23" s="82"/>
      <c r="AA23" s="125"/>
      <c r="AB23" s="217">
        <f t="shared" si="7"/>
        <v>0</v>
      </c>
      <c r="AC23" s="216">
        <f t="shared" si="2"/>
        <v>1</v>
      </c>
    </row>
    <row r="24" spans="1:29" ht="36.75" customHeight="1" thickBot="1">
      <c r="A24" s="26"/>
      <c r="B24" s="27"/>
      <c r="C24" s="15">
        <v>1.4</v>
      </c>
      <c r="D24" s="22">
        <v>18</v>
      </c>
      <c r="E24" s="819" t="s">
        <v>350</v>
      </c>
      <c r="F24" s="820"/>
      <c r="G24" s="820"/>
      <c r="H24" s="821"/>
      <c r="I24" s="3">
        <f t="shared" si="3"/>
        <v>18.1</v>
      </c>
      <c r="J24" s="29" t="s">
        <v>132</v>
      </c>
      <c r="K24" s="30" t="s">
        <v>227</v>
      </c>
      <c r="L24" s="150">
        <f t="shared" si="1"/>
        <v>2</v>
      </c>
      <c r="M24" s="82"/>
      <c r="N24" s="82"/>
      <c r="O24" s="82">
        <v>1</v>
      </c>
      <c r="P24" s="207">
        <f t="shared" si="4"/>
        <v>1</v>
      </c>
      <c r="Q24" s="82"/>
      <c r="R24" s="82"/>
      <c r="S24" s="82"/>
      <c r="T24" s="207">
        <f t="shared" si="5"/>
        <v>0</v>
      </c>
      <c r="U24" s="82"/>
      <c r="V24" s="82"/>
      <c r="W24" s="82">
        <v>1</v>
      </c>
      <c r="X24" s="207">
        <f t="shared" si="6"/>
        <v>1</v>
      </c>
      <c r="Y24" s="82"/>
      <c r="Z24" s="82"/>
      <c r="AA24" s="125"/>
      <c r="AB24" s="217">
        <f t="shared" si="7"/>
        <v>0</v>
      </c>
      <c r="AC24" s="216">
        <f t="shared" si="2"/>
        <v>2</v>
      </c>
    </row>
    <row r="25" spans="1:29" ht="58.5" customHeight="1" thickBot="1">
      <c r="A25" s="26"/>
      <c r="B25" s="27"/>
      <c r="C25" s="15">
        <v>8</v>
      </c>
      <c r="D25" s="22">
        <v>19</v>
      </c>
      <c r="E25" s="819" t="s">
        <v>351</v>
      </c>
      <c r="F25" s="820"/>
      <c r="G25" s="820"/>
      <c r="H25" s="821"/>
      <c r="I25" s="3">
        <f t="shared" si="3"/>
        <v>19.1</v>
      </c>
      <c r="J25" s="29" t="s">
        <v>133</v>
      </c>
      <c r="K25" s="82" t="s">
        <v>224</v>
      </c>
      <c r="L25" s="150">
        <f t="shared" si="1"/>
        <v>14</v>
      </c>
      <c r="M25" s="82"/>
      <c r="N25" s="82">
        <v>2</v>
      </c>
      <c r="O25" s="82">
        <v>1</v>
      </c>
      <c r="P25" s="207">
        <f t="shared" si="4"/>
        <v>3</v>
      </c>
      <c r="Q25" s="82">
        <v>1</v>
      </c>
      <c r="R25" s="82">
        <v>1</v>
      </c>
      <c r="S25" s="82">
        <v>1</v>
      </c>
      <c r="T25" s="207">
        <f t="shared" si="5"/>
        <v>3</v>
      </c>
      <c r="U25" s="82"/>
      <c r="V25" s="82"/>
      <c r="W25" s="82">
        <v>3</v>
      </c>
      <c r="X25" s="207">
        <f t="shared" si="6"/>
        <v>3</v>
      </c>
      <c r="Y25" s="82">
        <v>2</v>
      </c>
      <c r="Z25" s="82">
        <v>2</v>
      </c>
      <c r="AA25" s="125">
        <v>1</v>
      </c>
      <c r="AB25" s="217">
        <f t="shared" si="7"/>
        <v>5</v>
      </c>
      <c r="AC25" s="216">
        <f t="shared" si="2"/>
        <v>14</v>
      </c>
    </row>
    <row r="26" spans="1:29" ht="55.5" customHeight="1" thickBot="1">
      <c r="A26" s="26"/>
      <c r="B26" s="27"/>
      <c r="C26" s="15">
        <v>8</v>
      </c>
      <c r="D26" s="22">
        <v>20</v>
      </c>
      <c r="E26" s="819" t="s">
        <v>352</v>
      </c>
      <c r="F26" s="820"/>
      <c r="G26" s="820"/>
      <c r="H26" s="821"/>
      <c r="I26" s="3">
        <f t="shared" si="3"/>
        <v>20.1</v>
      </c>
      <c r="J26" s="29" t="s">
        <v>620</v>
      </c>
      <c r="K26" s="30" t="s">
        <v>224</v>
      </c>
      <c r="L26" s="150">
        <f t="shared" si="1"/>
        <v>12</v>
      </c>
      <c r="M26" s="82">
        <v>1</v>
      </c>
      <c r="N26" s="82">
        <v>2</v>
      </c>
      <c r="O26" s="82">
        <v>2</v>
      </c>
      <c r="P26" s="207">
        <f t="shared" si="4"/>
        <v>5</v>
      </c>
      <c r="Q26" s="82"/>
      <c r="R26" s="82">
        <v>1</v>
      </c>
      <c r="S26" s="82"/>
      <c r="T26" s="207">
        <f t="shared" si="5"/>
        <v>1</v>
      </c>
      <c r="U26" s="82"/>
      <c r="V26" s="82"/>
      <c r="W26" s="82">
        <v>1</v>
      </c>
      <c r="X26" s="207">
        <f t="shared" si="6"/>
        <v>1</v>
      </c>
      <c r="Y26" s="82">
        <v>1</v>
      </c>
      <c r="Z26" s="82">
        <v>1</v>
      </c>
      <c r="AA26" s="125">
        <v>3</v>
      </c>
      <c r="AB26" s="217">
        <f t="shared" si="7"/>
        <v>5</v>
      </c>
      <c r="AC26" s="216">
        <f t="shared" si="2"/>
        <v>12</v>
      </c>
    </row>
    <row r="27" spans="1:29" ht="30" customHeight="1" thickBot="1">
      <c r="A27" s="26"/>
      <c r="B27" s="27"/>
      <c r="C27" s="15">
        <v>5.1</v>
      </c>
      <c r="D27" s="22">
        <v>21</v>
      </c>
      <c r="E27" s="819" t="s">
        <v>353</v>
      </c>
      <c r="F27" s="820"/>
      <c r="G27" s="820"/>
      <c r="H27" s="821"/>
      <c r="I27" s="3">
        <f t="shared" si="3"/>
        <v>21.1</v>
      </c>
      <c r="J27" s="29" t="s">
        <v>135</v>
      </c>
      <c r="K27" s="30" t="s">
        <v>226</v>
      </c>
      <c r="L27" s="150">
        <f t="shared" si="1"/>
        <v>6</v>
      </c>
      <c r="M27" s="82"/>
      <c r="N27" s="82"/>
      <c r="O27" s="82"/>
      <c r="P27" s="207">
        <f t="shared" si="4"/>
        <v>0</v>
      </c>
      <c r="Q27" s="82"/>
      <c r="R27" s="82"/>
      <c r="S27" s="82"/>
      <c r="T27" s="207">
        <f t="shared" si="5"/>
        <v>0</v>
      </c>
      <c r="U27" s="82"/>
      <c r="V27" s="82"/>
      <c r="W27" s="82"/>
      <c r="X27" s="207">
        <f t="shared" si="6"/>
        <v>0</v>
      </c>
      <c r="Y27" s="82">
        <v>3</v>
      </c>
      <c r="Z27" s="82">
        <v>3</v>
      </c>
      <c r="AA27" s="125"/>
      <c r="AB27" s="217">
        <f t="shared" si="7"/>
        <v>6</v>
      </c>
      <c r="AC27" s="216">
        <f t="shared" si="2"/>
        <v>6</v>
      </c>
    </row>
    <row r="28" spans="1:29" ht="30" customHeight="1" thickBot="1">
      <c r="A28" s="26"/>
      <c r="B28" s="27"/>
      <c r="C28" s="15">
        <v>8</v>
      </c>
      <c r="D28" s="22">
        <v>22</v>
      </c>
      <c r="E28" s="819" t="s">
        <v>354</v>
      </c>
      <c r="F28" s="820"/>
      <c r="G28" s="820"/>
      <c r="H28" s="821"/>
      <c r="I28" s="3">
        <f t="shared" si="3"/>
        <v>22.1</v>
      </c>
      <c r="J28" s="29" t="s">
        <v>136</v>
      </c>
      <c r="K28" s="30" t="s">
        <v>228</v>
      </c>
      <c r="L28" s="150">
        <f t="shared" si="1"/>
        <v>1</v>
      </c>
      <c r="M28" s="82"/>
      <c r="N28" s="82"/>
      <c r="O28" s="82">
        <v>1</v>
      </c>
      <c r="P28" s="207">
        <f t="shared" si="4"/>
        <v>1</v>
      </c>
      <c r="Q28" s="82"/>
      <c r="R28" s="82"/>
      <c r="S28" s="82"/>
      <c r="T28" s="207">
        <f t="shared" si="5"/>
        <v>0</v>
      </c>
      <c r="U28" s="82"/>
      <c r="V28" s="82"/>
      <c r="W28" s="82"/>
      <c r="X28" s="207">
        <f t="shared" si="6"/>
        <v>0</v>
      </c>
      <c r="Y28" s="82"/>
      <c r="Z28" s="82"/>
      <c r="AA28" s="125"/>
      <c r="AB28" s="217">
        <f t="shared" si="7"/>
        <v>0</v>
      </c>
      <c r="AC28" s="216">
        <f t="shared" si="2"/>
        <v>1</v>
      </c>
    </row>
    <row r="29" spans="1:29" ht="30" customHeight="1" thickBot="1">
      <c r="A29" s="26"/>
      <c r="B29" s="27"/>
      <c r="C29" s="15">
        <v>8</v>
      </c>
      <c r="D29" s="22">
        <v>23</v>
      </c>
      <c r="E29" s="819" t="s">
        <v>355</v>
      </c>
      <c r="F29" s="820"/>
      <c r="G29" s="820"/>
      <c r="H29" s="821"/>
      <c r="I29" s="3">
        <f t="shared" si="3"/>
        <v>23.1</v>
      </c>
      <c r="J29" s="29" t="s">
        <v>137</v>
      </c>
      <c r="K29" s="82" t="s">
        <v>229</v>
      </c>
      <c r="L29" s="150">
        <f t="shared" si="1"/>
        <v>2</v>
      </c>
      <c r="M29" s="82">
        <v>1</v>
      </c>
      <c r="N29" s="82"/>
      <c r="O29" s="82"/>
      <c r="P29" s="207">
        <f t="shared" si="4"/>
        <v>1</v>
      </c>
      <c r="Q29" s="82"/>
      <c r="R29" s="82"/>
      <c r="S29" s="82"/>
      <c r="T29" s="207">
        <f t="shared" si="5"/>
        <v>0</v>
      </c>
      <c r="U29" s="82"/>
      <c r="V29" s="82">
        <v>1</v>
      </c>
      <c r="W29" s="82"/>
      <c r="X29" s="207">
        <f t="shared" si="6"/>
        <v>1</v>
      </c>
      <c r="Y29" s="82"/>
      <c r="Z29" s="82"/>
      <c r="AA29" s="125"/>
      <c r="AB29" s="217">
        <f t="shared" si="7"/>
        <v>0</v>
      </c>
      <c r="AC29" s="216">
        <f t="shared" si="2"/>
        <v>2</v>
      </c>
    </row>
    <row r="30" spans="1:29" ht="30" customHeight="1" thickBot="1">
      <c r="A30" s="26"/>
      <c r="B30" s="27"/>
      <c r="C30" s="15">
        <v>1.5</v>
      </c>
      <c r="D30" s="22">
        <v>24</v>
      </c>
      <c r="E30" s="819" t="s">
        <v>149</v>
      </c>
      <c r="F30" s="820"/>
      <c r="G30" s="820"/>
      <c r="H30" s="821"/>
      <c r="I30" s="3">
        <f t="shared" si="3"/>
        <v>24.1</v>
      </c>
      <c r="J30" s="29" t="s">
        <v>138</v>
      </c>
      <c r="K30" s="82" t="s">
        <v>227</v>
      </c>
      <c r="L30" s="150">
        <f t="shared" si="1"/>
        <v>1</v>
      </c>
      <c r="M30" s="82"/>
      <c r="N30" s="82"/>
      <c r="O30" s="82"/>
      <c r="P30" s="207">
        <f t="shared" si="4"/>
        <v>0</v>
      </c>
      <c r="Q30" s="82"/>
      <c r="R30" s="82"/>
      <c r="S30" s="82">
        <v>1</v>
      </c>
      <c r="T30" s="207">
        <f t="shared" si="5"/>
        <v>1</v>
      </c>
      <c r="U30" s="82"/>
      <c r="V30" s="82"/>
      <c r="W30" s="82"/>
      <c r="X30" s="207">
        <f t="shared" si="6"/>
        <v>0</v>
      </c>
      <c r="Y30" s="82"/>
      <c r="Z30" s="82"/>
      <c r="AA30" s="125"/>
      <c r="AB30" s="217">
        <f t="shared" si="7"/>
        <v>0</v>
      </c>
      <c r="AC30" s="216">
        <f t="shared" si="2"/>
        <v>1</v>
      </c>
    </row>
    <row r="31" spans="1:29" ht="30" customHeight="1" thickBot="1">
      <c r="A31" s="26"/>
      <c r="B31" s="27"/>
      <c r="C31" s="15">
        <v>5.1</v>
      </c>
      <c r="D31" s="22">
        <v>25</v>
      </c>
      <c r="E31" s="819" t="s">
        <v>357</v>
      </c>
      <c r="F31" s="820"/>
      <c r="G31" s="820"/>
      <c r="H31" s="821"/>
      <c r="I31" s="3">
        <f t="shared" si="3"/>
        <v>25.1</v>
      </c>
      <c r="J31" s="29" t="s">
        <v>139</v>
      </c>
      <c r="K31" s="30" t="s">
        <v>225</v>
      </c>
      <c r="L31" s="150">
        <f t="shared" si="1"/>
        <v>4</v>
      </c>
      <c r="M31" s="82"/>
      <c r="N31" s="82"/>
      <c r="O31" s="82"/>
      <c r="P31" s="207">
        <f t="shared" si="4"/>
        <v>0</v>
      </c>
      <c r="Q31" s="82">
        <v>1</v>
      </c>
      <c r="R31" s="82"/>
      <c r="S31" s="82">
        <v>1</v>
      </c>
      <c r="T31" s="207">
        <f t="shared" si="5"/>
        <v>2</v>
      </c>
      <c r="U31" s="82"/>
      <c r="V31" s="82"/>
      <c r="W31" s="82"/>
      <c r="X31" s="207">
        <f t="shared" si="6"/>
        <v>0</v>
      </c>
      <c r="Y31" s="82"/>
      <c r="Z31" s="82">
        <v>1</v>
      </c>
      <c r="AA31" s="125">
        <v>1</v>
      </c>
      <c r="AB31" s="217">
        <f t="shared" si="7"/>
        <v>2</v>
      </c>
      <c r="AC31" s="216">
        <f t="shared" si="2"/>
        <v>4</v>
      </c>
    </row>
    <row r="32" spans="1:29" ht="30" customHeight="1" thickBot="1">
      <c r="A32" s="26"/>
      <c r="B32" s="27"/>
      <c r="C32" s="15">
        <v>1.6</v>
      </c>
      <c r="D32" s="22">
        <v>26</v>
      </c>
      <c r="E32" s="819" t="s">
        <v>358</v>
      </c>
      <c r="F32" s="820"/>
      <c r="G32" s="820"/>
      <c r="H32" s="821"/>
      <c r="I32" s="3">
        <f t="shared" si="3"/>
        <v>26.1</v>
      </c>
      <c r="J32" s="29" t="s">
        <v>140</v>
      </c>
      <c r="K32" s="30" t="s">
        <v>230</v>
      </c>
      <c r="L32" s="150">
        <f t="shared" si="1"/>
        <v>1</v>
      </c>
      <c r="M32" s="82"/>
      <c r="N32" s="82"/>
      <c r="O32" s="82"/>
      <c r="P32" s="207">
        <f t="shared" si="4"/>
        <v>0</v>
      </c>
      <c r="Q32" s="82"/>
      <c r="R32" s="82"/>
      <c r="S32" s="82"/>
      <c r="T32" s="207">
        <f t="shared" si="5"/>
        <v>0</v>
      </c>
      <c r="U32" s="82">
        <v>1</v>
      </c>
      <c r="V32" s="82"/>
      <c r="W32" s="82"/>
      <c r="X32" s="207">
        <f t="shared" si="6"/>
        <v>1</v>
      </c>
      <c r="Y32" s="82"/>
      <c r="Z32" s="82"/>
      <c r="AA32" s="125"/>
      <c r="AB32" s="217">
        <f t="shared" si="7"/>
        <v>0</v>
      </c>
      <c r="AC32" s="216">
        <f t="shared" si="2"/>
        <v>1</v>
      </c>
    </row>
    <row r="33" spans="1:29" ht="42" customHeight="1" thickBot="1">
      <c r="A33" s="26"/>
      <c r="B33" s="27"/>
      <c r="C33" s="15">
        <v>1.4</v>
      </c>
      <c r="D33" s="22">
        <v>27</v>
      </c>
      <c r="E33" s="819" t="s">
        <v>360</v>
      </c>
      <c r="F33" s="820"/>
      <c r="G33" s="820"/>
      <c r="H33" s="821"/>
      <c r="I33" s="3">
        <f t="shared" si="3"/>
        <v>27.1</v>
      </c>
      <c r="J33" s="29" t="s">
        <v>141</v>
      </c>
      <c r="K33" s="30" t="s">
        <v>231</v>
      </c>
      <c r="L33" s="150">
        <f t="shared" si="1"/>
        <v>5</v>
      </c>
      <c r="M33" s="82"/>
      <c r="N33" s="82">
        <v>1</v>
      </c>
      <c r="O33" s="82"/>
      <c r="P33" s="207">
        <f t="shared" si="4"/>
        <v>1</v>
      </c>
      <c r="Q33" s="82">
        <v>1</v>
      </c>
      <c r="R33" s="82"/>
      <c r="S33" s="82">
        <v>1</v>
      </c>
      <c r="T33" s="207">
        <f t="shared" si="5"/>
        <v>2</v>
      </c>
      <c r="U33" s="82"/>
      <c r="V33" s="82">
        <v>1</v>
      </c>
      <c r="W33" s="82"/>
      <c r="X33" s="207">
        <f t="shared" si="6"/>
        <v>1</v>
      </c>
      <c r="Y33" s="82">
        <v>1</v>
      </c>
      <c r="Z33" s="82"/>
      <c r="AA33" s="125"/>
      <c r="AB33" s="217">
        <f t="shared" si="7"/>
        <v>1</v>
      </c>
      <c r="AC33" s="216">
        <f t="shared" si="2"/>
        <v>5</v>
      </c>
    </row>
    <row r="34" spans="1:29" ht="38.25" customHeight="1" thickBot="1">
      <c r="A34" s="26"/>
      <c r="B34" s="27"/>
      <c r="C34" s="15"/>
      <c r="D34" s="22">
        <v>28</v>
      </c>
      <c r="E34" s="819" t="s">
        <v>361</v>
      </c>
      <c r="F34" s="820"/>
      <c r="G34" s="820"/>
      <c r="H34" s="821"/>
      <c r="I34" s="3">
        <f t="shared" si="3"/>
        <v>28.1</v>
      </c>
      <c r="J34" s="29" t="s">
        <v>142</v>
      </c>
      <c r="K34" s="30" t="s">
        <v>223</v>
      </c>
      <c r="L34" s="150">
        <f t="shared" si="1"/>
        <v>1</v>
      </c>
      <c r="M34" s="82"/>
      <c r="N34" s="82"/>
      <c r="O34" s="82"/>
      <c r="P34" s="207">
        <f t="shared" si="4"/>
        <v>0</v>
      </c>
      <c r="Q34" s="82"/>
      <c r="R34" s="82">
        <v>1</v>
      </c>
      <c r="S34" s="82"/>
      <c r="T34" s="207">
        <f t="shared" si="5"/>
        <v>1</v>
      </c>
      <c r="U34" s="82"/>
      <c r="V34" s="82"/>
      <c r="W34" s="82"/>
      <c r="X34" s="207">
        <f t="shared" si="6"/>
        <v>0</v>
      </c>
      <c r="Y34" s="82"/>
      <c r="Z34" s="82"/>
      <c r="AA34" s="125"/>
      <c r="AB34" s="217">
        <f t="shared" si="7"/>
        <v>0</v>
      </c>
      <c r="AC34" s="216">
        <f t="shared" si="2"/>
        <v>1</v>
      </c>
    </row>
    <row r="35" spans="1:29" ht="28.5" customHeight="1" thickBot="1">
      <c r="A35" s="26"/>
      <c r="B35" s="27"/>
      <c r="C35" s="15">
        <v>1.6</v>
      </c>
      <c r="D35" s="22">
        <v>29</v>
      </c>
      <c r="E35" s="819" t="s">
        <v>362</v>
      </c>
      <c r="F35" s="820"/>
      <c r="G35" s="820"/>
      <c r="H35" s="821"/>
      <c r="I35" s="3">
        <f t="shared" si="3"/>
        <v>29.1</v>
      </c>
      <c r="J35" s="29" t="s">
        <v>143</v>
      </c>
      <c r="K35" s="30" t="s">
        <v>218</v>
      </c>
      <c r="L35" s="150">
        <f t="shared" si="1"/>
        <v>1</v>
      </c>
      <c r="M35" s="82"/>
      <c r="N35" s="82"/>
      <c r="O35" s="82"/>
      <c r="P35" s="207">
        <f t="shared" si="4"/>
        <v>0</v>
      </c>
      <c r="Q35" s="82"/>
      <c r="R35" s="82"/>
      <c r="S35" s="82">
        <v>1</v>
      </c>
      <c r="T35" s="207">
        <f t="shared" si="5"/>
        <v>1</v>
      </c>
      <c r="U35" s="82"/>
      <c r="V35" s="82"/>
      <c r="W35" s="82"/>
      <c r="X35" s="207">
        <f t="shared" si="6"/>
        <v>0</v>
      </c>
      <c r="Y35" s="82"/>
      <c r="Z35" s="82"/>
      <c r="AA35" s="125"/>
      <c r="AB35" s="217">
        <f t="shared" si="7"/>
        <v>0</v>
      </c>
      <c r="AC35" s="216">
        <f t="shared" si="2"/>
        <v>1</v>
      </c>
    </row>
    <row r="36" spans="1:29" ht="30" customHeight="1" thickBot="1">
      <c r="A36" s="26"/>
      <c r="B36" s="27"/>
      <c r="C36" s="15">
        <v>1.6</v>
      </c>
      <c r="D36" s="22">
        <v>30</v>
      </c>
      <c r="E36" s="819" t="s">
        <v>363</v>
      </c>
      <c r="F36" s="820"/>
      <c r="G36" s="820"/>
      <c r="H36" s="821"/>
      <c r="I36" s="3">
        <f t="shared" si="3"/>
        <v>30.1</v>
      </c>
      <c r="J36" s="29" t="s">
        <v>144</v>
      </c>
      <c r="K36" s="30" t="s">
        <v>229</v>
      </c>
      <c r="L36" s="150">
        <f t="shared" si="1"/>
        <v>6</v>
      </c>
      <c r="M36" s="82"/>
      <c r="N36" s="82">
        <v>1</v>
      </c>
      <c r="O36" s="82"/>
      <c r="P36" s="207">
        <f t="shared" si="4"/>
        <v>1</v>
      </c>
      <c r="Q36" s="82">
        <v>1</v>
      </c>
      <c r="R36" s="82"/>
      <c r="S36" s="82">
        <v>1</v>
      </c>
      <c r="T36" s="207">
        <f t="shared" si="5"/>
        <v>2</v>
      </c>
      <c r="U36" s="82"/>
      <c r="V36" s="82"/>
      <c r="W36" s="82">
        <v>1</v>
      </c>
      <c r="X36" s="207">
        <f t="shared" si="6"/>
        <v>1</v>
      </c>
      <c r="Y36" s="82">
        <v>1</v>
      </c>
      <c r="Z36" s="82"/>
      <c r="AA36" s="125">
        <v>1</v>
      </c>
      <c r="AB36" s="217">
        <f t="shared" si="7"/>
        <v>2</v>
      </c>
      <c r="AC36" s="216">
        <f t="shared" si="2"/>
        <v>6</v>
      </c>
    </row>
    <row r="37" spans="1:29" ht="43.5" customHeight="1" thickBot="1">
      <c r="A37" s="1"/>
      <c r="B37" s="13"/>
      <c r="C37" s="28">
        <v>1.2</v>
      </c>
      <c r="D37" s="22">
        <v>31</v>
      </c>
      <c r="E37" s="819" t="s">
        <v>450</v>
      </c>
      <c r="F37" s="820"/>
      <c r="G37" s="820"/>
      <c r="H37" s="821"/>
      <c r="I37" s="3">
        <f t="shared" si="3"/>
        <v>31.1</v>
      </c>
      <c r="J37" s="29" t="s">
        <v>497</v>
      </c>
      <c r="K37" s="82" t="s">
        <v>221</v>
      </c>
      <c r="L37" s="150">
        <f t="shared" si="1"/>
        <v>2</v>
      </c>
      <c r="M37" s="82">
        <v>1</v>
      </c>
      <c r="N37" s="82"/>
      <c r="O37" s="82"/>
      <c r="P37" s="207">
        <f t="shared" si="4"/>
        <v>1</v>
      </c>
      <c r="Q37" s="82"/>
      <c r="R37" s="82"/>
      <c r="S37" s="82"/>
      <c r="T37" s="207">
        <f t="shared" si="5"/>
        <v>0</v>
      </c>
      <c r="U37" s="82">
        <v>1</v>
      </c>
      <c r="V37" s="82"/>
      <c r="W37" s="82"/>
      <c r="X37" s="207">
        <f t="shared" si="6"/>
        <v>1</v>
      </c>
      <c r="Y37" s="82"/>
      <c r="Z37" s="82"/>
      <c r="AA37" s="125"/>
      <c r="AB37" s="217">
        <f t="shared" si="7"/>
        <v>0</v>
      </c>
      <c r="AC37" s="216">
        <f t="shared" si="2"/>
        <v>2</v>
      </c>
    </row>
    <row r="38" spans="1:29" ht="43.5" customHeight="1" thickBot="1">
      <c r="A38" s="1"/>
      <c r="B38" s="13"/>
      <c r="C38" s="28"/>
      <c r="D38" s="22">
        <v>32</v>
      </c>
      <c r="E38" s="819" t="s">
        <v>442</v>
      </c>
      <c r="F38" s="820"/>
      <c r="G38" s="820"/>
      <c r="H38" s="821"/>
      <c r="I38" s="3">
        <f t="shared" si="3"/>
        <v>32.1</v>
      </c>
      <c r="J38" s="29" t="s">
        <v>145</v>
      </c>
      <c r="K38" s="30" t="s">
        <v>221</v>
      </c>
      <c r="L38" s="150">
        <f t="shared" si="1"/>
        <v>7</v>
      </c>
      <c r="M38" s="82">
        <v>1</v>
      </c>
      <c r="N38" s="82"/>
      <c r="O38" s="82">
        <v>1</v>
      </c>
      <c r="P38" s="207">
        <f t="shared" si="4"/>
        <v>2</v>
      </c>
      <c r="Q38" s="82"/>
      <c r="R38" s="82">
        <v>1</v>
      </c>
      <c r="S38" s="82">
        <v>1</v>
      </c>
      <c r="T38" s="207">
        <f t="shared" si="5"/>
        <v>2</v>
      </c>
      <c r="U38" s="82"/>
      <c r="V38" s="82">
        <v>1</v>
      </c>
      <c r="W38" s="82">
        <v>1</v>
      </c>
      <c r="X38" s="207">
        <f t="shared" si="6"/>
        <v>2</v>
      </c>
      <c r="Y38" s="82">
        <v>1</v>
      </c>
      <c r="Z38" s="82"/>
      <c r="AA38" s="125"/>
      <c r="AB38" s="217">
        <f t="shared" si="7"/>
        <v>1</v>
      </c>
      <c r="AC38" s="216">
        <f t="shared" si="2"/>
        <v>7</v>
      </c>
    </row>
    <row r="39" spans="1:29" ht="43.5" customHeight="1" thickBot="1">
      <c r="A39" s="1"/>
      <c r="B39" s="13"/>
      <c r="C39" s="28"/>
      <c r="D39" s="22">
        <v>33</v>
      </c>
      <c r="E39" s="819" t="s">
        <v>610</v>
      </c>
      <c r="F39" s="820"/>
      <c r="G39" s="820"/>
      <c r="H39" s="821"/>
      <c r="I39" s="3">
        <f t="shared" si="3"/>
        <v>33.1</v>
      </c>
      <c r="J39" s="29" t="s">
        <v>611</v>
      </c>
      <c r="K39" s="30" t="s">
        <v>218</v>
      </c>
      <c r="L39" s="150">
        <f t="shared" si="1"/>
        <v>1</v>
      </c>
      <c r="M39" s="82"/>
      <c r="N39" s="82"/>
      <c r="O39" s="82"/>
      <c r="P39" s="207">
        <f t="shared" si="4"/>
        <v>0</v>
      </c>
      <c r="Q39" s="82"/>
      <c r="R39" s="82"/>
      <c r="S39" s="82">
        <v>1</v>
      </c>
      <c r="T39" s="207">
        <f t="shared" si="5"/>
        <v>1</v>
      </c>
      <c r="U39" s="82"/>
      <c r="V39" s="82"/>
      <c r="W39" s="82"/>
      <c r="X39" s="207">
        <f t="shared" si="6"/>
        <v>0</v>
      </c>
      <c r="Y39" s="82"/>
      <c r="Z39" s="82"/>
      <c r="AA39" s="125"/>
      <c r="AB39" s="217">
        <f t="shared" si="7"/>
        <v>0</v>
      </c>
      <c r="AC39" s="216">
        <f t="shared" si="2"/>
        <v>1</v>
      </c>
    </row>
    <row r="40" spans="1:29" ht="43.5" customHeight="1" thickBot="1">
      <c r="A40" s="1"/>
      <c r="B40" s="13"/>
      <c r="C40" s="28"/>
      <c r="D40" s="22">
        <v>34</v>
      </c>
      <c r="E40" s="819" t="s">
        <v>612</v>
      </c>
      <c r="F40" s="820"/>
      <c r="G40" s="820"/>
      <c r="H40" s="821"/>
      <c r="I40" s="3">
        <f t="shared" si="3"/>
        <v>34.1</v>
      </c>
      <c r="J40" s="29" t="s">
        <v>613</v>
      </c>
      <c r="K40" s="30" t="s">
        <v>225</v>
      </c>
      <c r="L40" s="150">
        <f t="shared" si="1"/>
        <v>1</v>
      </c>
      <c r="M40" s="82"/>
      <c r="N40" s="82"/>
      <c r="O40" s="82"/>
      <c r="P40" s="207">
        <f t="shared" si="4"/>
        <v>0</v>
      </c>
      <c r="Q40" s="82"/>
      <c r="R40" s="82"/>
      <c r="S40" s="82"/>
      <c r="T40" s="207">
        <f t="shared" si="5"/>
        <v>0</v>
      </c>
      <c r="U40" s="82"/>
      <c r="V40" s="82"/>
      <c r="W40" s="82"/>
      <c r="X40" s="207">
        <f t="shared" si="6"/>
        <v>0</v>
      </c>
      <c r="Y40" s="82"/>
      <c r="Z40" s="82"/>
      <c r="AA40" s="125">
        <v>1</v>
      </c>
      <c r="AB40" s="217">
        <f t="shared" si="7"/>
        <v>1</v>
      </c>
      <c r="AC40" s="216">
        <f t="shared" si="2"/>
        <v>1</v>
      </c>
    </row>
    <row r="41" spans="1:29" ht="43.5" customHeight="1" thickBot="1">
      <c r="A41" s="1"/>
      <c r="B41" s="13"/>
      <c r="C41" s="28"/>
      <c r="D41" s="22">
        <v>35</v>
      </c>
      <c r="E41" s="833" t="s">
        <v>614</v>
      </c>
      <c r="F41" s="834"/>
      <c r="G41" s="834"/>
      <c r="H41" s="835"/>
      <c r="I41" s="3">
        <f t="shared" si="3"/>
        <v>35.1</v>
      </c>
      <c r="J41" s="29" t="s">
        <v>615</v>
      </c>
      <c r="K41" s="30" t="s">
        <v>225</v>
      </c>
      <c r="L41" s="150">
        <f t="shared" si="1"/>
        <v>9</v>
      </c>
      <c r="M41" s="82"/>
      <c r="N41" s="82"/>
      <c r="O41" s="82">
        <v>1</v>
      </c>
      <c r="P41" s="207">
        <f t="shared" si="4"/>
        <v>1</v>
      </c>
      <c r="Q41" s="82">
        <v>1</v>
      </c>
      <c r="R41" s="82">
        <v>1</v>
      </c>
      <c r="S41" s="82">
        <v>1</v>
      </c>
      <c r="T41" s="207">
        <f t="shared" si="5"/>
        <v>3</v>
      </c>
      <c r="U41" s="82"/>
      <c r="V41" s="82">
        <v>1</v>
      </c>
      <c r="W41" s="82">
        <v>1</v>
      </c>
      <c r="X41" s="207">
        <f t="shared" si="6"/>
        <v>2</v>
      </c>
      <c r="Y41" s="82">
        <v>1</v>
      </c>
      <c r="Z41" s="82">
        <v>1</v>
      </c>
      <c r="AA41" s="125">
        <v>1</v>
      </c>
      <c r="AB41" s="217">
        <f t="shared" si="7"/>
        <v>3</v>
      </c>
      <c r="AC41" s="216">
        <f t="shared" si="2"/>
        <v>9</v>
      </c>
    </row>
    <row r="42" spans="1:29" ht="43.5" customHeight="1" thickBot="1">
      <c r="A42" s="1"/>
      <c r="B42" s="13"/>
      <c r="C42" s="28"/>
      <c r="D42" s="22">
        <v>36</v>
      </c>
      <c r="E42" s="819" t="s">
        <v>616</v>
      </c>
      <c r="F42" s="820"/>
      <c r="G42" s="820"/>
      <c r="H42" s="821"/>
      <c r="I42" s="3">
        <f t="shared" si="3"/>
        <v>36.1</v>
      </c>
      <c r="J42" s="29" t="s">
        <v>617</v>
      </c>
      <c r="K42" s="30" t="s">
        <v>216</v>
      </c>
      <c r="L42" s="150">
        <f t="shared" si="1"/>
        <v>3</v>
      </c>
      <c r="M42" s="82"/>
      <c r="N42" s="82"/>
      <c r="O42" s="82"/>
      <c r="P42" s="207">
        <f t="shared" si="4"/>
        <v>0</v>
      </c>
      <c r="Q42" s="82"/>
      <c r="R42" s="82"/>
      <c r="S42" s="82"/>
      <c r="T42" s="207">
        <f t="shared" si="5"/>
        <v>0</v>
      </c>
      <c r="U42" s="82"/>
      <c r="V42" s="82"/>
      <c r="W42" s="82">
        <v>1</v>
      </c>
      <c r="X42" s="207">
        <f t="shared" si="6"/>
        <v>1</v>
      </c>
      <c r="Y42" s="82"/>
      <c r="Z42" s="82">
        <v>1</v>
      </c>
      <c r="AA42" s="125">
        <v>1</v>
      </c>
      <c r="AB42" s="217">
        <f t="shared" si="7"/>
        <v>2</v>
      </c>
      <c r="AC42" s="216">
        <f t="shared" si="2"/>
        <v>3</v>
      </c>
    </row>
    <row r="43" spans="1:29" ht="43.5" customHeight="1" thickBot="1">
      <c r="A43" s="1"/>
      <c r="B43" s="13"/>
      <c r="C43" s="28"/>
      <c r="D43" s="22">
        <v>37</v>
      </c>
      <c r="E43" s="819" t="s">
        <v>618</v>
      </c>
      <c r="F43" s="820"/>
      <c r="G43" s="820"/>
      <c r="H43" s="821"/>
      <c r="I43" s="3">
        <f t="shared" si="3"/>
        <v>37.1</v>
      </c>
      <c r="J43" s="29" t="s">
        <v>619</v>
      </c>
      <c r="K43" s="30" t="s">
        <v>231</v>
      </c>
      <c r="L43" s="150">
        <f t="shared" si="1"/>
        <v>9</v>
      </c>
      <c r="M43" s="82"/>
      <c r="N43" s="82"/>
      <c r="O43" s="82">
        <v>1</v>
      </c>
      <c r="P43" s="207">
        <f t="shared" si="4"/>
        <v>1</v>
      </c>
      <c r="Q43" s="82">
        <v>1</v>
      </c>
      <c r="R43" s="82">
        <v>1</v>
      </c>
      <c r="S43" s="82">
        <v>1</v>
      </c>
      <c r="T43" s="207">
        <f t="shared" si="5"/>
        <v>3</v>
      </c>
      <c r="U43" s="82"/>
      <c r="V43" s="82">
        <v>1</v>
      </c>
      <c r="W43" s="82">
        <v>1</v>
      </c>
      <c r="X43" s="207">
        <f t="shared" si="6"/>
        <v>2</v>
      </c>
      <c r="Y43" s="82">
        <v>1</v>
      </c>
      <c r="Z43" s="82">
        <v>1</v>
      </c>
      <c r="AA43" s="125">
        <v>1</v>
      </c>
      <c r="AB43" s="217">
        <f t="shared" si="7"/>
        <v>3</v>
      </c>
      <c r="AC43" s="216">
        <f t="shared" si="2"/>
        <v>9</v>
      </c>
    </row>
    <row r="44" spans="1:29" s="144" customFormat="1" ht="30" customHeight="1" thickBot="1">
      <c r="A44" s="156"/>
      <c r="B44" s="152"/>
      <c r="C44" s="153"/>
      <c r="D44" s="154"/>
      <c r="E44" s="155" t="s">
        <v>581</v>
      </c>
      <c r="F44" s="157"/>
      <c r="G44" s="157"/>
      <c r="H44" s="158"/>
      <c r="I44" s="145"/>
      <c r="J44" s="159"/>
      <c r="K44" s="160"/>
      <c r="L44" s="150">
        <f t="shared" si="1"/>
        <v>262</v>
      </c>
      <c r="M44" s="161">
        <f aca="true" t="shared" si="8" ref="M44:AB44">SUM(M45:M61)</f>
        <v>21</v>
      </c>
      <c r="N44" s="161">
        <f t="shared" si="8"/>
        <v>22</v>
      </c>
      <c r="O44" s="161">
        <f t="shared" si="8"/>
        <v>32</v>
      </c>
      <c r="P44" s="210">
        <f t="shared" si="8"/>
        <v>75</v>
      </c>
      <c r="Q44" s="161">
        <f t="shared" si="8"/>
        <v>14</v>
      </c>
      <c r="R44" s="161">
        <f t="shared" si="8"/>
        <v>28</v>
      </c>
      <c r="S44" s="161">
        <f t="shared" si="8"/>
        <v>30</v>
      </c>
      <c r="T44" s="161">
        <f t="shared" si="8"/>
        <v>72</v>
      </c>
      <c r="U44" s="161">
        <f t="shared" si="8"/>
        <v>1</v>
      </c>
      <c r="V44" s="161">
        <f t="shared" si="8"/>
        <v>19</v>
      </c>
      <c r="W44" s="161">
        <f t="shared" si="8"/>
        <v>27</v>
      </c>
      <c r="X44" s="161">
        <f t="shared" si="8"/>
        <v>47</v>
      </c>
      <c r="Y44" s="161">
        <f t="shared" si="8"/>
        <v>29</v>
      </c>
      <c r="Z44" s="161">
        <f t="shared" si="8"/>
        <v>23</v>
      </c>
      <c r="AA44" s="161">
        <f t="shared" si="8"/>
        <v>16</v>
      </c>
      <c r="AB44" s="210">
        <f t="shared" si="8"/>
        <v>68</v>
      </c>
      <c r="AC44" s="216">
        <f t="shared" si="2"/>
        <v>262</v>
      </c>
    </row>
    <row r="45" spans="1:29" ht="36.75" customHeight="1" thickBot="1">
      <c r="A45" s="1"/>
      <c r="B45" s="13"/>
      <c r="C45" s="28">
        <v>6.1</v>
      </c>
      <c r="D45" s="170">
        <v>38</v>
      </c>
      <c r="E45" s="819" t="s">
        <v>325</v>
      </c>
      <c r="F45" s="820"/>
      <c r="G45" s="820"/>
      <c r="H45" s="821"/>
      <c r="I45" s="3">
        <f>+D45+0.1</f>
        <v>38.1</v>
      </c>
      <c r="J45" s="29" t="s">
        <v>546</v>
      </c>
      <c r="K45" s="30" t="s">
        <v>218</v>
      </c>
      <c r="L45" s="150">
        <f t="shared" si="1"/>
        <v>4</v>
      </c>
      <c r="M45" s="30"/>
      <c r="N45" s="126"/>
      <c r="O45" s="30">
        <v>1</v>
      </c>
      <c r="P45" s="207">
        <f t="shared" si="4"/>
        <v>1</v>
      </c>
      <c r="Q45" s="30"/>
      <c r="R45" s="30">
        <v>1</v>
      </c>
      <c r="S45" s="30"/>
      <c r="T45" s="207">
        <f t="shared" si="5"/>
        <v>1</v>
      </c>
      <c r="U45" s="30"/>
      <c r="V45" s="30"/>
      <c r="W45" s="30">
        <v>1</v>
      </c>
      <c r="X45" s="207">
        <f t="shared" si="6"/>
        <v>1</v>
      </c>
      <c r="Y45" s="30">
        <v>1</v>
      </c>
      <c r="Z45" s="30"/>
      <c r="AA45" s="31"/>
      <c r="AB45" s="217">
        <f t="shared" si="7"/>
        <v>1</v>
      </c>
      <c r="AC45" s="216">
        <f t="shared" si="2"/>
        <v>4</v>
      </c>
    </row>
    <row r="46" spans="1:29" ht="30" customHeight="1" thickBot="1">
      <c r="A46" s="1"/>
      <c r="B46" s="13"/>
      <c r="C46" s="28">
        <v>2.3</v>
      </c>
      <c r="D46" s="170">
        <f>+D45+1</f>
        <v>39</v>
      </c>
      <c r="E46" s="819" t="s">
        <v>162</v>
      </c>
      <c r="F46" s="820"/>
      <c r="G46" s="820"/>
      <c r="H46" s="821"/>
      <c r="I46" s="3">
        <f aca="true" t="shared" si="9" ref="I46:I61">+D46+0.1</f>
        <v>39.1</v>
      </c>
      <c r="J46" s="29" t="s">
        <v>547</v>
      </c>
      <c r="K46" s="30" t="s">
        <v>548</v>
      </c>
      <c r="L46" s="150">
        <f t="shared" si="1"/>
        <v>5</v>
      </c>
      <c r="M46" s="30"/>
      <c r="N46" s="30"/>
      <c r="O46" s="126">
        <v>1</v>
      </c>
      <c r="P46" s="207">
        <f t="shared" si="4"/>
        <v>1</v>
      </c>
      <c r="Q46" s="30"/>
      <c r="R46" s="30">
        <v>1</v>
      </c>
      <c r="S46" s="30">
        <v>1</v>
      </c>
      <c r="T46" s="207">
        <f t="shared" si="5"/>
        <v>2</v>
      </c>
      <c r="U46" s="30"/>
      <c r="V46" s="30"/>
      <c r="W46" s="30">
        <v>1</v>
      </c>
      <c r="X46" s="207">
        <f t="shared" si="6"/>
        <v>1</v>
      </c>
      <c r="Y46" s="30">
        <v>1</v>
      </c>
      <c r="Z46" s="30"/>
      <c r="AA46" s="31"/>
      <c r="AB46" s="217">
        <f t="shared" si="7"/>
        <v>1</v>
      </c>
      <c r="AC46" s="216">
        <f t="shared" si="2"/>
        <v>5</v>
      </c>
    </row>
    <row r="47" spans="1:29" ht="30" customHeight="1" thickBot="1">
      <c r="A47" s="1"/>
      <c r="B47" s="13"/>
      <c r="C47" s="28"/>
      <c r="D47" s="170">
        <f aca="true" t="shared" si="10" ref="D47:D61">+D46+1</f>
        <v>40</v>
      </c>
      <c r="E47" s="833" t="s">
        <v>428</v>
      </c>
      <c r="F47" s="834"/>
      <c r="G47" s="834"/>
      <c r="H47" s="835"/>
      <c r="I47" s="3">
        <f t="shared" si="9"/>
        <v>40.1</v>
      </c>
      <c r="J47" s="29" t="s">
        <v>549</v>
      </c>
      <c r="K47" s="32" t="s">
        <v>223</v>
      </c>
      <c r="L47" s="150">
        <f t="shared" si="1"/>
        <v>1</v>
      </c>
      <c r="M47" s="32"/>
      <c r="N47" s="32"/>
      <c r="O47" s="32"/>
      <c r="P47" s="207">
        <f t="shared" si="4"/>
        <v>0</v>
      </c>
      <c r="Q47" s="32"/>
      <c r="R47" s="32"/>
      <c r="S47" s="32">
        <v>1</v>
      </c>
      <c r="T47" s="207">
        <f t="shared" si="5"/>
        <v>1</v>
      </c>
      <c r="U47" s="32"/>
      <c r="V47" s="32"/>
      <c r="W47" s="32"/>
      <c r="X47" s="207">
        <f t="shared" si="6"/>
        <v>0</v>
      </c>
      <c r="Y47" s="32"/>
      <c r="Z47" s="32"/>
      <c r="AA47" s="33"/>
      <c r="AB47" s="217">
        <f t="shared" si="7"/>
        <v>0</v>
      </c>
      <c r="AC47" s="216">
        <f t="shared" si="2"/>
        <v>1</v>
      </c>
    </row>
    <row r="48" spans="1:29" ht="30" customHeight="1" thickBot="1">
      <c r="A48" s="1"/>
      <c r="B48" s="13"/>
      <c r="C48" s="28"/>
      <c r="D48" s="170">
        <f t="shared" si="10"/>
        <v>41</v>
      </c>
      <c r="E48" s="819" t="s">
        <v>163</v>
      </c>
      <c r="F48" s="820"/>
      <c r="G48" s="820"/>
      <c r="H48" s="821"/>
      <c r="I48" s="3">
        <f t="shared" si="9"/>
        <v>41.1</v>
      </c>
      <c r="J48" s="29" t="s">
        <v>550</v>
      </c>
      <c r="K48" s="32" t="s">
        <v>551</v>
      </c>
      <c r="L48" s="150">
        <f t="shared" si="1"/>
        <v>4</v>
      </c>
      <c r="M48" s="32"/>
      <c r="N48" s="32"/>
      <c r="O48" s="32">
        <v>4</v>
      </c>
      <c r="P48" s="207">
        <f t="shared" si="4"/>
        <v>4</v>
      </c>
      <c r="Q48" s="32"/>
      <c r="R48" s="32"/>
      <c r="S48" s="32"/>
      <c r="T48" s="207">
        <f t="shared" si="5"/>
        <v>0</v>
      </c>
      <c r="U48" s="32"/>
      <c r="V48" s="32"/>
      <c r="W48" s="32"/>
      <c r="X48" s="207">
        <f t="shared" si="6"/>
        <v>0</v>
      </c>
      <c r="Y48" s="32"/>
      <c r="Z48" s="32"/>
      <c r="AA48" s="33"/>
      <c r="AB48" s="217">
        <f t="shared" si="7"/>
        <v>0</v>
      </c>
      <c r="AC48" s="216">
        <f t="shared" si="2"/>
        <v>4</v>
      </c>
    </row>
    <row r="49" spans="1:29" ht="30" customHeight="1" thickBot="1">
      <c r="A49" s="1"/>
      <c r="B49" s="13"/>
      <c r="C49" s="28">
        <v>4.4</v>
      </c>
      <c r="D49" s="170">
        <f t="shared" si="10"/>
        <v>42</v>
      </c>
      <c r="E49" s="819" t="s">
        <v>164</v>
      </c>
      <c r="F49" s="820"/>
      <c r="G49" s="820"/>
      <c r="H49" s="821"/>
      <c r="I49" s="3">
        <f t="shared" si="9"/>
        <v>42.1</v>
      </c>
      <c r="J49" s="29" t="s">
        <v>552</v>
      </c>
      <c r="K49" s="32" t="s">
        <v>553</v>
      </c>
      <c r="L49" s="150">
        <f t="shared" si="1"/>
        <v>5</v>
      </c>
      <c r="M49" s="32"/>
      <c r="N49" s="32"/>
      <c r="O49" s="32">
        <v>1</v>
      </c>
      <c r="P49" s="207">
        <f t="shared" si="4"/>
        <v>1</v>
      </c>
      <c r="Q49" s="32"/>
      <c r="R49" s="32">
        <v>1</v>
      </c>
      <c r="S49" s="32">
        <v>1</v>
      </c>
      <c r="T49" s="207">
        <f t="shared" si="5"/>
        <v>2</v>
      </c>
      <c r="U49" s="32"/>
      <c r="V49" s="32"/>
      <c r="W49" s="32">
        <v>1</v>
      </c>
      <c r="X49" s="207">
        <f t="shared" si="6"/>
        <v>1</v>
      </c>
      <c r="Y49" s="32">
        <v>1</v>
      </c>
      <c r="Z49" s="32"/>
      <c r="AA49" s="33"/>
      <c r="AB49" s="217">
        <f t="shared" si="7"/>
        <v>1</v>
      </c>
      <c r="AC49" s="216">
        <f t="shared" si="2"/>
        <v>5</v>
      </c>
    </row>
    <row r="50" spans="1:29" ht="30" customHeight="1" thickBot="1">
      <c r="A50" s="1"/>
      <c r="B50" s="13"/>
      <c r="C50" s="28"/>
      <c r="D50" s="170">
        <f t="shared" si="10"/>
        <v>43</v>
      </c>
      <c r="E50" s="819" t="s">
        <v>554</v>
      </c>
      <c r="F50" s="820"/>
      <c r="G50" s="820"/>
      <c r="H50" s="821"/>
      <c r="I50" s="3">
        <f t="shared" si="9"/>
        <v>43.1</v>
      </c>
      <c r="J50" s="29" t="s">
        <v>585</v>
      </c>
      <c r="K50" s="121" t="s">
        <v>586</v>
      </c>
      <c r="L50" s="150">
        <f t="shared" si="1"/>
        <v>4</v>
      </c>
      <c r="M50" s="32"/>
      <c r="N50" s="32"/>
      <c r="O50" s="32"/>
      <c r="P50" s="207">
        <f t="shared" si="4"/>
        <v>0</v>
      </c>
      <c r="Q50" s="32"/>
      <c r="R50" s="32"/>
      <c r="S50" s="32">
        <v>1</v>
      </c>
      <c r="T50" s="207">
        <f t="shared" si="5"/>
        <v>1</v>
      </c>
      <c r="U50" s="32"/>
      <c r="V50" s="32"/>
      <c r="W50" s="32">
        <v>1</v>
      </c>
      <c r="X50" s="207">
        <f t="shared" si="6"/>
        <v>1</v>
      </c>
      <c r="Y50" s="32">
        <v>1</v>
      </c>
      <c r="Z50" s="32"/>
      <c r="AA50" s="33">
        <v>1</v>
      </c>
      <c r="AB50" s="217">
        <f t="shared" si="7"/>
        <v>2</v>
      </c>
      <c r="AC50" s="216">
        <f t="shared" si="2"/>
        <v>4</v>
      </c>
    </row>
    <row r="51" spans="1:29" ht="30" customHeight="1" thickBot="1">
      <c r="A51" s="1"/>
      <c r="B51" s="13"/>
      <c r="C51" s="28">
        <v>1.4</v>
      </c>
      <c r="D51" s="170">
        <f t="shared" si="10"/>
        <v>44</v>
      </c>
      <c r="E51" s="819" t="s">
        <v>429</v>
      </c>
      <c r="F51" s="820"/>
      <c r="G51" s="820"/>
      <c r="H51" s="821"/>
      <c r="I51" s="3">
        <f t="shared" si="9"/>
        <v>44.1</v>
      </c>
      <c r="J51" s="29" t="s">
        <v>555</v>
      </c>
      <c r="K51" s="32" t="s">
        <v>225</v>
      </c>
      <c r="L51" s="150">
        <f t="shared" si="1"/>
        <v>2</v>
      </c>
      <c r="M51" s="32"/>
      <c r="N51" s="32"/>
      <c r="O51" s="32">
        <v>1</v>
      </c>
      <c r="P51" s="207">
        <f t="shared" si="4"/>
        <v>1</v>
      </c>
      <c r="Q51" s="32"/>
      <c r="R51" s="32"/>
      <c r="S51" s="32"/>
      <c r="T51" s="207">
        <f t="shared" si="5"/>
        <v>0</v>
      </c>
      <c r="U51" s="32"/>
      <c r="V51" s="32"/>
      <c r="W51" s="32">
        <v>1</v>
      </c>
      <c r="X51" s="207">
        <f t="shared" si="6"/>
        <v>1</v>
      </c>
      <c r="Y51" s="32"/>
      <c r="Z51" s="32"/>
      <c r="AA51" s="33"/>
      <c r="AB51" s="217">
        <f t="shared" si="7"/>
        <v>0</v>
      </c>
      <c r="AC51" s="216">
        <f t="shared" si="2"/>
        <v>2</v>
      </c>
    </row>
    <row r="52" spans="1:29" ht="30" customHeight="1" thickBot="1">
      <c r="A52" s="1"/>
      <c r="B52" s="13"/>
      <c r="C52" s="28">
        <v>1.4</v>
      </c>
      <c r="D52" s="170">
        <f t="shared" si="10"/>
        <v>45</v>
      </c>
      <c r="E52" s="819" t="s">
        <v>430</v>
      </c>
      <c r="F52" s="820"/>
      <c r="G52" s="820"/>
      <c r="H52" s="821"/>
      <c r="I52" s="3">
        <f t="shared" si="9"/>
        <v>45.1</v>
      </c>
      <c r="J52" s="29" t="s">
        <v>556</v>
      </c>
      <c r="K52" s="32" t="s">
        <v>220</v>
      </c>
      <c r="L52" s="150" t="e">
        <f t="shared" si="1"/>
        <v>#VALUE!</v>
      </c>
      <c r="M52" s="32"/>
      <c r="N52" s="32"/>
      <c r="O52" s="32"/>
      <c r="P52" s="207">
        <f t="shared" si="4"/>
        <v>0</v>
      </c>
      <c r="Q52" s="32"/>
      <c r="R52" s="32">
        <v>1</v>
      </c>
      <c r="S52" s="32"/>
      <c r="T52" s="207">
        <f t="shared" si="5"/>
        <v>1</v>
      </c>
      <c r="U52" s="32"/>
      <c r="V52" s="32"/>
      <c r="W52" s="32" t="s">
        <v>582</v>
      </c>
      <c r="X52" s="207">
        <f t="shared" si="6"/>
        <v>0</v>
      </c>
      <c r="Y52" s="32"/>
      <c r="Z52" s="32">
        <v>1</v>
      </c>
      <c r="AA52" s="33"/>
      <c r="AB52" s="217">
        <f t="shared" si="7"/>
        <v>1</v>
      </c>
      <c r="AC52" s="216">
        <f t="shared" si="2"/>
        <v>2</v>
      </c>
    </row>
    <row r="53" spans="1:29" ht="30" customHeight="1" thickBot="1">
      <c r="A53" s="1"/>
      <c r="B53" s="13"/>
      <c r="C53" s="28">
        <v>1.4</v>
      </c>
      <c r="D53" s="170">
        <f t="shared" si="10"/>
        <v>46</v>
      </c>
      <c r="E53" s="819" t="s">
        <v>431</v>
      </c>
      <c r="F53" s="820"/>
      <c r="G53" s="820"/>
      <c r="H53" s="821"/>
      <c r="I53" s="3">
        <f t="shared" si="9"/>
        <v>46.1</v>
      </c>
      <c r="J53" s="29" t="s">
        <v>583</v>
      </c>
      <c r="K53" s="32" t="s">
        <v>228</v>
      </c>
      <c r="L53" s="150">
        <f t="shared" si="1"/>
        <v>13</v>
      </c>
      <c r="M53" s="32"/>
      <c r="N53" s="32"/>
      <c r="O53" s="32">
        <v>2</v>
      </c>
      <c r="P53" s="207">
        <f t="shared" si="4"/>
        <v>2</v>
      </c>
      <c r="Q53" s="32">
        <v>1</v>
      </c>
      <c r="R53" s="32">
        <v>2</v>
      </c>
      <c r="S53" s="32">
        <v>1</v>
      </c>
      <c r="T53" s="207">
        <f t="shared" si="5"/>
        <v>4</v>
      </c>
      <c r="U53" s="32"/>
      <c r="V53" s="32">
        <v>1</v>
      </c>
      <c r="W53" s="32">
        <v>1</v>
      </c>
      <c r="X53" s="207">
        <f t="shared" si="6"/>
        <v>2</v>
      </c>
      <c r="Y53" s="32">
        <v>2</v>
      </c>
      <c r="Z53" s="32">
        <v>1</v>
      </c>
      <c r="AA53" s="33">
        <v>2</v>
      </c>
      <c r="AB53" s="217">
        <f t="shared" si="7"/>
        <v>5</v>
      </c>
      <c r="AC53" s="216">
        <f t="shared" si="2"/>
        <v>13</v>
      </c>
    </row>
    <row r="54" spans="1:29" ht="55.5" customHeight="1" thickBot="1">
      <c r="A54" s="1"/>
      <c r="B54" s="13"/>
      <c r="C54" s="28">
        <v>3.1</v>
      </c>
      <c r="D54" s="170">
        <f t="shared" si="10"/>
        <v>47</v>
      </c>
      <c r="E54" s="819" t="s">
        <v>432</v>
      </c>
      <c r="F54" s="820"/>
      <c r="G54" s="820"/>
      <c r="H54" s="821"/>
      <c r="I54" s="3">
        <f t="shared" si="9"/>
        <v>47.1</v>
      </c>
      <c r="J54" s="29" t="s">
        <v>559</v>
      </c>
      <c r="K54" s="30" t="s">
        <v>219</v>
      </c>
      <c r="L54" s="150">
        <f t="shared" si="1"/>
        <v>6</v>
      </c>
      <c r="M54" s="30"/>
      <c r="N54" s="30">
        <v>1</v>
      </c>
      <c r="O54" s="30"/>
      <c r="P54" s="207">
        <f t="shared" si="4"/>
        <v>1</v>
      </c>
      <c r="Q54" s="30">
        <v>1</v>
      </c>
      <c r="R54" s="30"/>
      <c r="S54" s="30">
        <v>1</v>
      </c>
      <c r="T54" s="207">
        <f t="shared" si="5"/>
        <v>2</v>
      </c>
      <c r="U54" s="30"/>
      <c r="V54" s="30">
        <v>1</v>
      </c>
      <c r="W54" s="30"/>
      <c r="X54" s="207">
        <f t="shared" si="6"/>
        <v>1</v>
      </c>
      <c r="Y54" s="30">
        <v>1</v>
      </c>
      <c r="Z54" s="30"/>
      <c r="AA54" s="31">
        <v>1</v>
      </c>
      <c r="AB54" s="217">
        <f t="shared" si="7"/>
        <v>2</v>
      </c>
      <c r="AC54" s="216">
        <f t="shared" si="2"/>
        <v>6</v>
      </c>
    </row>
    <row r="55" spans="1:29" ht="30" customHeight="1" thickBot="1">
      <c r="A55" s="1"/>
      <c r="B55" s="13"/>
      <c r="C55" s="28">
        <v>3.1</v>
      </c>
      <c r="D55" s="170">
        <f t="shared" si="10"/>
        <v>48</v>
      </c>
      <c r="E55" s="819" t="s">
        <v>560</v>
      </c>
      <c r="F55" s="820"/>
      <c r="G55" s="820"/>
      <c r="H55" s="821"/>
      <c r="I55" s="3">
        <f t="shared" si="9"/>
        <v>48.1</v>
      </c>
      <c r="J55" s="29" t="s">
        <v>561</v>
      </c>
      <c r="K55" s="30" t="s">
        <v>219</v>
      </c>
      <c r="L55" s="150">
        <f t="shared" si="1"/>
        <v>195</v>
      </c>
      <c r="M55" s="30">
        <v>20</v>
      </c>
      <c r="N55" s="30">
        <v>20</v>
      </c>
      <c r="O55" s="30">
        <v>20</v>
      </c>
      <c r="P55" s="207">
        <f t="shared" si="4"/>
        <v>60</v>
      </c>
      <c r="Q55" s="30">
        <v>10</v>
      </c>
      <c r="R55" s="30">
        <v>20</v>
      </c>
      <c r="S55" s="30">
        <v>20</v>
      </c>
      <c r="T55" s="207">
        <f t="shared" si="5"/>
        <v>50</v>
      </c>
      <c r="U55" s="30">
        <v>0</v>
      </c>
      <c r="V55" s="30">
        <v>15</v>
      </c>
      <c r="W55" s="30">
        <v>20</v>
      </c>
      <c r="X55" s="207">
        <f t="shared" si="6"/>
        <v>35</v>
      </c>
      <c r="Y55" s="30">
        <v>20</v>
      </c>
      <c r="Z55" s="30">
        <v>20</v>
      </c>
      <c r="AA55" s="31">
        <v>10</v>
      </c>
      <c r="AB55" s="217">
        <f t="shared" si="7"/>
        <v>50</v>
      </c>
      <c r="AC55" s="216">
        <f t="shared" si="2"/>
        <v>195</v>
      </c>
    </row>
    <row r="56" spans="1:29" ht="30" customHeight="1" thickBot="1">
      <c r="A56" s="1"/>
      <c r="B56" s="13"/>
      <c r="C56" s="28"/>
      <c r="D56" s="170">
        <f t="shared" si="10"/>
        <v>49</v>
      </c>
      <c r="E56" s="819" t="s">
        <v>433</v>
      </c>
      <c r="F56" s="820"/>
      <c r="G56" s="820"/>
      <c r="H56" s="821"/>
      <c r="I56" s="3">
        <f t="shared" si="9"/>
        <v>49.1</v>
      </c>
      <c r="J56" s="29" t="s">
        <v>562</v>
      </c>
      <c r="K56" s="30" t="s">
        <v>219</v>
      </c>
      <c r="L56" s="150">
        <f t="shared" si="1"/>
        <v>3</v>
      </c>
      <c r="M56" s="30"/>
      <c r="N56" s="30"/>
      <c r="O56" s="30"/>
      <c r="P56" s="207">
        <f t="shared" si="4"/>
        <v>0</v>
      </c>
      <c r="Q56" s="30"/>
      <c r="R56" s="30"/>
      <c r="S56" s="30">
        <v>1</v>
      </c>
      <c r="T56" s="207">
        <f t="shared" si="5"/>
        <v>1</v>
      </c>
      <c r="U56" s="30"/>
      <c r="V56" s="30"/>
      <c r="W56" s="30"/>
      <c r="X56" s="207">
        <f t="shared" si="6"/>
        <v>0</v>
      </c>
      <c r="Y56" s="30">
        <v>1</v>
      </c>
      <c r="Z56" s="30"/>
      <c r="AA56" s="31">
        <v>1</v>
      </c>
      <c r="AB56" s="217">
        <f t="shared" si="7"/>
        <v>2</v>
      </c>
      <c r="AC56" s="216">
        <f t="shared" si="2"/>
        <v>3</v>
      </c>
    </row>
    <row r="57" spans="1:29" ht="30" customHeight="1" thickBot="1">
      <c r="A57" s="1"/>
      <c r="B57" s="13"/>
      <c r="C57" s="28"/>
      <c r="D57" s="170">
        <f t="shared" si="10"/>
        <v>50</v>
      </c>
      <c r="E57" s="819" t="s">
        <v>434</v>
      </c>
      <c r="F57" s="820"/>
      <c r="G57" s="820"/>
      <c r="H57" s="821"/>
      <c r="I57" s="3">
        <f t="shared" si="9"/>
        <v>50.1</v>
      </c>
      <c r="J57" s="29" t="s">
        <v>563</v>
      </c>
      <c r="K57" s="30" t="s">
        <v>219</v>
      </c>
      <c r="L57" s="150">
        <f t="shared" si="1"/>
        <v>1</v>
      </c>
      <c r="M57" s="30"/>
      <c r="N57" s="30"/>
      <c r="O57" s="30"/>
      <c r="P57" s="207">
        <f t="shared" si="4"/>
        <v>0</v>
      </c>
      <c r="Q57" s="30"/>
      <c r="R57" s="30"/>
      <c r="S57" s="30">
        <v>1</v>
      </c>
      <c r="T57" s="207">
        <f t="shared" si="5"/>
        <v>1</v>
      </c>
      <c r="U57" s="30"/>
      <c r="V57" s="30"/>
      <c r="W57" s="30"/>
      <c r="X57" s="207">
        <f t="shared" si="6"/>
        <v>0</v>
      </c>
      <c r="Y57" s="30"/>
      <c r="Z57" s="30"/>
      <c r="AA57" s="31"/>
      <c r="AB57" s="217">
        <f t="shared" si="7"/>
        <v>0</v>
      </c>
      <c r="AC57" s="216">
        <f t="shared" si="2"/>
        <v>1</v>
      </c>
    </row>
    <row r="58" spans="4:29" ht="27" thickBot="1">
      <c r="D58" s="170">
        <f t="shared" si="10"/>
        <v>51</v>
      </c>
      <c r="E58" s="819" t="s">
        <v>587</v>
      </c>
      <c r="F58" s="820"/>
      <c r="G58" s="820"/>
      <c r="H58" s="821"/>
      <c r="I58" s="3">
        <f t="shared" si="9"/>
        <v>51.1</v>
      </c>
      <c r="J58" s="29" t="s">
        <v>588</v>
      </c>
      <c r="K58" s="30" t="s">
        <v>219</v>
      </c>
      <c r="L58" s="150">
        <f t="shared" si="1"/>
        <v>1</v>
      </c>
      <c r="M58" s="30"/>
      <c r="N58" s="30"/>
      <c r="O58" s="30"/>
      <c r="P58" s="207">
        <f t="shared" si="4"/>
        <v>0</v>
      </c>
      <c r="Q58" s="30"/>
      <c r="R58" s="30"/>
      <c r="S58" s="30"/>
      <c r="T58" s="207">
        <f t="shared" si="5"/>
        <v>0</v>
      </c>
      <c r="U58" s="30"/>
      <c r="V58" s="30">
        <v>1</v>
      </c>
      <c r="W58" s="30"/>
      <c r="X58" s="207">
        <f t="shared" si="6"/>
        <v>1</v>
      </c>
      <c r="Y58" s="30"/>
      <c r="Z58" s="30"/>
      <c r="AA58" s="31"/>
      <c r="AB58" s="217">
        <f t="shared" si="7"/>
        <v>0</v>
      </c>
      <c r="AC58" s="216">
        <f t="shared" si="2"/>
        <v>1</v>
      </c>
    </row>
    <row r="59" spans="4:29" ht="16.5" thickBot="1">
      <c r="D59" s="170">
        <f t="shared" si="10"/>
        <v>52</v>
      </c>
      <c r="E59" s="819" t="s">
        <v>589</v>
      </c>
      <c r="F59" s="820"/>
      <c r="G59" s="820"/>
      <c r="H59" s="821"/>
      <c r="I59" s="3">
        <f t="shared" si="9"/>
        <v>52.1</v>
      </c>
      <c r="J59" s="29" t="s">
        <v>590</v>
      </c>
      <c r="K59" s="30" t="s">
        <v>591</v>
      </c>
      <c r="L59" s="150">
        <f t="shared" si="1"/>
        <v>3</v>
      </c>
      <c r="M59" s="30"/>
      <c r="N59" s="30"/>
      <c r="O59" s="30"/>
      <c r="P59" s="207">
        <f t="shared" si="4"/>
        <v>0</v>
      </c>
      <c r="Q59" s="30">
        <v>1</v>
      </c>
      <c r="R59" s="30">
        <v>1</v>
      </c>
      <c r="S59" s="30">
        <v>1</v>
      </c>
      <c r="T59" s="207">
        <f t="shared" si="5"/>
        <v>3</v>
      </c>
      <c r="U59" s="30"/>
      <c r="V59" s="30"/>
      <c r="W59" s="30"/>
      <c r="X59" s="207">
        <f t="shared" si="6"/>
        <v>0</v>
      </c>
      <c r="Y59" s="30"/>
      <c r="Z59" s="30"/>
      <c r="AA59" s="31"/>
      <c r="AB59" s="217">
        <f t="shared" si="7"/>
        <v>0</v>
      </c>
      <c r="AC59" s="216">
        <f t="shared" si="2"/>
        <v>3</v>
      </c>
    </row>
    <row r="60" spans="4:29" ht="16.5" thickBot="1">
      <c r="D60" s="170">
        <f t="shared" si="10"/>
        <v>53</v>
      </c>
      <c r="E60" s="819" t="s">
        <v>592</v>
      </c>
      <c r="F60" s="820"/>
      <c r="G60" s="820"/>
      <c r="H60" s="821"/>
      <c r="I60" s="3">
        <f t="shared" si="9"/>
        <v>53.1</v>
      </c>
      <c r="J60" s="29" t="s">
        <v>593</v>
      </c>
      <c r="K60" s="30" t="s">
        <v>221</v>
      </c>
      <c r="L60" s="150">
        <f t="shared" si="1"/>
        <v>1</v>
      </c>
      <c r="M60" s="30"/>
      <c r="N60" s="30"/>
      <c r="O60" s="30">
        <v>1</v>
      </c>
      <c r="P60" s="207">
        <f t="shared" si="4"/>
        <v>1</v>
      </c>
      <c r="Q60" s="30"/>
      <c r="R60" s="30"/>
      <c r="S60" s="30"/>
      <c r="T60" s="207">
        <f t="shared" si="5"/>
        <v>0</v>
      </c>
      <c r="U60" s="30"/>
      <c r="V60" s="30"/>
      <c r="W60" s="30"/>
      <c r="X60" s="207">
        <f t="shared" si="6"/>
        <v>0</v>
      </c>
      <c r="Y60" s="30"/>
      <c r="Z60" s="30"/>
      <c r="AA60" s="31"/>
      <c r="AB60" s="217">
        <f t="shared" si="7"/>
        <v>0</v>
      </c>
      <c r="AC60" s="216">
        <f t="shared" si="2"/>
        <v>1</v>
      </c>
    </row>
    <row r="61" spans="4:29" ht="16.5" thickBot="1">
      <c r="D61" s="170">
        <f t="shared" si="10"/>
        <v>54</v>
      </c>
      <c r="E61" s="819" t="s">
        <v>594</v>
      </c>
      <c r="F61" s="820"/>
      <c r="G61" s="820"/>
      <c r="H61" s="821"/>
      <c r="I61" s="3">
        <f t="shared" si="9"/>
        <v>54.1</v>
      </c>
      <c r="J61" s="29" t="s">
        <v>595</v>
      </c>
      <c r="K61" s="30" t="s">
        <v>231</v>
      </c>
      <c r="L61" s="150">
        <f t="shared" si="1"/>
        <v>12</v>
      </c>
      <c r="M61" s="30">
        <v>1</v>
      </c>
      <c r="N61" s="30">
        <v>1</v>
      </c>
      <c r="O61" s="30">
        <v>1</v>
      </c>
      <c r="P61" s="207">
        <f t="shared" si="4"/>
        <v>3</v>
      </c>
      <c r="Q61" s="30">
        <v>1</v>
      </c>
      <c r="R61" s="30">
        <v>1</v>
      </c>
      <c r="S61" s="30">
        <v>1</v>
      </c>
      <c r="T61" s="207">
        <f t="shared" si="5"/>
        <v>3</v>
      </c>
      <c r="U61" s="30">
        <v>1</v>
      </c>
      <c r="V61" s="30">
        <v>1</v>
      </c>
      <c r="W61" s="30">
        <v>1</v>
      </c>
      <c r="X61" s="207">
        <f t="shared" si="6"/>
        <v>3</v>
      </c>
      <c r="Y61" s="30">
        <v>1</v>
      </c>
      <c r="Z61" s="30">
        <v>1</v>
      </c>
      <c r="AA61" s="31">
        <v>1</v>
      </c>
      <c r="AB61" s="217">
        <f t="shared" si="7"/>
        <v>3</v>
      </c>
      <c r="AC61" s="216">
        <f t="shared" si="2"/>
        <v>12</v>
      </c>
    </row>
    <row r="62" spans="1:29" s="144" customFormat="1" ht="30" customHeight="1" thickBot="1">
      <c r="A62" s="156"/>
      <c r="B62" s="152"/>
      <c r="C62" s="153"/>
      <c r="D62" s="154"/>
      <c r="E62" s="155" t="s">
        <v>568</v>
      </c>
      <c r="F62" s="157"/>
      <c r="G62" s="157"/>
      <c r="H62" s="158"/>
      <c r="I62" s="145"/>
      <c r="J62" s="159"/>
      <c r="K62" s="160"/>
      <c r="L62" s="150">
        <f t="shared" si="1"/>
        <v>95</v>
      </c>
      <c r="M62" s="160">
        <f>SUM(M63:M74)</f>
        <v>7</v>
      </c>
      <c r="N62" s="160">
        <f aca="true" t="shared" si="11" ref="N62:AB62">SUM(N63:N74)</f>
        <v>8</v>
      </c>
      <c r="O62" s="160">
        <f t="shared" si="11"/>
        <v>11</v>
      </c>
      <c r="P62" s="208">
        <f t="shared" si="11"/>
        <v>26</v>
      </c>
      <c r="Q62" s="160">
        <f t="shared" si="11"/>
        <v>7</v>
      </c>
      <c r="R62" s="160">
        <f t="shared" si="11"/>
        <v>9</v>
      </c>
      <c r="S62" s="160">
        <f t="shared" si="11"/>
        <v>9</v>
      </c>
      <c r="T62" s="160">
        <f t="shared" si="11"/>
        <v>25</v>
      </c>
      <c r="U62" s="160">
        <f t="shared" si="11"/>
        <v>4</v>
      </c>
      <c r="V62" s="160">
        <f t="shared" si="11"/>
        <v>10</v>
      </c>
      <c r="W62" s="160">
        <f t="shared" si="11"/>
        <v>9</v>
      </c>
      <c r="X62" s="160">
        <f t="shared" si="11"/>
        <v>23</v>
      </c>
      <c r="Y62" s="160">
        <f t="shared" si="11"/>
        <v>8</v>
      </c>
      <c r="Z62" s="160">
        <f t="shared" si="11"/>
        <v>8</v>
      </c>
      <c r="AA62" s="160">
        <f t="shared" si="11"/>
        <v>5</v>
      </c>
      <c r="AB62" s="208">
        <f t="shared" si="11"/>
        <v>21</v>
      </c>
      <c r="AC62" s="216">
        <f t="shared" si="2"/>
        <v>95</v>
      </c>
    </row>
    <row r="63" spans="1:29" ht="30" customHeight="1" thickBot="1">
      <c r="A63" s="1"/>
      <c r="B63" s="13"/>
      <c r="C63" s="28">
        <v>3.1</v>
      </c>
      <c r="D63" s="22">
        <f>+D61+1</f>
        <v>55</v>
      </c>
      <c r="E63" s="819" t="s">
        <v>402</v>
      </c>
      <c r="F63" s="820"/>
      <c r="G63" s="820"/>
      <c r="H63" s="821"/>
      <c r="I63" s="3">
        <f>+D63+0.1</f>
        <v>55.1</v>
      </c>
      <c r="J63" s="29" t="s">
        <v>505</v>
      </c>
      <c r="K63" s="32" t="s">
        <v>225</v>
      </c>
      <c r="L63" s="150">
        <f t="shared" si="1"/>
        <v>12</v>
      </c>
      <c r="M63" s="32">
        <v>1</v>
      </c>
      <c r="N63" s="32">
        <v>1</v>
      </c>
      <c r="O63" s="32">
        <v>1</v>
      </c>
      <c r="P63" s="207">
        <f t="shared" si="4"/>
        <v>3</v>
      </c>
      <c r="Q63" s="32">
        <v>1</v>
      </c>
      <c r="R63" s="32">
        <v>1</v>
      </c>
      <c r="S63" s="32">
        <v>1</v>
      </c>
      <c r="T63" s="207">
        <f t="shared" si="5"/>
        <v>3</v>
      </c>
      <c r="U63" s="32">
        <v>1</v>
      </c>
      <c r="V63" s="32">
        <v>1</v>
      </c>
      <c r="W63" s="32">
        <v>1</v>
      </c>
      <c r="X63" s="207">
        <f t="shared" si="6"/>
        <v>3</v>
      </c>
      <c r="Y63" s="32">
        <v>1</v>
      </c>
      <c r="Z63" s="32">
        <v>1</v>
      </c>
      <c r="AA63" s="33">
        <v>1</v>
      </c>
      <c r="AB63" s="217">
        <f t="shared" si="7"/>
        <v>3</v>
      </c>
      <c r="AC63" s="216">
        <f t="shared" si="2"/>
        <v>12</v>
      </c>
    </row>
    <row r="64" spans="1:29" ht="30" customHeight="1" thickBot="1">
      <c r="A64" s="1"/>
      <c r="B64" s="13"/>
      <c r="C64" s="28">
        <v>3.1</v>
      </c>
      <c r="D64" s="22">
        <f>+D63+1</f>
        <v>56</v>
      </c>
      <c r="E64" s="819" t="s">
        <v>403</v>
      </c>
      <c r="F64" s="820"/>
      <c r="G64" s="820"/>
      <c r="H64" s="821"/>
      <c r="I64" s="3">
        <f aca="true" t="shared" si="12" ref="I64:I74">+D64+0.1</f>
        <v>56.1</v>
      </c>
      <c r="J64" s="29" t="s">
        <v>506</v>
      </c>
      <c r="K64" s="32" t="s">
        <v>225</v>
      </c>
      <c r="L64" s="150">
        <f t="shared" si="1"/>
        <v>12</v>
      </c>
      <c r="M64" s="32">
        <v>1</v>
      </c>
      <c r="N64" s="32">
        <v>1</v>
      </c>
      <c r="O64" s="32">
        <v>1</v>
      </c>
      <c r="P64" s="207">
        <f t="shared" si="4"/>
        <v>3</v>
      </c>
      <c r="Q64" s="32">
        <v>1</v>
      </c>
      <c r="R64" s="32">
        <v>1</v>
      </c>
      <c r="S64" s="32">
        <v>1</v>
      </c>
      <c r="T64" s="207">
        <f t="shared" si="5"/>
        <v>3</v>
      </c>
      <c r="U64" s="32">
        <v>1</v>
      </c>
      <c r="V64" s="32">
        <v>1</v>
      </c>
      <c r="W64" s="32">
        <v>1</v>
      </c>
      <c r="X64" s="207">
        <f t="shared" si="6"/>
        <v>3</v>
      </c>
      <c r="Y64" s="32">
        <v>1</v>
      </c>
      <c r="Z64" s="32">
        <v>1</v>
      </c>
      <c r="AA64" s="33">
        <v>1</v>
      </c>
      <c r="AB64" s="217">
        <f t="shared" si="7"/>
        <v>3</v>
      </c>
      <c r="AC64" s="216">
        <f t="shared" si="2"/>
        <v>12</v>
      </c>
    </row>
    <row r="65" spans="1:29" ht="30" customHeight="1" thickBot="1">
      <c r="A65" s="1"/>
      <c r="B65" s="13"/>
      <c r="C65" s="28">
        <v>3.1</v>
      </c>
      <c r="D65" s="22">
        <f aca="true" t="shared" si="13" ref="D65:D74">+D64+1</f>
        <v>57</v>
      </c>
      <c r="E65" s="819" t="s">
        <v>404</v>
      </c>
      <c r="F65" s="820"/>
      <c r="G65" s="820"/>
      <c r="H65" s="821"/>
      <c r="I65" s="3">
        <f t="shared" si="12"/>
        <v>57.1</v>
      </c>
      <c r="J65" s="29" t="s">
        <v>507</v>
      </c>
      <c r="K65" s="121" t="s">
        <v>216</v>
      </c>
      <c r="L65" s="150">
        <f t="shared" si="1"/>
        <v>34</v>
      </c>
      <c r="M65" s="32">
        <v>2</v>
      </c>
      <c r="N65" s="32">
        <v>4</v>
      </c>
      <c r="O65" s="32">
        <v>4</v>
      </c>
      <c r="P65" s="207">
        <f t="shared" si="4"/>
        <v>10</v>
      </c>
      <c r="Q65" s="32">
        <v>1</v>
      </c>
      <c r="R65" s="32">
        <v>4</v>
      </c>
      <c r="S65" s="32">
        <v>4</v>
      </c>
      <c r="T65" s="207">
        <f t="shared" si="5"/>
        <v>9</v>
      </c>
      <c r="U65" s="32"/>
      <c r="V65" s="32">
        <v>4</v>
      </c>
      <c r="W65" s="32">
        <v>4</v>
      </c>
      <c r="X65" s="207">
        <f t="shared" si="6"/>
        <v>8</v>
      </c>
      <c r="Y65" s="32">
        <v>4</v>
      </c>
      <c r="Z65" s="32">
        <v>2</v>
      </c>
      <c r="AA65" s="33">
        <v>1</v>
      </c>
      <c r="AB65" s="217">
        <f t="shared" si="7"/>
        <v>7</v>
      </c>
      <c r="AC65" s="216">
        <f t="shared" si="2"/>
        <v>34</v>
      </c>
    </row>
    <row r="66" spans="1:29" ht="30" customHeight="1" thickBot="1">
      <c r="A66" s="1"/>
      <c r="B66" s="13"/>
      <c r="C66" s="28">
        <v>3.1</v>
      </c>
      <c r="D66" s="22">
        <f t="shared" si="13"/>
        <v>58</v>
      </c>
      <c r="E66" s="819" t="s">
        <v>569</v>
      </c>
      <c r="F66" s="820"/>
      <c r="G66" s="820"/>
      <c r="H66" s="821"/>
      <c r="I66" s="3">
        <f t="shared" si="12"/>
        <v>58.1</v>
      </c>
      <c r="J66" s="29" t="s">
        <v>574</v>
      </c>
      <c r="K66" s="32" t="s">
        <v>508</v>
      </c>
      <c r="L66" s="150">
        <f t="shared" si="1"/>
        <v>2</v>
      </c>
      <c r="M66" s="32"/>
      <c r="N66" s="32"/>
      <c r="O66" s="32">
        <v>1</v>
      </c>
      <c r="P66" s="207">
        <f t="shared" si="4"/>
        <v>1</v>
      </c>
      <c r="Q66" s="32"/>
      <c r="R66" s="32"/>
      <c r="S66" s="32">
        <v>1</v>
      </c>
      <c r="T66" s="207">
        <f t="shared" si="5"/>
        <v>1</v>
      </c>
      <c r="U66" s="32"/>
      <c r="V66" s="32"/>
      <c r="W66" s="32"/>
      <c r="X66" s="207">
        <f t="shared" si="6"/>
        <v>0</v>
      </c>
      <c r="Y66" s="32"/>
      <c r="Z66" s="32"/>
      <c r="AA66" s="33"/>
      <c r="AB66" s="217">
        <f t="shared" si="7"/>
        <v>0</v>
      </c>
      <c r="AC66" s="216">
        <f t="shared" si="2"/>
        <v>2</v>
      </c>
    </row>
    <row r="67" spans="1:29" ht="30" customHeight="1" thickBot="1">
      <c r="A67" s="1"/>
      <c r="B67" s="13"/>
      <c r="C67" s="28">
        <v>5.1</v>
      </c>
      <c r="D67" s="22">
        <f t="shared" si="13"/>
        <v>59</v>
      </c>
      <c r="E67" s="819" t="s">
        <v>405</v>
      </c>
      <c r="F67" s="820"/>
      <c r="G67" s="820"/>
      <c r="H67" s="821"/>
      <c r="I67" s="3">
        <f t="shared" si="12"/>
        <v>59.1</v>
      </c>
      <c r="J67" s="29" t="s">
        <v>509</v>
      </c>
      <c r="K67" s="32" t="s">
        <v>216</v>
      </c>
      <c r="L67" s="150">
        <f t="shared" si="1"/>
        <v>2</v>
      </c>
      <c r="M67" s="32"/>
      <c r="N67" s="32"/>
      <c r="O67" s="32"/>
      <c r="P67" s="207">
        <f t="shared" si="4"/>
        <v>0</v>
      </c>
      <c r="Q67" s="32"/>
      <c r="R67" s="32">
        <v>1</v>
      </c>
      <c r="S67" s="32"/>
      <c r="T67" s="207">
        <f t="shared" si="5"/>
        <v>1</v>
      </c>
      <c r="U67" s="32"/>
      <c r="V67" s="32"/>
      <c r="W67" s="32"/>
      <c r="X67" s="207">
        <f t="shared" si="6"/>
        <v>0</v>
      </c>
      <c r="Y67" s="32"/>
      <c r="Z67" s="32">
        <v>1</v>
      </c>
      <c r="AA67" s="33"/>
      <c r="AB67" s="217">
        <f t="shared" si="7"/>
        <v>1</v>
      </c>
      <c r="AC67" s="216">
        <f t="shared" si="2"/>
        <v>2</v>
      </c>
    </row>
    <row r="68" spans="1:29" ht="30" customHeight="1" thickBot="1">
      <c r="A68" s="1"/>
      <c r="B68" s="13"/>
      <c r="C68" s="28">
        <v>3.1</v>
      </c>
      <c r="D68" s="22">
        <f t="shared" si="13"/>
        <v>60</v>
      </c>
      <c r="E68" s="819" t="s">
        <v>409</v>
      </c>
      <c r="F68" s="820"/>
      <c r="G68" s="820"/>
      <c r="H68" s="821"/>
      <c r="I68" s="3">
        <f t="shared" si="12"/>
        <v>60.1</v>
      </c>
      <c r="J68" s="29" t="s">
        <v>510</v>
      </c>
      <c r="K68" s="32" t="s">
        <v>225</v>
      </c>
      <c r="L68" s="150">
        <f t="shared" si="1"/>
        <v>12</v>
      </c>
      <c r="M68" s="32">
        <v>1</v>
      </c>
      <c r="N68" s="32">
        <v>1</v>
      </c>
      <c r="O68" s="32">
        <v>1</v>
      </c>
      <c r="P68" s="207">
        <f t="shared" si="4"/>
        <v>3</v>
      </c>
      <c r="Q68" s="32">
        <v>1</v>
      </c>
      <c r="R68" s="32">
        <v>1</v>
      </c>
      <c r="S68" s="32">
        <v>1</v>
      </c>
      <c r="T68" s="207">
        <f t="shared" si="5"/>
        <v>3</v>
      </c>
      <c r="U68" s="32">
        <v>1</v>
      </c>
      <c r="V68" s="32">
        <v>1</v>
      </c>
      <c r="W68" s="32">
        <v>1</v>
      </c>
      <c r="X68" s="207">
        <f t="shared" si="6"/>
        <v>3</v>
      </c>
      <c r="Y68" s="32">
        <v>1</v>
      </c>
      <c r="Z68" s="32">
        <v>1</v>
      </c>
      <c r="AA68" s="33">
        <v>1</v>
      </c>
      <c r="AB68" s="217">
        <f t="shared" si="7"/>
        <v>3</v>
      </c>
      <c r="AC68" s="216">
        <f t="shared" si="2"/>
        <v>12</v>
      </c>
    </row>
    <row r="69" spans="1:29" ht="30" customHeight="1" thickBot="1">
      <c r="A69" s="1"/>
      <c r="B69" s="13"/>
      <c r="C69" s="28">
        <v>3.1</v>
      </c>
      <c r="D69" s="22">
        <f t="shared" si="13"/>
        <v>61</v>
      </c>
      <c r="E69" s="819" t="s">
        <v>407</v>
      </c>
      <c r="F69" s="820"/>
      <c r="G69" s="820"/>
      <c r="H69" s="821"/>
      <c r="I69" s="3">
        <f t="shared" si="12"/>
        <v>61.1</v>
      </c>
      <c r="J69" s="29" t="s">
        <v>511</v>
      </c>
      <c r="K69" s="32" t="s">
        <v>219</v>
      </c>
      <c r="L69" s="150">
        <f t="shared" si="1"/>
        <v>1</v>
      </c>
      <c r="M69" s="32"/>
      <c r="N69" s="32"/>
      <c r="O69" s="32">
        <v>1</v>
      </c>
      <c r="P69" s="207">
        <f t="shared" si="4"/>
        <v>1</v>
      </c>
      <c r="Q69" s="32"/>
      <c r="R69" s="32"/>
      <c r="S69" s="32"/>
      <c r="T69" s="207">
        <f t="shared" si="5"/>
        <v>0</v>
      </c>
      <c r="U69" s="32"/>
      <c r="V69" s="32"/>
      <c r="W69" s="32"/>
      <c r="X69" s="207">
        <f t="shared" si="6"/>
        <v>0</v>
      </c>
      <c r="Y69" s="32"/>
      <c r="Z69" s="32"/>
      <c r="AA69" s="33"/>
      <c r="AB69" s="217">
        <f t="shared" si="7"/>
        <v>0</v>
      </c>
      <c r="AC69" s="216">
        <f t="shared" si="2"/>
        <v>1</v>
      </c>
    </row>
    <row r="70" spans="1:29" ht="30" customHeight="1" thickBot="1">
      <c r="A70" s="1"/>
      <c r="B70" s="13"/>
      <c r="C70" s="28">
        <v>3.1</v>
      </c>
      <c r="D70" s="22">
        <f t="shared" si="13"/>
        <v>62</v>
      </c>
      <c r="E70" s="819" t="s">
        <v>408</v>
      </c>
      <c r="F70" s="820"/>
      <c r="G70" s="820"/>
      <c r="H70" s="821"/>
      <c r="I70" s="3">
        <f t="shared" si="12"/>
        <v>62.1</v>
      </c>
      <c r="J70" s="29" t="s">
        <v>512</v>
      </c>
      <c r="K70" s="30" t="s">
        <v>225</v>
      </c>
      <c r="L70" s="150">
        <f t="shared" si="1"/>
        <v>4</v>
      </c>
      <c r="M70" s="34">
        <v>1</v>
      </c>
      <c r="N70" s="30"/>
      <c r="O70" s="30"/>
      <c r="P70" s="207">
        <f t="shared" si="4"/>
        <v>1</v>
      </c>
      <c r="Q70" s="30">
        <v>1</v>
      </c>
      <c r="R70" s="30"/>
      <c r="S70" s="30"/>
      <c r="T70" s="207">
        <f t="shared" si="5"/>
        <v>1</v>
      </c>
      <c r="U70" s="30"/>
      <c r="V70" s="30">
        <v>1</v>
      </c>
      <c r="W70" s="30"/>
      <c r="X70" s="207">
        <f t="shared" si="6"/>
        <v>1</v>
      </c>
      <c r="Y70" s="30"/>
      <c r="Z70" s="30">
        <v>1</v>
      </c>
      <c r="AA70" s="31"/>
      <c r="AB70" s="217">
        <f t="shared" si="7"/>
        <v>1</v>
      </c>
      <c r="AC70" s="216">
        <f t="shared" si="2"/>
        <v>4</v>
      </c>
    </row>
    <row r="71" spans="1:29" ht="30" customHeight="1" thickBot="1">
      <c r="A71" s="1"/>
      <c r="B71" s="13"/>
      <c r="C71" s="28">
        <v>3.1</v>
      </c>
      <c r="D71" s="22">
        <f t="shared" si="13"/>
        <v>63</v>
      </c>
      <c r="E71" s="819" t="s">
        <v>410</v>
      </c>
      <c r="F71" s="820"/>
      <c r="G71" s="820"/>
      <c r="H71" s="821"/>
      <c r="I71" s="3">
        <f t="shared" si="12"/>
        <v>63.1</v>
      </c>
      <c r="J71" s="29" t="s">
        <v>513</v>
      </c>
      <c r="K71" s="30" t="s">
        <v>225</v>
      </c>
      <c r="L71" s="150">
        <f aca="true" t="shared" si="14" ref="L71:L116">+M71+N71+O71+Q71+R71+S71+U71+V71+W71+Y71+Z71+AA71</f>
        <v>1</v>
      </c>
      <c r="M71" s="30"/>
      <c r="N71" s="30"/>
      <c r="O71" s="30">
        <v>1</v>
      </c>
      <c r="P71" s="207">
        <f t="shared" si="4"/>
        <v>1</v>
      </c>
      <c r="Q71" s="30"/>
      <c r="R71" s="30"/>
      <c r="S71" s="30"/>
      <c r="T71" s="207">
        <f t="shared" si="5"/>
        <v>0</v>
      </c>
      <c r="U71" s="30"/>
      <c r="V71" s="30"/>
      <c r="W71" s="30"/>
      <c r="X71" s="207">
        <f t="shared" si="6"/>
        <v>0</v>
      </c>
      <c r="Y71" s="30"/>
      <c r="Z71" s="30"/>
      <c r="AA71" s="35"/>
      <c r="AB71" s="217">
        <f t="shared" si="7"/>
        <v>0</v>
      </c>
      <c r="AC71" s="216">
        <f aca="true" t="shared" si="15" ref="AC71:AC116">+AB71+X71+T71+P71</f>
        <v>1</v>
      </c>
    </row>
    <row r="72" spans="1:29" ht="30" customHeight="1" thickBot="1">
      <c r="A72" s="1"/>
      <c r="B72" s="13"/>
      <c r="C72" s="28">
        <v>3.1</v>
      </c>
      <c r="D72" s="22">
        <f t="shared" si="13"/>
        <v>64</v>
      </c>
      <c r="E72" s="819" t="s">
        <v>411</v>
      </c>
      <c r="F72" s="820"/>
      <c r="G72" s="820"/>
      <c r="H72" s="821"/>
      <c r="I72" s="3">
        <f t="shared" si="12"/>
        <v>64.1</v>
      </c>
      <c r="J72" s="29" t="s">
        <v>514</v>
      </c>
      <c r="K72" s="30" t="s">
        <v>219</v>
      </c>
      <c r="L72" s="150">
        <f t="shared" si="14"/>
        <v>2</v>
      </c>
      <c r="M72" s="30"/>
      <c r="N72" s="30"/>
      <c r="O72" s="30"/>
      <c r="P72" s="207">
        <f aca="true" t="shared" si="16" ref="P72:P116">SUM(M72:O72)</f>
        <v>0</v>
      </c>
      <c r="Q72" s="30">
        <v>1</v>
      </c>
      <c r="R72" s="30"/>
      <c r="S72" s="30"/>
      <c r="T72" s="207">
        <f aca="true" t="shared" si="17" ref="T72:T116">SUM(Q72:S72)</f>
        <v>1</v>
      </c>
      <c r="U72" s="30"/>
      <c r="V72" s="30">
        <v>1</v>
      </c>
      <c r="W72" s="30"/>
      <c r="X72" s="207">
        <f aca="true" t="shared" si="18" ref="X72:X116">SUM(U72:W72)</f>
        <v>1</v>
      </c>
      <c r="Y72" s="30"/>
      <c r="Z72" s="30"/>
      <c r="AA72" s="35"/>
      <c r="AB72" s="217">
        <f aca="true" t="shared" si="19" ref="AB72:AB116">SUM(Y72:AA72)</f>
        <v>0</v>
      </c>
      <c r="AC72" s="216">
        <f t="shared" si="15"/>
        <v>2</v>
      </c>
    </row>
    <row r="73" spans="1:29" ht="30" customHeight="1" thickBot="1">
      <c r="A73" s="1"/>
      <c r="B73" s="13"/>
      <c r="C73" s="28">
        <v>3.1</v>
      </c>
      <c r="D73" s="22">
        <f t="shared" si="13"/>
        <v>65</v>
      </c>
      <c r="E73" s="819" t="s">
        <v>412</v>
      </c>
      <c r="F73" s="820"/>
      <c r="G73" s="820"/>
      <c r="H73" s="821"/>
      <c r="I73" s="3">
        <f t="shared" si="12"/>
        <v>65.1</v>
      </c>
      <c r="J73" s="29" t="s">
        <v>515</v>
      </c>
      <c r="K73" s="30" t="s">
        <v>219</v>
      </c>
      <c r="L73" s="150">
        <f t="shared" si="14"/>
        <v>1</v>
      </c>
      <c r="M73" s="30"/>
      <c r="N73" s="30"/>
      <c r="O73" s="30"/>
      <c r="P73" s="207">
        <f t="shared" si="16"/>
        <v>0</v>
      </c>
      <c r="Q73" s="30"/>
      <c r="R73" s="30"/>
      <c r="S73" s="30"/>
      <c r="T73" s="207">
        <f t="shared" si="17"/>
        <v>0</v>
      </c>
      <c r="U73" s="30"/>
      <c r="V73" s="30"/>
      <c r="W73" s="30">
        <v>1</v>
      </c>
      <c r="X73" s="207">
        <f t="shared" si="18"/>
        <v>1</v>
      </c>
      <c r="Y73" s="30"/>
      <c r="Z73" s="30"/>
      <c r="AA73" s="35"/>
      <c r="AB73" s="217">
        <f t="shared" si="19"/>
        <v>0</v>
      </c>
      <c r="AC73" s="216">
        <f t="shared" si="15"/>
        <v>1</v>
      </c>
    </row>
    <row r="74" spans="1:29" ht="30" customHeight="1" thickBot="1">
      <c r="A74" s="1"/>
      <c r="B74" s="13"/>
      <c r="C74" s="28">
        <v>3.1</v>
      </c>
      <c r="D74" s="22">
        <f t="shared" si="13"/>
        <v>66</v>
      </c>
      <c r="E74" s="819" t="s">
        <v>413</v>
      </c>
      <c r="F74" s="820"/>
      <c r="G74" s="820"/>
      <c r="H74" s="821"/>
      <c r="I74" s="3">
        <f t="shared" si="12"/>
        <v>66.1</v>
      </c>
      <c r="J74" s="29" t="s">
        <v>516</v>
      </c>
      <c r="K74" s="30" t="s">
        <v>219</v>
      </c>
      <c r="L74" s="150">
        <f t="shared" si="14"/>
        <v>12</v>
      </c>
      <c r="M74" s="30">
        <v>1</v>
      </c>
      <c r="N74" s="30">
        <v>1</v>
      </c>
      <c r="O74" s="30">
        <v>1</v>
      </c>
      <c r="P74" s="207">
        <f t="shared" si="16"/>
        <v>3</v>
      </c>
      <c r="Q74" s="30">
        <v>1</v>
      </c>
      <c r="R74" s="30">
        <v>1</v>
      </c>
      <c r="S74" s="30">
        <v>1</v>
      </c>
      <c r="T74" s="207">
        <f t="shared" si="17"/>
        <v>3</v>
      </c>
      <c r="U74" s="30">
        <v>1</v>
      </c>
      <c r="V74" s="30">
        <v>1</v>
      </c>
      <c r="W74" s="30">
        <v>1</v>
      </c>
      <c r="X74" s="207">
        <f t="shared" si="18"/>
        <v>3</v>
      </c>
      <c r="Y74" s="30">
        <v>1</v>
      </c>
      <c r="Z74" s="30">
        <v>1</v>
      </c>
      <c r="AA74" s="31">
        <v>1</v>
      </c>
      <c r="AB74" s="217">
        <f t="shared" si="19"/>
        <v>3</v>
      </c>
      <c r="AC74" s="216">
        <f t="shared" si="15"/>
        <v>12</v>
      </c>
    </row>
    <row r="75" spans="2:29" s="144" customFormat="1" ht="30" customHeight="1" thickBot="1">
      <c r="B75" s="142"/>
      <c r="C75" s="166"/>
      <c r="D75" s="167"/>
      <c r="E75" s="155" t="s">
        <v>580</v>
      </c>
      <c r="F75" s="157"/>
      <c r="G75" s="157"/>
      <c r="H75" s="158"/>
      <c r="I75" s="143"/>
      <c r="J75" s="159"/>
      <c r="K75" s="160"/>
      <c r="L75" s="150">
        <f t="shared" si="14"/>
        <v>60</v>
      </c>
      <c r="M75" s="160">
        <f>SUM(M76:M88)</f>
        <v>2</v>
      </c>
      <c r="N75" s="160">
        <f aca="true" t="shared" si="20" ref="N75:AB75">SUM(N76:N88)</f>
        <v>6</v>
      </c>
      <c r="O75" s="160">
        <f t="shared" si="20"/>
        <v>5</v>
      </c>
      <c r="P75" s="208">
        <f t="shared" si="20"/>
        <v>13</v>
      </c>
      <c r="Q75" s="160">
        <f t="shared" si="20"/>
        <v>10</v>
      </c>
      <c r="R75" s="160">
        <f t="shared" si="20"/>
        <v>4</v>
      </c>
      <c r="S75" s="160">
        <f t="shared" si="20"/>
        <v>5</v>
      </c>
      <c r="T75" s="160">
        <f t="shared" si="20"/>
        <v>19</v>
      </c>
      <c r="U75" s="160">
        <f t="shared" si="20"/>
        <v>2</v>
      </c>
      <c r="V75" s="160">
        <f t="shared" si="20"/>
        <v>6</v>
      </c>
      <c r="W75" s="160">
        <f t="shared" si="20"/>
        <v>8</v>
      </c>
      <c r="X75" s="160">
        <f t="shared" si="20"/>
        <v>16</v>
      </c>
      <c r="Y75" s="160">
        <f t="shared" si="20"/>
        <v>5</v>
      </c>
      <c r="Z75" s="160">
        <f t="shared" si="20"/>
        <v>4</v>
      </c>
      <c r="AA75" s="160">
        <f t="shared" si="20"/>
        <v>3</v>
      </c>
      <c r="AB75" s="208">
        <f t="shared" si="20"/>
        <v>12</v>
      </c>
      <c r="AC75" s="216">
        <f t="shared" si="15"/>
        <v>60</v>
      </c>
    </row>
    <row r="76" spans="1:29" ht="30.75" customHeight="1" thickBot="1">
      <c r="A76" s="26"/>
      <c r="B76" s="27"/>
      <c r="C76" s="15">
        <v>1.6</v>
      </c>
      <c r="D76" s="22">
        <f>+D74+1</f>
        <v>67</v>
      </c>
      <c r="E76" s="819" t="s">
        <v>150</v>
      </c>
      <c r="F76" s="820"/>
      <c r="G76" s="820"/>
      <c r="H76" s="821"/>
      <c r="I76" s="3">
        <f>+D76+0.1</f>
        <v>67.1</v>
      </c>
      <c r="J76" s="29" t="s">
        <v>499</v>
      </c>
      <c r="K76" s="30" t="s">
        <v>218</v>
      </c>
      <c r="L76" s="150">
        <f t="shared" si="14"/>
        <v>1</v>
      </c>
      <c r="M76" s="30"/>
      <c r="N76" s="30"/>
      <c r="O76" s="30"/>
      <c r="P76" s="207">
        <f t="shared" si="16"/>
        <v>0</v>
      </c>
      <c r="Q76" s="30"/>
      <c r="R76" s="30"/>
      <c r="S76" s="30">
        <v>1</v>
      </c>
      <c r="T76" s="207">
        <f t="shared" si="17"/>
        <v>1</v>
      </c>
      <c r="U76" s="30"/>
      <c r="V76" s="30"/>
      <c r="W76" s="30"/>
      <c r="X76" s="207">
        <f t="shared" si="18"/>
        <v>0</v>
      </c>
      <c r="Y76" s="30"/>
      <c r="Z76" s="30"/>
      <c r="AA76" s="31"/>
      <c r="AB76" s="217">
        <f t="shared" si="19"/>
        <v>0</v>
      </c>
      <c r="AC76" s="216">
        <f t="shared" si="15"/>
        <v>1</v>
      </c>
    </row>
    <row r="77" spans="1:29" ht="48.75" customHeight="1" thickBot="1">
      <c r="A77" s="26"/>
      <c r="B77" s="27"/>
      <c r="C77" s="15">
        <v>1.1</v>
      </c>
      <c r="D77" s="22">
        <f>+D76+1</f>
        <v>68</v>
      </c>
      <c r="E77" s="819" t="s">
        <v>359</v>
      </c>
      <c r="F77" s="820"/>
      <c r="G77" s="820"/>
      <c r="H77" s="821"/>
      <c r="I77" s="3">
        <f aca="true" t="shared" si="21" ref="I77:I88">+D77+0.1</f>
        <v>68.1</v>
      </c>
      <c r="J77" s="29" t="s">
        <v>500</v>
      </c>
      <c r="K77" s="30" t="s">
        <v>218</v>
      </c>
      <c r="L77" s="150">
        <f t="shared" si="14"/>
        <v>2</v>
      </c>
      <c r="M77" s="30">
        <v>1</v>
      </c>
      <c r="N77" s="30"/>
      <c r="O77" s="30"/>
      <c r="P77" s="207">
        <f t="shared" si="16"/>
        <v>1</v>
      </c>
      <c r="Q77" s="30"/>
      <c r="R77" s="30"/>
      <c r="S77" s="30">
        <v>1</v>
      </c>
      <c r="T77" s="207">
        <f t="shared" si="17"/>
        <v>1</v>
      </c>
      <c r="U77" s="30"/>
      <c r="V77" s="30"/>
      <c r="W77" s="30"/>
      <c r="X77" s="207">
        <f t="shared" si="18"/>
        <v>0</v>
      </c>
      <c r="Y77" s="30"/>
      <c r="Z77" s="30"/>
      <c r="AA77" s="31"/>
      <c r="AB77" s="217">
        <f t="shared" si="19"/>
        <v>0</v>
      </c>
      <c r="AC77" s="216">
        <f t="shared" si="15"/>
        <v>2</v>
      </c>
    </row>
    <row r="78" spans="1:29" ht="31.5" customHeight="1" thickBot="1">
      <c r="A78" s="26"/>
      <c r="B78" s="27"/>
      <c r="C78" s="15">
        <v>1.6</v>
      </c>
      <c r="D78" s="22">
        <f aca="true" t="shared" si="22" ref="D78:D88">+D77+1</f>
        <v>69</v>
      </c>
      <c r="E78" s="819" t="s">
        <v>151</v>
      </c>
      <c r="F78" s="820"/>
      <c r="G78" s="820"/>
      <c r="H78" s="821"/>
      <c r="I78" s="3">
        <f t="shared" si="21"/>
        <v>69.1</v>
      </c>
      <c r="J78" s="29" t="s">
        <v>501</v>
      </c>
      <c r="K78" s="30" t="s">
        <v>225</v>
      </c>
      <c r="L78" s="150">
        <f t="shared" si="14"/>
        <v>2</v>
      </c>
      <c r="M78" s="30"/>
      <c r="N78" s="30">
        <v>1</v>
      </c>
      <c r="O78" s="30"/>
      <c r="P78" s="207">
        <f t="shared" si="16"/>
        <v>1</v>
      </c>
      <c r="Q78" s="30"/>
      <c r="R78" s="30"/>
      <c r="S78" s="30"/>
      <c r="T78" s="207">
        <f t="shared" si="17"/>
        <v>0</v>
      </c>
      <c r="U78" s="30"/>
      <c r="V78" s="30">
        <v>1</v>
      </c>
      <c r="W78" s="30"/>
      <c r="X78" s="207">
        <f t="shared" si="18"/>
        <v>1</v>
      </c>
      <c r="Y78" s="30"/>
      <c r="Z78" s="30"/>
      <c r="AA78" s="31"/>
      <c r="AB78" s="217">
        <f t="shared" si="19"/>
        <v>0</v>
      </c>
      <c r="AC78" s="216">
        <f t="shared" si="15"/>
        <v>2</v>
      </c>
    </row>
    <row r="79" spans="1:29" ht="51" customHeight="1" thickBot="1">
      <c r="A79" s="1"/>
      <c r="B79" s="13"/>
      <c r="C79" s="28">
        <v>1.1</v>
      </c>
      <c r="D79" s="22">
        <f t="shared" si="22"/>
        <v>70</v>
      </c>
      <c r="E79" s="819" t="s">
        <v>121</v>
      </c>
      <c r="F79" s="820"/>
      <c r="G79" s="820"/>
      <c r="H79" s="821"/>
      <c r="I79" s="3">
        <f t="shared" si="21"/>
        <v>70.1</v>
      </c>
      <c r="J79" s="29" t="s">
        <v>536</v>
      </c>
      <c r="K79" s="30" t="s">
        <v>219</v>
      </c>
      <c r="L79" s="150">
        <f t="shared" si="14"/>
        <v>2</v>
      </c>
      <c r="M79" s="30"/>
      <c r="N79" s="126"/>
      <c r="O79" s="30"/>
      <c r="P79" s="207">
        <f t="shared" si="16"/>
        <v>0</v>
      </c>
      <c r="Q79" s="30">
        <v>2</v>
      </c>
      <c r="R79" s="30"/>
      <c r="S79" s="30"/>
      <c r="T79" s="207">
        <f t="shared" si="17"/>
        <v>2</v>
      </c>
      <c r="U79" s="30"/>
      <c r="V79" s="30"/>
      <c r="W79" s="30"/>
      <c r="X79" s="207">
        <f t="shared" si="18"/>
        <v>0</v>
      </c>
      <c r="Y79" s="30"/>
      <c r="Z79" s="30"/>
      <c r="AA79" s="31"/>
      <c r="AB79" s="217">
        <f t="shared" si="19"/>
        <v>0</v>
      </c>
      <c r="AC79" s="216">
        <f t="shared" si="15"/>
        <v>2</v>
      </c>
    </row>
    <row r="80" spans="1:29" ht="36" customHeight="1" thickBot="1">
      <c r="A80" s="1"/>
      <c r="B80" s="13"/>
      <c r="C80" s="28">
        <v>1.1</v>
      </c>
      <c r="D80" s="22">
        <f t="shared" si="22"/>
        <v>71</v>
      </c>
      <c r="E80" s="819" t="s">
        <v>122</v>
      </c>
      <c r="F80" s="820"/>
      <c r="G80" s="820"/>
      <c r="H80" s="821"/>
      <c r="I80" s="3">
        <f t="shared" si="21"/>
        <v>71.1</v>
      </c>
      <c r="J80" s="29" t="s">
        <v>537</v>
      </c>
      <c r="K80" s="82" t="s">
        <v>225</v>
      </c>
      <c r="L80" s="150">
        <f t="shared" si="14"/>
        <v>12</v>
      </c>
      <c r="M80" s="30">
        <v>1</v>
      </c>
      <c r="N80" s="30">
        <v>1</v>
      </c>
      <c r="O80" s="126">
        <v>1</v>
      </c>
      <c r="P80" s="207">
        <f t="shared" si="16"/>
        <v>3</v>
      </c>
      <c r="Q80" s="30">
        <v>1</v>
      </c>
      <c r="R80" s="30">
        <v>1</v>
      </c>
      <c r="S80" s="30">
        <v>1</v>
      </c>
      <c r="T80" s="207">
        <f t="shared" si="17"/>
        <v>3</v>
      </c>
      <c r="U80" s="30">
        <v>1</v>
      </c>
      <c r="V80" s="30">
        <v>1</v>
      </c>
      <c r="W80" s="30">
        <v>1</v>
      </c>
      <c r="X80" s="207">
        <f t="shared" si="18"/>
        <v>3</v>
      </c>
      <c r="Y80" s="30">
        <v>1</v>
      </c>
      <c r="Z80" s="30">
        <v>1</v>
      </c>
      <c r="AA80" s="31">
        <v>1</v>
      </c>
      <c r="AB80" s="217">
        <f t="shared" si="19"/>
        <v>3</v>
      </c>
      <c r="AC80" s="216">
        <f t="shared" si="15"/>
        <v>12</v>
      </c>
    </row>
    <row r="81" spans="1:29" ht="29.25" customHeight="1" thickBot="1">
      <c r="A81" s="1"/>
      <c r="B81" s="13"/>
      <c r="C81" s="28">
        <v>1.1</v>
      </c>
      <c r="D81" s="22">
        <f t="shared" si="22"/>
        <v>72</v>
      </c>
      <c r="E81" s="819" t="s">
        <v>152</v>
      </c>
      <c r="F81" s="820"/>
      <c r="G81" s="820"/>
      <c r="H81" s="821"/>
      <c r="I81" s="3">
        <f t="shared" si="21"/>
        <v>72.1</v>
      </c>
      <c r="J81" s="29" t="s">
        <v>538</v>
      </c>
      <c r="K81" s="32" t="s">
        <v>219</v>
      </c>
      <c r="L81" s="150">
        <f t="shared" si="14"/>
        <v>1</v>
      </c>
      <c r="M81" s="32"/>
      <c r="N81" s="32"/>
      <c r="O81" s="32"/>
      <c r="P81" s="207">
        <f t="shared" si="16"/>
        <v>0</v>
      </c>
      <c r="Q81" s="32">
        <v>1</v>
      </c>
      <c r="R81" s="32"/>
      <c r="S81" s="32"/>
      <c r="T81" s="207">
        <f t="shared" si="17"/>
        <v>1</v>
      </c>
      <c r="U81" s="32"/>
      <c r="V81" s="32"/>
      <c r="W81" s="32"/>
      <c r="X81" s="207">
        <f t="shared" si="18"/>
        <v>0</v>
      </c>
      <c r="Y81" s="32"/>
      <c r="Z81" s="32"/>
      <c r="AA81" s="33"/>
      <c r="AB81" s="217">
        <f t="shared" si="19"/>
        <v>0</v>
      </c>
      <c r="AC81" s="216">
        <f t="shared" si="15"/>
        <v>1</v>
      </c>
    </row>
    <row r="82" spans="1:29" ht="49.5" customHeight="1" thickBot="1">
      <c r="A82" s="1"/>
      <c r="B82" s="13"/>
      <c r="C82" s="28">
        <v>3.1</v>
      </c>
      <c r="D82" s="22">
        <f t="shared" si="22"/>
        <v>73</v>
      </c>
      <c r="E82" s="819" t="s">
        <v>157</v>
      </c>
      <c r="F82" s="820"/>
      <c r="G82" s="820"/>
      <c r="H82" s="821"/>
      <c r="I82" s="3">
        <f t="shared" si="21"/>
        <v>73.1</v>
      </c>
      <c r="J82" s="29" t="s">
        <v>539</v>
      </c>
      <c r="K82" s="32" t="s">
        <v>219</v>
      </c>
      <c r="L82" s="150">
        <f t="shared" si="14"/>
        <v>11</v>
      </c>
      <c r="M82" s="32"/>
      <c r="N82" s="32">
        <v>2</v>
      </c>
      <c r="O82" s="32"/>
      <c r="P82" s="207">
        <f t="shared" si="16"/>
        <v>2</v>
      </c>
      <c r="Q82" s="32">
        <v>2</v>
      </c>
      <c r="R82" s="32">
        <v>1</v>
      </c>
      <c r="S82" s="32"/>
      <c r="T82" s="207">
        <f t="shared" si="17"/>
        <v>3</v>
      </c>
      <c r="U82" s="32"/>
      <c r="V82" s="32"/>
      <c r="W82" s="32">
        <v>4</v>
      </c>
      <c r="X82" s="207">
        <f t="shared" si="18"/>
        <v>4</v>
      </c>
      <c r="Y82" s="32"/>
      <c r="Z82" s="32">
        <v>2</v>
      </c>
      <c r="AA82" s="33"/>
      <c r="AB82" s="217">
        <f t="shared" si="19"/>
        <v>2</v>
      </c>
      <c r="AC82" s="216">
        <f t="shared" si="15"/>
        <v>11</v>
      </c>
    </row>
    <row r="83" spans="1:29" ht="52.5" customHeight="1" thickBot="1">
      <c r="A83" s="1"/>
      <c r="B83" s="13"/>
      <c r="C83" s="28">
        <v>3.1</v>
      </c>
      <c r="D83" s="22">
        <f t="shared" si="22"/>
        <v>74</v>
      </c>
      <c r="E83" s="819" t="s">
        <v>540</v>
      </c>
      <c r="F83" s="820"/>
      <c r="G83" s="820"/>
      <c r="H83" s="821"/>
      <c r="I83" s="3">
        <f t="shared" si="21"/>
        <v>74.1</v>
      </c>
      <c r="J83" s="29" t="s">
        <v>541</v>
      </c>
      <c r="K83" s="32" t="s">
        <v>231</v>
      </c>
      <c r="L83" s="150">
        <f t="shared" si="14"/>
        <v>8</v>
      </c>
      <c r="M83" s="32"/>
      <c r="N83" s="32">
        <v>1</v>
      </c>
      <c r="O83" s="32">
        <v>2</v>
      </c>
      <c r="P83" s="207">
        <f t="shared" si="16"/>
        <v>3</v>
      </c>
      <c r="Q83" s="32">
        <v>1</v>
      </c>
      <c r="R83" s="32"/>
      <c r="S83" s="32"/>
      <c r="T83" s="207">
        <f t="shared" si="17"/>
        <v>1</v>
      </c>
      <c r="U83" s="32"/>
      <c r="V83" s="32">
        <v>2</v>
      </c>
      <c r="W83" s="32">
        <v>1</v>
      </c>
      <c r="X83" s="207">
        <f t="shared" si="18"/>
        <v>3</v>
      </c>
      <c r="Y83" s="32">
        <v>1</v>
      </c>
      <c r="Z83" s="32"/>
      <c r="AA83" s="33"/>
      <c r="AB83" s="217">
        <f t="shared" si="19"/>
        <v>1</v>
      </c>
      <c r="AC83" s="216">
        <f t="shared" si="15"/>
        <v>8</v>
      </c>
    </row>
    <row r="84" spans="1:29" ht="29.25" customHeight="1" thickBot="1">
      <c r="A84" s="1"/>
      <c r="B84" s="13"/>
      <c r="C84" s="28">
        <v>3.1</v>
      </c>
      <c r="D84" s="22">
        <f t="shared" si="22"/>
        <v>75</v>
      </c>
      <c r="E84" s="819" t="s">
        <v>158</v>
      </c>
      <c r="F84" s="820"/>
      <c r="G84" s="820"/>
      <c r="H84" s="821"/>
      <c r="I84" s="3">
        <f t="shared" si="21"/>
        <v>75.1</v>
      </c>
      <c r="J84" s="29" t="s">
        <v>542</v>
      </c>
      <c r="K84" s="32" t="s">
        <v>219</v>
      </c>
      <c r="L84" s="150">
        <f t="shared" si="14"/>
        <v>2</v>
      </c>
      <c r="M84" s="32"/>
      <c r="N84" s="32"/>
      <c r="O84" s="32"/>
      <c r="P84" s="207">
        <f t="shared" si="16"/>
        <v>0</v>
      </c>
      <c r="Q84" s="32">
        <v>1</v>
      </c>
      <c r="R84" s="32"/>
      <c r="S84" s="32"/>
      <c r="T84" s="207">
        <f t="shared" si="17"/>
        <v>1</v>
      </c>
      <c r="U84" s="32"/>
      <c r="V84" s="32"/>
      <c r="W84" s="32"/>
      <c r="X84" s="207">
        <f t="shared" si="18"/>
        <v>0</v>
      </c>
      <c r="Y84" s="32">
        <v>1</v>
      </c>
      <c r="Z84" s="32"/>
      <c r="AA84" s="33"/>
      <c r="AB84" s="217">
        <f t="shared" si="19"/>
        <v>1</v>
      </c>
      <c r="AC84" s="216">
        <f t="shared" si="15"/>
        <v>2</v>
      </c>
    </row>
    <row r="85" spans="1:29" ht="31.5" customHeight="1" thickBot="1">
      <c r="A85" s="1"/>
      <c r="B85" s="13"/>
      <c r="C85" s="28">
        <v>3.1</v>
      </c>
      <c r="D85" s="22">
        <f t="shared" si="22"/>
        <v>76</v>
      </c>
      <c r="E85" s="819" t="s">
        <v>159</v>
      </c>
      <c r="F85" s="820"/>
      <c r="G85" s="820"/>
      <c r="H85" s="821"/>
      <c r="I85" s="3">
        <f t="shared" si="21"/>
        <v>76.1</v>
      </c>
      <c r="J85" s="29" t="s">
        <v>543</v>
      </c>
      <c r="K85" s="32" t="s">
        <v>219</v>
      </c>
      <c r="L85" s="150">
        <f t="shared" si="14"/>
        <v>2</v>
      </c>
      <c r="M85" s="32"/>
      <c r="N85" s="32">
        <v>1</v>
      </c>
      <c r="O85" s="32"/>
      <c r="P85" s="207">
        <f t="shared" si="16"/>
        <v>1</v>
      </c>
      <c r="Q85" s="32"/>
      <c r="R85" s="32"/>
      <c r="S85" s="32"/>
      <c r="T85" s="207">
        <f t="shared" si="17"/>
        <v>0</v>
      </c>
      <c r="U85" s="32"/>
      <c r="V85" s="32"/>
      <c r="W85" s="32"/>
      <c r="X85" s="207">
        <f t="shared" si="18"/>
        <v>0</v>
      </c>
      <c r="Y85" s="32">
        <v>1</v>
      </c>
      <c r="Z85" s="32"/>
      <c r="AA85" s="33"/>
      <c r="AB85" s="217">
        <f t="shared" si="19"/>
        <v>1</v>
      </c>
      <c r="AC85" s="216">
        <f t="shared" si="15"/>
        <v>2</v>
      </c>
    </row>
    <row r="86" spans="1:29" ht="26.25" customHeight="1" thickBot="1">
      <c r="A86" s="1"/>
      <c r="B86" s="13"/>
      <c r="C86" s="28">
        <v>3.1</v>
      </c>
      <c r="D86" s="22">
        <f t="shared" si="22"/>
        <v>77</v>
      </c>
      <c r="E86" s="819" t="s">
        <v>161</v>
      </c>
      <c r="F86" s="820"/>
      <c r="G86" s="820"/>
      <c r="H86" s="821"/>
      <c r="I86" s="3">
        <f t="shared" si="21"/>
        <v>77.1</v>
      </c>
      <c r="J86" s="29" t="s">
        <v>544</v>
      </c>
      <c r="K86" s="32" t="s">
        <v>225</v>
      </c>
      <c r="L86" s="150">
        <f t="shared" si="14"/>
        <v>4</v>
      </c>
      <c r="M86" s="32"/>
      <c r="N86" s="32"/>
      <c r="O86" s="32">
        <v>1</v>
      </c>
      <c r="P86" s="207">
        <f t="shared" si="16"/>
        <v>1</v>
      </c>
      <c r="Q86" s="32"/>
      <c r="R86" s="32"/>
      <c r="S86" s="32">
        <v>1</v>
      </c>
      <c r="T86" s="207">
        <f t="shared" si="17"/>
        <v>1</v>
      </c>
      <c r="U86" s="32"/>
      <c r="V86" s="32"/>
      <c r="W86" s="32">
        <v>1</v>
      </c>
      <c r="X86" s="207">
        <f t="shared" si="18"/>
        <v>1</v>
      </c>
      <c r="Y86" s="32"/>
      <c r="Z86" s="32"/>
      <c r="AA86" s="33">
        <v>1</v>
      </c>
      <c r="AB86" s="217">
        <f t="shared" si="19"/>
        <v>1</v>
      </c>
      <c r="AC86" s="216">
        <f t="shared" si="15"/>
        <v>4</v>
      </c>
    </row>
    <row r="87" spans="1:29" ht="52.5" customHeight="1" thickBot="1">
      <c r="A87" s="1"/>
      <c r="B87" s="13"/>
      <c r="C87" s="28">
        <v>3.1</v>
      </c>
      <c r="D87" s="22">
        <f t="shared" si="22"/>
        <v>78</v>
      </c>
      <c r="E87" s="819" t="s">
        <v>160</v>
      </c>
      <c r="F87" s="820"/>
      <c r="G87" s="820"/>
      <c r="H87" s="821"/>
      <c r="I87" s="3">
        <f t="shared" si="21"/>
        <v>78.1</v>
      </c>
      <c r="J87" s="29" t="s">
        <v>545</v>
      </c>
      <c r="K87" s="32" t="s">
        <v>219</v>
      </c>
      <c r="L87" s="150">
        <f t="shared" si="14"/>
        <v>4</v>
      </c>
      <c r="M87" s="32"/>
      <c r="N87" s="32"/>
      <c r="O87" s="32">
        <v>1</v>
      </c>
      <c r="P87" s="207">
        <f t="shared" si="16"/>
        <v>1</v>
      </c>
      <c r="Q87" s="32">
        <v>1</v>
      </c>
      <c r="R87" s="32">
        <v>1</v>
      </c>
      <c r="S87" s="32"/>
      <c r="T87" s="207">
        <f t="shared" si="17"/>
        <v>2</v>
      </c>
      <c r="U87" s="32"/>
      <c r="V87" s="32">
        <v>1</v>
      </c>
      <c r="W87" s="32"/>
      <c r="X87" s="207">
        <f t="shared" si="18"/>
        <v>1</v>
      </c>
      <c r="Y87" s="32"/>
      <c r="Z87" s="32"/>
      <c r="AA87" s="33"/>
      <c r="AB87" s="217">
        <f t="shared" si="19"/>
        <v>0</v>
      </c>
      <c r="AC87" s="216">
        <f t="shared" si="15"/>
        <v>4</v>
      </c>
    </row>
    <row r="88" spans="1:29" ht="30" customHeight="1" thickBot="1">
      <c r="A88" s="1"/>
      <c r="B88" s="13"/>
      <c r="C88" s="28">
        <v>1.1</v>
      </c>
      <c r="D88" s="22">
        <f t="shared" si="22"/>
        <v>79</v>
      </c>
      <c r="E88" s="819" t="s">
        <v>606</v>
      </c>
      <c r="F88" s="820"/>
      <c r="G88" s="820"/>
      <c r="H88" s="821"/>
      <c r="I88" s="3">
        <f t="shared" si="21"/>
        <v>79.1</v>
      </c>
      <c r="J88" s="29" t="s">
        <v>608</v>
      </c>
      <c r="K88" s="127" t="s">
        <v>609</v>
      </c>
      <c r="L88" s="150">
        <f t="shared" si="14"/>
        <v>9</v>
      </c>
      <c r="M88" s="127"/>
      <c r="N88" s="127"/>
      <c r="O88" s="127"/>
      <c r="P88" s="207">
        <f t="shared" si="16"/>
        <v>0</v>
      </c>
      <c r="Q88" s="127">
        <v>1</v>
      </c>
      <c r="R88" s="127">
        <v>1</v>
      </c>
      <c r="S88" s="127">
        <v>1</v>
      </c>
      <c r="T88" s="207">
        <f t="shared" si="17"/>
        <v>3</v>
      </c>
      <c r="U88" s="127">
        <v>1</v>
      </c>
      <c r="V88" s="127">
        <v>1</v>
      </c>
      <c r="W88" s="127">
        <v>1</v>
      </c>
      <c r="X88" s="207">
        <f t="shared" si="18"/>
        <v>3</v>
      </c>
      <c r="Y88" s="127">
        <v>1</v>
      </c>
      <c r="Z88" s="127">
        <v>1</v>
      </c>
      <c r="AA88" s="128">
        <v>1</v>
      </c>
      <c r="AB88" s="217">
        <f t="shared" si="19"/>
        <v>3</v>
      </c>
      <c r="AC88" s="216">
        <f t="shared" si="15"/>
        <v>9</v>
      </c>
    </row>
    <row r="89" spans="1:29" s="144" customFormat="1" ht="30" customHeight="1" thickBot="1">
      <c r="A89" s="156"/>
      <c r="B89" s="152"/>
      <c r="C89" s="153"/>
      <c r="D89" s="154"/>
      <c r="E89" s="155" t="s">
        <v>577</v>
      </c>
      <c r="F89" s="157"/>
      <c r="G89" s="157"/>
      <c r="H89" s="158"/>
      <c r="I89" s="145"/>
      <c r="J89" s="159"/>
      <c r="K89" s="160"/>
      <c r="L89" s="150">
        <f t="shared" si="14"/>
        <v>28</v>
      </c>
      <c r="M89" s="160">
        <f>SUM(M90:M91)</f>
        <v>1</v>
      </c>
      <c r="N89" s="160">
        <f aca="true" t="shared" si="23" ref="N89:AB89">SUM(N90:N91)</f>
        <v>5</v>
      </c>
      <c r="O89" s="160">
        <f t="shared" si="23"/>
        <v>3</v>
      </c>
      <c r="P89" s="208">
        <f t="shared" si="23"/>
        <v>9</v>
      </c>
      <c r="Q89" s="160">
        <f t="shared" si="23"/>
        <v>3</v>
      </c>
      <c r="R89" s="160">
        <f t="shared" si="23"/>
        <v>3</v>
      </c>
      <c r="S89" s="160">
        <f t="shared" si="23"/>
        <v>2</v>
      </c>
      <c r="T89" s="160">
        <f t="shared" si="23"/>
        <v>8</v>
      </c>
      <c r="U89" s="160">
        <f t="shared" si="23"/>
        <v>0</v>
      </c>
      <c r="V89" s="160">
        <f t="shared" si="23"/>
        <v>3</v>
      </c>
      <c r="W89" s="160">
        <f t="shared" si="23"/>
        <v>3</v>
      </c>
      <c r="X89" s="160">
        <f t="shared" si="23"/>
        <v>6</v>
      </c>
      <c r="Y89" s="160">
        <f t="shared" si="23"/>
        <v>3</v>
      </c>
      <c r="Z89" s="160">
        <f t="shared" si="23"/>
        <v>1</v>
      </c>
      <c r="AA89" s="160">
        <f t="shared" si="23"/>
        <v>1</v>
      </c>
      <c r="AB89" s="208">
        <f t="shared" si="23"/>
        <v>5</v>
      </c>
      <c r="AC89" s="216">
        <f t="shared" si="15"/>
        <v>28</v>
      </c>
    </row>
    <row r="90" spans="1:29" ht="30" customHeight="1" thickBot="1">
      <c r="A90" s="1"/>
      <c r="B90" s="13"/>
      <c r="C90" s="28">
        <v>3.1</v>
      </c>
      <c r="D90" s="22">
        <f>+D88+1</f>
        <v>80</v>
      </c>
      <c r="E90" s="819" t="s">
        <v>400</v>
      </c>
      <c r="F90" s="820"/>
      <c r="G90" s="820"/>
      <c r="H90" s="821"/>
      <c r="I90" s="3">
        <f>+D90+0.1</f>
        <v>80.1</v>
      </c>
      <c r="J90" s="29" t="s">
        <v>503</v>
      </c>
      <c r="K90" s="30" t="s">
        <v>225</v>
      </c>
      <c r="L90" s="150">
        <f t="shared" si="14"/>
        <v>17</v>
      </c>
      <c r="M90" s="30"/>
      <c r="N90" s="126">
        <v>4</v>
      </c>
      <c r="O90" s="30">
        <v>2</v>
      </c>
      <c r="P90" s="207">
        <f t="shared" si="16"/>
        <v>6</v>
      </c>
      <c r="Q90" s="30">
        <v>2</v>
      </c>
      <c r="R90" s="30">
        <v>2</v>
      </c>
      <c r="S90" s="30">
        <v>1</v>
      </c>
      <c r="T90" s="207">
        <f t="shared" si="17"/>
        <v>5</v>
      </c>
      <c r="U90" s="30"/>
      <c r="V90" s="30">
        <v>2</v>
      </c>
      <c r="W90" s="30">
        <v>2</v>
      </c>
      <c r="X90" s="207">
        <f t="shared" si="18"/>
        <v>4</v>
      </c>
      <c r="Y90" s="30">
        <v>2</v>
      </c>
      <c r="Z90" s="30"/>
      <c r="AA90" s="31"/>
      <c r="AB90" s="217">
        <f t="shared" si="19"/>
        <v>2</v>
      </c>
      <c r="AC90" s="216">
        <f t="shared" si="15"/>
        <v>17</v>
      </c>
    </row>
    <row r="91" spans="1:29" ht="30" customHeight="1" thickBot="1">
      <c r="A91" s="1"/>
      <c r="B91" s="13"/>
      <c r="C91" s="28">
        <v>3.1</v>
      </c>
      <c r="D91" s="22">
        <f>+D90+1</f>
        <v>81</v>
      </c>
      <c r="E91" s="819" t="s">
        <v>401</v>
      </c>
      <c r="F91" s="820"/>
      <c r="G91" s="820"/>
      <c r="H91" s="821"/>
      <c r="I91" s="3">
        <f>+D91+0.1</f>
        <v>81.1</v>
      </c>
      <c r="J91" s="29" t="s">
        <v>504</v>
      </c>
      <c r="K91" s="30" t="s">
        <v>231</v>
      </c>
      <c r="L91" s="150">
        <f t="shared" si="14"/>
        <v>11</v>
      </c>
      <c r="M91" s="30">
        <v>1</v>
      </c>
      <c r="N91" s="30">
        <v>1</v>
      </c>
      <c r="O91" s="126">
        <v>1</v>
      </c>
      <c r="P91" s="207">
        <f t="shared" si="16"/>
        <v>3</v>
      </c>
      <c r="Q91" s="30">
        <v>1</v>
      </c>
      <c r="R91" s="30">
        <v>1</v>
      </c>
      <c r="S91" s="30">
        <v>1</v>
      </c>
      <c r="T91" s="207">
        <f t="shared" si="17"/>
        <v>3</v>
      </c>
      <c r="U91" s="30"/>
      <c r="V91" s="30">
        <v>1</v>
      </c>
      <c r="W91" s="30">
        <v>1</v>
      </c>
      <c r="X91" s="207">
        <f t="shared" si="18"/>
        <v>2</v>
      </c>
      <c r="Y91" s="30">
        <v>1</v>
      </c>
      <c r="Z91" s="30">
        <v>1</v>
      </c>
      <c r="AA91" s="31">
        <v>1</v>
      </c>
      <c r="AB91" s="217">
        <f t="shared" si="19"/>
        <v>3</v>
      </c>
      <c r="AC91" s="216">
        <f t="shared" si="15"/>
        <v>11</v>
      </c>
    </row>
    <row r="92" spans="1:29" s="144" customFormat="1" ht="30" customHeight="1" thickBot="1">
      <c r="A92" s="156"/>
      <c r="B92" s="152"/>
      <c r="C92" s="153"/>
      <c r="D92" s="154"/>
      <c r="E92" s="155" t="s">
        <v>598</v>
      </c>
      <c r="F92" s="157"/>
      <c r="G92" s="157"/>
      <c r="H92" s="158"/>
      <c r="I92" s="145"/>
      <c r="J92" s="159"/>
      <c r="K92" s="160"/>
      <c r="L92" s="150">
        <f t="shared" si="14"/>
        <v>148</v>
      </c>
      <c r="M92" s="160">
        <f>SUM(M93:M105)</f>
        <v>12</v>
      </c>
      <c r="N92" s="160">
        <f aca="true" t="shared" si="24" ref="N92:AB92">SUM(N93:N105)</f>
        <v>15</v>
      </c>
      <c r="O92" s="160">
        <f t="shared" si="24"/>
        <v>17</v>
      </c>
      <c r="P92" s="208">
        <f t="shared" si="24"/>
        <v>44</v>
      </c>
      <c r="Q92" s="160">
        <f t="shared" si="24"/>
        <v>12</v>
      </c>
      <c r="R92" s="160">
        <f t="shared" si="24"/>
        <v>12</v>
      </c>
      <c r="S92" s="160">
        <f t="shared" si="24"/>
        <v>12</v>
      </c>
      <c r="T92" s="160">
        <f t="shared" si="24"/>
        <v>36</v>
      </c>
      <c r="U92" s="160">
        <f t="shared" si="24"/>
        <v>9</v>
      </c>
      <c r="V92" s="160">
        <f t="shared" si="24"/>
        <v>11</v>
      </c>
      <c r="W92" s="160">
        <f t="shared" si="24"/>
        <v>13</v>
      </c>
      <c r="X92" s="160">
        <f t="shared" si="24"/>
        <v>33</v>
      </c>
      <c r="Y92" s="160">
        <f t="shared" si="24"/>
        <v>14</v>
      </c>
      <c r="Z92" s="160">
        <f t="shared" si="24"/>
        <v>11</v>
      </c>
      <c r="AA92" s="160">
        <f t="shared" si="24"/>
        <v>10</v>
      </c>
      <c r="AB92" s="208">
        <f t="shared" si="24"/>
        <v>35</v>
      </c>
      <c r="AC92" s="216">
        <f t="shared" si="15"/>
        <v>148</v>
      </c>
    </row>
    <row r="93" spans="1:29" ht="30" customHeight="1" thickBot="1">
      <c r="A93" s="1"/>
      <c r="B93" s="13"/>
      <c r="C93" s="28">
        <v>3.1</v>
      </c>
      <c r="D93" s="22">
        <f>+D91+1</f>
        <v>82</v>
      </c>
      <c r="E93" s="819" t="s">
        <v>414</v>
      </c>
      <c r="F93" s="820"/>
      <c r="G93" s="820"/>
      <c r="H93" s="821"/>
      <c r="I93" s="3">
        <f>+D93+0.1</f>
        <v>82.1</v>
      </c>
      <c r="J93" s="29" t="s">
        <v>517</v>
      </c>
      <c r="K93" s="30" t="s">
        <v>219</v>
      </c>
      <c r="L93" s="150">
        <f t="shared" si="14"/>
        <v>1</v>
      </c>
      <c r="M93" s="30"/>
      <c r="N93" s="30"/>
      <c r="O93" s="30">
        <v>1</v>
      </c>
      <c r="P93" s="207">
        <f t="shared" si="16"/>
        <v>1</v>
      </c>
      <c r="Q93" s="30"/>
      <c r="R93" s="30"/>
      <c r="S93" s="30"/>
      <c r="T93" s="207">
        <f t="shared" si="17"/>
        <v>0</v>
      </c>
      <c r="U93" s="30"/>
      <c r="V93" s="30"/>
      <c r="W93" s="30"/>
      <c r="X93" s="207">
        <f t="shared" si="18"/>
        <v>0</v>
      </c>
      <c r="Y93" s="30"/>
      <c r="Z93" s="30"/>
      <c r="AA93" s="35"/>
      <c r="AB93" s="217">
        <f t="shared" si="19"/>
        <v>0</v>
      </c>
      <c r="AC93" s="216">
        <f t="shared" si="15"/>
        <v>1</v>
      </c>
    </row>
    <row r="94" spans="1:29" ht="30" customHeight="1" thickBot="1">
      <c r="A94" s="1"/>
      <c r="B94" s="13"/>
      <c r="C94" s="28">
        <v>3.1</v>
      </c>
      <c r="D94" s="22">
        <f>+D93+1</f>
        <v>83</v>
      </c>
      <c r="E94" s="819" t="s">
        <v>415</v>
      </c>
      <c r="F94" s="820"/>
      <c r="G94" s="820"/>
      <c r="H94" s="821"/>
      <c r="I94" s="3">
        <f aca="true" t="shared" si="25" ref="I94:I105">+D94+0.1</f>
        <v>83.1</v>
      </c>
      <c r="J94" s="29" t="s">
        <v>518</v>
      </c>
      <c r="K94" s="30" t="s">
        <v>219</v>
      </c>
      <c r="L94" s="150">
        <f t="shared" si="14"/>
        <v>8</v>
      </c>
      <c r="M94" s="30">
        <v>3</v>
      </c>
      <c r="N94" s="30">
        <v>3</v>
      </c>
      <c r="O94" s="30">
        <v>2</v>
      </c>
      <c r="P94" s="207">
        <f t="shared" si="16"/>
        <v>8</v>
      </c>
      <c r="Q94" s="30"/>
      <c r="R94" s="30"/>
      <c r="S94" s="30"/>
      <c r="T94" s="207">
        <f t="shared" si="17"/>
        <v>0</v>
      </c>
      <c r="U94" s="30"/>
      <c r="V94" s="30"/>
      <c r="W94" s="30"/>
      <c r="X94" s="207">
        <f t="shared" si="18"/>
        <v>0</v>
      </c>
      <c r="Y94" s="30"/>
      <c r="Z94" s="30"/>
      <c r="AA94" s="35"/>
      <c r="AB94" s="217">
        <f t="shared" si="19"/>
        <v>0</v>
      </c>
      <c r="AC94" s="216">
        <f t="shared" si="15"/>
        <v>8</v>
      </c>
    </row>
    <row r="95" spans="1:29" ht="30" customHeight="1" thickBot="1">
      <c r="A95" s="1"/>
      <c r="B95" s="13"/>
      <c r="C95" s="28">
        <v>3.1</v>
      </c>
      <c r="D95" s="22">
        <f aca="true" t="shared" si="26" ref="D95:D105">+D94+1</f>
        <v>84</v>
      </c>
      <c r="E95" s="819" t="s">
        <v>416</v>
      </c>
      <c r="F95" s="820"/>
      <c r="G95" s="820"/>
      <c r="H95" s="821"/>
      <c r="I95" s="3">
        <f t="shared" si="25"/>
        <v>84.1</v>
      </c>
      <c r="J95" s="29" t="s">
        <v>519</v>
      </c>
      <c r="K95" s="30" t="s">
        <v>219</v>
      </c>
      <c r="L95" s="150">
        <f t="shared" si="14"/>
        <v>11</v>
      </c>
      <c r="M95" s="30">
        <v>1</v>
      </c>
      <c r="N95" s="30">
        <v>1</v>
      </c>
      <c r="O95" s="30">
        <v>1</v>
      </c>
      <c r="P95" s="207">
        <f t="shared" si="16"/>
        <v>3</v>
      </c>
      <c r="Q95" s="30">
        <v>1</v>
      </c>
      <c r="R95" s="30">
        <v>1</v>
      </c>
      <c r="S95" s="30">
        <v>1</v>
      </c>
      <c r="T95" s="207">
        <f t="shared" si="17"/>
        <v>3</v>
      </c>
      <c r="U95" s="30"/>
      <c r="V95" s="30">
        <v>1</v>
      </c>
      <c r="W95" s="30">
        <v>1</v>
      </c>
      <c r="X95" s="207">
        <f t="shared" si="18"/>
        <v>2</v>
      </c>
      <c r="Y95" s="30">
        <v>1</v>
      </c>
      <c r="Z95" s="30">
        <v>1</v>
      </c>
      <c r="AA95" s="31">
        <v>1</v>
      </c>
      <c r="AB95" s="217">
        <f t="shared" si="19"/>
        <v>3</v>
      </c>
      <c r="AC95" s="216">
        <f t="shared" si="15"/>
        <v>11</v>
      </c>
    </row>
    <row r="96" spans="1:29" ht="45" customHeight="1" thickBot="1">
      <c r="A96" s="1"/>
      <c r="B96" s="13"/>
      <c r="C96" s="28">
        <v>1.1</v>
      </c>
      <c r="D96" s="22">
        <f t="shared" si="26"/>
        <v>85</v>
      </c>
      <c r="E96" s="819" t="s">
        <v>417</v>
      </c>
      <c r="F96" s="820"/>
      <c r="G96" s="820"/>
      <c r="H96" s="821"/>
      <c r="I96" s="3">
        <f t="shared" si="25"/>
        <v>85.1</v>
      </c>
      <c r="J96" s="29" t="s">
        <v>520</v>
      </c>
      <c r="K96" s="82" t="s">
        <v>231</v>
      </c>
      <c r="L96" s="150">
        <f t="shared" si="14"/>
        <v>11</v>
      </c>
      <c r="M96" s="30">
        <v>1</v>
      </c>
      <c r="N96" s="30">
        <v>1</v>
      </c>
      <c r="O96" s="30">
        <v>1</v>
      </c>
      <c r="P96" s="207">
        <f t="shared" si="16"/>
        <v>3</v>
      </c>
      <c r="Q96" s="30">
        <v>1</v>
      </c>
      <c r="R96" s="30">
        <v>1</v>
      </c>
      <c r="S96" s="30">
        <v>1</v>
      </c>
      <c r="T96" s="207">
        <f t="shared" si="17"/>
        <v>3</v>
      </c>
      <c r="U96" s="30"/>
      <c r="V96" s="30">
        <v>1</v>
      </c>
      <c r="W96" s="30">
        <v>1</v>
      </c>
      <c r="X96" s="207">
        <f t="shared" si="18"/>
        <v>2</v>
      </c>
      <c r="Y96" s="30">
        <v>1</v>
      </c>
      <c r="Z96" s="30">
        <v>1</v>
      </c>
      <c r="AA96" s="31">
        <v>1</v>
      </c>
      <c r="AB96" s="217">
        <f t="shared" si="19"/>
        <v>3</v>
      </c>
      <c r="AC96" s="216">
        <f t="shared" si="15"/>
        <v>11</v>
      </c>
    </row>
    <row r="97" spans="1:29" ht="30" customHeight="1" thickBot="1">
      <c r="A97" s="1"/>
      <c r="B97" s="13"/>
      <c r="C97" s="28">
        <v>3.1</v>
      </c>
      <c r="D97" s="22">
        <f t="shared" si="26"/>
        <v>86</v>
      </c>
      <c r="E97" s="819" t="s">
        <v>425</v>
      </c>
      <c r="F97" s="820"/>
      <c r="G97" s="820"/>
      <c r="H97" s="821"/>
      <c r="I97" s="3">
        <f t="shared" si="25"/>
        <v>86.1</v>
      </c>
      <c r="J97" s="29" t="s">
        <v>521</v>
      </c>
      <c r="K97" s="82" t="s">
        <v>219</v>
      </c>
      <c r="L97" s="150">
        <f t="shared" si="14"/>
        <v>11</v>
      </c>
      <c r="M97" s="30">
        <v>1</v>
      </c>
      <c r="N97" s="30">
        <v>1</v>
      </c>
      <c r="O97" s="30">
        <v>1</v>
      </c>
      <c r="P97" s="207">
        <f t="shared" si="16"/>
        <v>3</v>
      </c>
      <c r="Q97" s="30">
        <v>1</v>
      </c>
      <c r="R97" s="30">
        <v>1</v>
      </c>
      <c r="S97" s="30">
        <v>1</v>
      </c>
      <c r="T97" s="207">
        <f t="shared" si="17"/>
        <v>3</v>
      </c>
      <c r="U97" s="30">
        <v>0</v>
      </c>
      <c r="V97" s="30">
        <v>1</v>
      </c>
      <c r="W97" s="30">
        <v>1</v>
      </c>
      <c r="X97" s="207">
        <f t="shared" si="18"/>
        <v>2</v>
      </c>
      <c r="Y97" s="30">
        <v>1</v>
      </c>
      <c r="Z97" s="30">
        <v>1</v>
      </c>
      <c r="AA97" s="31">
        <v>1</v>
      </c>
      <c r="AB97" s="217">
        <f t="shared" si="19"/>
        <v>3</v>
      </c>
      <c r="AC97" s="216">
        <f t="shared" si="15"/>
        <v>11</v>
      </c>
    </row>
    <row r="98" spans="1:29" ht="48" customHeight="1" thickBot="1">
      <c r="A98" s="1"/>
      <c r="B98" s="13"/>
      <c r="C98" s="28">
        <v>1.1</v>
      </c>
      <c r="D98" s="22">
        <f t="shared" si="26"/>
        <v>87</v>
      </c>
      <c r="E98" s="819" t="s">
        <v>418</v>
      </c>
      <c r="F98" s="820"/>
      <c r="G98" s="820"/>
      <c r="H98" s="821"/>
      <c r="I98" s="3">
        <f t="shared" si="25"/>
        <v>87.1</v>
      </c>
      <c r="J98" s="29" t="s">
        <v>522</v>
      </c>
      <c r="K98" s="82" t="s">
        <v>523</v>
      </c>
      <c r="L98" s="150">
        <f t="shared" si="14"/>
        <v>42</v>
      </c>
      <c r="M98" s="30">
        <v>2</v>
      </c>
      <c r="N98" s="30">
        <v>4</v>
      </c>
      <c r="O98" s="30">
        <v>3</v>
      </c>
      <c r="P98" s="207">
        <f t="shared" si="16"/>
        <v>9</v>
      </c>
      <c r="Q98" s="30">
        <v>4</v>
      </c>
      <c r="R98" s="30">
        <v>4</v>
      </c>
      <c r="S98" s="30">
        <v>4</v>
      </c>
      <c r="T98" s="207">
        <f t="shared" si="17"/>
        <v>12</v>
      </c>
      <c r="U98" s="30">
        <v>4</v>
      </c>
      <c r="V98" s="30">
        <v>3</v>
      </c>
      <c r="W98" s="30">
        <v>4</v>
      </c>
      <c r="X98" s="207">
        <f t="shared" si="18"/>
        <v>11</v>
      </c>
      <c r="Y98" s="30">
        <v>4</v>
      </c>
      <c r="Z98" s="30">
        <v>4</v>
      </c>
      <c r="AA98" s="31">
        <v>2</v>
      </c>
      <c r="AB98" s="217">
        <f t="shared" si="19"/>
        <v>10</v>
      </c>
      <c r="AC98" s="216">
        <f t="shared" si="15"/>
        <v>42</v>
      </c>
    </row>
    <row r="99" spans="1:29" ht="48.75" customHeight="1" thickBot="1">
      <c r="A99" s="1"/>
      <c r="B99" s="13"/>
      <c r="C99" s="28">
        <v>5.1</v>
      </c>
      <c r="D99" s="22">
        <f t="shared" si="26"/>
        <v>88</v>
      </c>
      <c r="E99" s="819" t="s">
        <v>524</v>
      </c>
      <c r="F99" s="820"/>
      <c r="G99" s="820"/>
      <c r="H99" s="821"/>
      <c r="I99" s="3">
        <f t="shared" si="25"/>
        <v>88.1</v>
      </c>
      <c r="J99" s="29" t="s">
        <v>525</v>
      </c>
      <c r="K99" s="30" t="s">
        <v>221</v>
      </c>
      <c r="L99" s="150">
        <f t="shared" si="14"/>
        <v>10</v>
      </c>
      <c r="M99" s="30"/>
      <c r="N99" s="30">
        <v>1</v>
      </c>
      <c r="O99" s="30">
        <v>3</v>
      </c>
      <c r="P99" s="207">
        <f t="shared" si="16"/>
        <v>4</v>
      </c>
      <c r="Q99" s="30">
        <v>1</v>
      </c>
      <c r="R99" s="30">
        <v>1</v>
      </c>
      <c r="S99" s="30"/>
      <c r="T99" s="207">
        <f t="shared" si="17"/>
        <v>2</v>
      </c>
      <c r="U99" s="30">
        <v>1</v>
      </c>
      <c r="V99" s="30">
        <v>1</v>
      </c>
      <c r="W99" s="30">
        <v>1</v>
      </c>
      <c r="X99" s="207">
        <f t="shared" si="18"/>
        <v>3</v>
      </c>
      <c r="Y99" s="30">
        <v>1</v>
      </c>
      <c r="Z99" s="30"/>
      <c r="AA99" s="31"/>
      <c r="AB99" s="217">
        <f t="shared" si="19"/>
        <v>1</v>
      </c>
      <c r="AC99" s="216">
        <f t="shared" si="15"/>
        <v>10</v>
      </c>
    </row>
    <row r="100" spans="1:29" ht="30" customHeight="1" thickBot="1">
      <c r="A100" s="1"/>
      <c r="B100" s="13"/>
      <c r="C100" s="28">
        <v>1.1</v>
      </c>
      <c r="D100" s="22">
        <f t="shared" si="26"/>
        <v>89</v>
      </c>
      <c r="E100" s="819" t="s">
        <v>422</v>
      </c>
      <c r="F100" s="820"/>
      <c r="G100" s="820"/>
      <c r="H100" s="821"/>
      <c r="I100" s="3">
        <f t="shared" si="25"/>
        <v>89.1</v>
      </c>
      <c r="J100" s="29" t="s">
        <v>526</v>
      </c>
      <c r="K100" s="30" t="s">
        <v>527</v>
      </c>
      <c r="L100" s="150">
        <f t="shared" si="14"/>
        <v>12</v>
      </c>
      <c r="M100" s="30">
        <v>1</v>
      </c>
      <c r="N100" s="30">
        <v>1</v>
      </c>
      <c r="O100" s="30">
        <v>1</v>
      </c>
      <c r="P100" s="207">
        <f t="shared" si="16"/>
        <v>3</v>
      </c>
      <c r="Q100" s="30">
        <v>1</v>
      </c>
      <c r="R100" s="30">
        <v>1</v>
      </c>
      <c r="S100" s="30">
        <v>1</v>
      </c>
      <c r="T100" s="207">
        <f t="shared" si="17"/>
        <v>3</v>
      </c>
      <c r="U100" s="30">
        <v>1</v>
      </c>
      <c r="V100" s="30">
        <v>1</v>
      </c>
      <c r="W100" s="30">
        <v>1</v>
      </c>
      <c r="X100" s="207">
        <f t="shared" si="18"/>
        <v>3</v>
      </c>
      <c r="Y100" s="30">
        <v>1</v>
      </c>
      <c r="Z100" s="30">
        <v>1</v>
      </c>
      <c r="AA100" s="31">
        <v>1</v>
      </c>
      <c r="AB100" s="217">
        <f t="shared" si="19"/>
        <v>3</v>
      </c>
      <c r="AC100" s="216">
        <f t="shared" si="15"/>
        <v>12</v>
      </c>
    </row>
    <row r="101" spans="1:29" ht="30" customHeight="1" thickBot="1">
      <c r="A101" s="1"/>
      <c r="B101" s="13"/>
      <c r="C101" s="28">
        <v>1.1</v>
      </c>
      <c r="D101" s="22">
        <f t="shared" si="26"/>
        <v>90</v>
      </c>
      <c r="E101" s="819" t="s">
        <v>427</v>
      </c>
      <c r="F101" s="820"/>
      <c r="G101" s="820"/>
      <c r="H101" s="821"/>
      <c r="I101" s="3">
        <f t="shared" si="25"/>
        <v>90.1</v>
      </c>
      <c r="J101" s="29" t="s">
        <v>528</v>
      </c>
      <c r="K101" s="30" t="s">
        <v>527</v>
      </c>
      <c r="L101" s="150">
        <f t="shared" si="14"/>
        <v>12</v>
      </c>
      <c r="M101" s="30">
        <v>1</v>
      </c>
      <c r="N101" s="30">
        <v>1</v>
      </c>
      <c r="O101" s="30">
        <v>1</v>
      </c>
      <c r="P101" s="207">
        <f t="shared" si="16"/>
        <v>3</v>
      </c>
      <c r="Q101" s="30">
        <v>1</v>
      </c>
      <c r="R101" s="30">
        <v>1</v>
      </c>
      <c r="S101" s="30">
        <v>1</v>
      </c>
      <c r="T101" s="207">
        <f t="shared" si="17"/>
        <v>3</v>
      </c>
      <c r="U101" s="30">
        <v>1</v>
      </c>
      <c r="V101" s="30">
        <v>1</v>
      </c>
      <c r="W101" s="30">
        <v>1</v>
      </c>
      <c r="X101" s="207">
        <f t="shared" si="18"/>
        <v>3</v>
      </c>
      <c r="Y101" s="30">
        <v>1</v>
      </c>
      <c r="Z101" s="30">
        <v>1</v>
      </c>
      <c r="AA101" s="31">
        <v>1</v>
      </c>
      <c r="AB101" s="217">
        <f t="shared" si="19"/>
        <v>3</v>
      </c>
      <c r="AC101" s="216">
        <f t="shared" si="15"/>
        <v>12</v>
      </c>
    </row>
    <row r="102" spans="1:29" ht="30" customHeight="1" thickBot="1">
      <c r="A102" s="1"/>
      <c r="B102" s="13"/>
      <c r="C102" s="28"/>
      <c r="D102" s="22">
        <f t="shared" si="26"/>
        <v>91</v>
      </c>
      <c r="E102" s="833" t="s">
        <v>426</v>
      </c>
      <c r="F102" s="834"/>
      <c r="G102" s="834"/>
      <c r="H102" s="835"/>
      <c r="I102" s="3">
        <f t="shared" si="25"/>
        <v>91.1</v>
      </c>
      <c r="J102" s="29" t="s">
        <v>529</v>
      </c>
      <c r="K102" s="30" t="s">
        <v>527</v>
      </c>
      <c r="L102" s="150">
        <f t="shared" si="14"/>
        <v>12</v>
      </c>
      <c r="M102" s="30">
        <v>1</v>
      </c>
      <c r="N102" s="30">
        <v>1</v>
      </c>
      <c r="O102" s="30">
        <v>1</v>
      </c>
      <c r="P102" s="207">
        <f t="shared" si="16"/>
        <v>3</v>
      </c>
      <c r="Q102" s="30">
        <v>1</v>
      </c>
      <c r="R102" s="30">
        <v>1</v>
      </c>
      <c r="S102" s="30">
        <v>1</v>
      </c>
      <c r="T102" s="207">
        <f t="shared" si="17"/>
        <v>3</v>
      </c>
      <c r="U102" s="30">
        <v>1</v>
      </c>
      <c r="V102" s="30">
        <v>1</v>
      </c>
      <c r="W102" s="30">
        <v>1</v>
      </c>
      <c r="X102" s="207">
        <f t="shared" si="18"/>
        <v>3</v>
      </c>
      <c r="Y102" s="30">
        <v>1</v>
      </c>
      <c r="Z102" s="30">
        <v>1</v>
      </c>
      <c r="AA102" s="35">
        <v>1</v>
      </c>
      <c r="AB102" s="217">
        <f t="shared" si="19"/>
        <v>3</v>
      </c>
      <c r="AC102" s="216">
        <f t="shared" si="15"/>
        <v>12</v>
      </c>
    </row>
    <row r="103" spans="1:29" ht="30" customHeight="1" thickBot="1">
      <c r="A103" s="1"/>
      <c r="B103" s="13"/>
      <c r="C103" s="28">
        <v>3.1</v>
      </c>
      <c r="D103" s="22">
        <f t="shared" si="26"/>
        <v>92</v>
      </c>
      <c r="E103" s="819" t="s">
        <v>156</v>
      </c>
      <c r="F103" s="820"/>
      <c r="G103" s="820"/>
      <c r="H103" s="821"/>
      <c r="I103" s="3">
        <f t="shared" si="25"/>
        <v>92.1</v>
      </c>
      <c r="J103" s="29" t="s">
        <v>530</v>
      </c>
      <c r="K103" s="30" t="s">
        <v>531</v>
      </c>
      <c r="L103" s="150">
        <f t="shared" si="14"/>
        <v>2</v>
      </c>
      <c r="M103" s="30"/>
      <c r="N103" s="30"/>
      <c r="O103" s="30"/>
      <c r="P103" s="207">
        <f t="shared" si="16"/>
        <v>0</v>
      </c>
      <c r="Q103" s="30"/>
      <c r="R103" s="30"/>
      <c r="S103" s="30"/>
      <c r="T103" s="207">
        <f t="shared" si="17"/>
        <v>0</v>
      </c>
      <c r="U103" s="30"/>
      <c r="V103" s="30"/>
      <c r="W103" s="30"/>
      <c r="X103" s="207">
        <f t="shared" si="18"/>
        <v>0</v>
      </c>
      <c r="Y103" s="30">
        <v>2</v>
      </c>
      <c r="Z103" s="30"/>
      <c r="AA103" s="35"/>
      <c r="AB103" s="217">
        <f t="shared" si="19"/>
        <v>2</v>
      </c>
      <c r="AC103" s="216">
        <f t="shared" si="15"/>
        <v>2</v>
      </c>
    </row>
    <row r="104" spans="1:29" ht="33.75" customHeight="1" thickBot="1">
      <c r="A104" s="1"/>
      <c r="B104" s="13"/>
      <c r="C104" s="28">
        <v>3.1</v>
      </c>
      <c r="D104" s="22">
        <f t="shared" si="26"/>
        <v>93</v>
      </c>
      <c r="E104" s="819" t="s">
        <v>435</v>
      </c>
      <c r="F104" s="820"/>
      <c r="G104" s="820"/>
      <c r="H104" s="821"/>
      <c r="I104" s="3">
        <f t="shared" si="25"/>
        <v>93.1</v>
      </c>
      <c r="J104" s="29" t="s">
        <v>565</v>
      </c>
      <c r="K104" s="30" t="s">
        <v>216</v>
      </c>
      <c r="L104" s="150">
        <f t="shared" si="14"/>
        <v>12</v>
      </c>
      <c r="M104" s="30">
        <v>1</v>
      </c>
      <c r="N104" s="126">
        <v>1</v>
      </c>
      <c r="O104" s="30">
        <v>1</v>
      </c>
      <c r="P104" s="207">
        <f t="shared" si="16"/>
        <v>3</v>
      </c>
      <c r="Q104" s="30">
        <v>1</v>
      </c>
      <c r="R104" s="30">
        <v>1</v>
      </c>
      <c r="S104" s="30">
        <v>1</v>
      </c>
      <c r="T104" s="207">
        <f t="shared" si="17"/>
        <v>3</v>
      </c>
      <c r="U104" s="30">
        <v>1</v>
      </c>
      <c r="V104" s="30">
        <v>1</v>
      </c>
      <c r="W104" s="30">
        <v>1</v>
      </c>
      <c r="X104" s="207">
        <f t="shared" si="18"/>
        <v>3</v>
      </c>
      <c r="Y104" s="30">
        <v>1</v>
      </c>
      <c r="Z104" s="30">
        <v>1</v>
      </c>
      <c r="AA104" s="31">
        <v>1</v>
      </c>
      <c r="AB104" s="217">
        <f t="shared" si="19"/>
        <v>3</v>
      </c>
      <c r="AC104" s="216">
        <f t="shared" si="15"/>
        <v>12</v>
      </c>
    </row>
    <row r="105" spans="1:29" ht="30" customHeight="1" thickBot="1">
      <c r="A105" s="1"/>
      <c r="B105" s="13"/>
      <c r="C105" s="28">
        <v>3.1</v>
      </c>
      <c r="D105" s="22">
        <f t="shared" si="26"/>
        <v>94</v>
      </c>
      <c r="E105" s="819" t="s">
        <v>436</v>
      </c>
      <c r="F105" s="820"/>
      <c r="G105" s="820"/>
      <c r="H105" s="821"/>
      <c r="I105" s="3">
        <f t="shared" si="25"/>
        <v>94.1</v>
      </c>
      <c r="J105" s="29" t="s">
        <v>566</v>
      </c>
      <c r="K105" s="30" t="s">
        <v>567</v>
      </c>
      <c r="L105" s="150">
        <f t="shared" si="14"/>
        <v>4</v>
      </c>
      <c r="M105" s="30"/>
      <c r="N105" s="30"/>
      <c r="O105" s="126">
        <v>1</v>
      </c>
      <c r="P105" s="207">
        <f t="shared" si="16"/>
        <v>1</v>
      </c>
      <c r="Q105" s="30"/>
      <c r="R105" s="30"/>
      <c r="S105" s="30">
        <v>1</v>
      </c>
      <c r="T105" s="207">
        <f t="shared" si="17"/>
        <v>1</v>
      </c>
      <c r="U105" s="30"/>
      <c r="V105" s="30"/>
      <c r="W105" s="30">
        <v>1</v>
      </c>
      <c r="X105" s="207">
        <f t="shared" si="18"/>
        <v>1</v>
      </c>
      <c r="Y105" s="30"/>
      <c r="Z105" s="30"/>
      <c r="AA105" s="31">
        <v>1</v>
      </c>
      <c r="AB105" s="217">
        <f t="shared" si="19"/>
        <v>1</v>
      </c>
      <c r="AC105" s="216">
        <f t="shared" si="15"/>
        <v>4</v>
      </c>
    </row>
    <row r="106" spans="1:29" s="144" customFormat="1" ht="30" customHeight="1" thickBot="1">
      <c r="A106" s="156"/>
      <c r="B106" s="152"/>
      <c r="C106" s="153"/>
      <c r="D106" s="154"/>
      <c r="E106" s="155" t="s">
        <v>599</v>
      </c>
      <c r="F106" s="157"/>
      <c r="G106" s="157"/>
      <c r="H106" s="158"/>
      <c r="I106" s="145"/>
      <c r="J106" s="159"/>
      <c r="K106" s="160"/>
      <c r="L106" s="150">
        <f t="shared" si="14"/>
        <v>47</v>
      </c>
      <c r="M106" s="160">
        <f>SUM(M107:M112)</f>
        <v>4</v>
      </c>
      <c r="N106" s="160">
        <f aca="true" t="shared" si="27" ref="N106:AB106">SUM(N107:N112)</f>
        <v>3</v>
      </c>
      <c r="O106" s="160">
        <f t="shared" si="27"/>
        <v>5</v>
      </c>
      <c r="P106" s="208">
        <f t="shared" si="27"/>
        <v>12</v>
      </c>
      <c r="Q106" s="160">
        <f t="shared" si="27"/>
        <v>4</v>
      </c>
      <c r="R106" s="160">
        <f t="shared" si="27"/>
        <v>4</v>
      </c>
      <c r="S106" s="160">
        <f t="shared" si="27"/>
        <v>6</v>
      </c>
      <c r="T106" s="160">
        <f t="shared" si="27"/>
        <v>14</v>
      </c>
      <c r="U106" s="160">
        <f t="shared" si="27"/>
        <v>3</v>
      </c>
      <c r="V106" s="160">
        <f t="shared" si="27"/>
        <v>3</v>
      </c>
      <c r="W106" s="160">
        <f t="shared" si="27"/>
        <v>5</v>
      </c>
      <c r="X106" s="160">
        <f t="shared" si="27"/>
        <v>11</v>
      </c>
      <c r="Y106" s="160">
        <f t="shared" si="27"/>
        <v>4</v>
      </c>
      <c r="Z106" s="160">
        <f t="shared" si="27"/>
        <v>3</v>
      </c>
      <c r="AA106" s="160">
        <f t="shared" si="27"/>
        <v>3</v>
      </c>
      <c r="AB106" s="208">
        <f t="shared" si="27"/>
        <v>10</v>
      </c>
      <c r="AC106" s="216">
        <f t="shared" si="15"/>
        <v>47</v>
      </c>
    </row>
    <row r="107" spans="1:29" ht="30.75" customHeight="1" thickBot="1">
      <c r="A107" s="26"/>
      <c r="B107" s="27"/>
      <c r="C107" s="15">
        <v>8</v>
      </c>
      <c r="D107" s="22">
        <f>+D105+1</f>
        <v>95</v>
      </c>
      <c r="E107" s="819" t="s">
        <v>406</v>
      </c>
      <c r="F107" s="820"/>
      <c r="G107" s="820"/>
      <c r="H107" s="821"/>
      <c r="I107" s="3">
        <f aca="true" t="shared" si="28" ref="I107:I112">+D107+0.1</f>
        <v>95.1</v>
      </c>
      <c r="J107" s="29" t="s">
        <v>502</v>
      </c>
      <c r="K107" s="30" t="s">
        <v>224</v>
      </c>
      <c r="L107" s="150">
        <f t="shared" si="14"/>
        <v>2</v>
      </c>
      <c r="M107" s="30"/>
      <c r="N107" s="30"/>
      <c r="O107" s="30"/>
      <c r="P107" s="207">
        <f t="shared" si="16"/>
        <v>0</v>
      </c>
      <c r="Q107" s="30"/>
      <c r="R107" s="30">
        <v>1</v>
      </c>
      <c r="S107" s="30">
        <v>1</v>
      </c>
      <c r="T107" s="207">
        <f t="shared" si="17"/>
        <v>2</v>
      </c>
      <c r="U107" s="30"/>
      <c r="V107" s="30"/>
      <c r="W107" s="30"/>
      <c r="X107" s="207">
        <f t="shared" si="18"/>
        <v>0</v>
      </c>
      <c r="Y107" s="30"/>
      <c r="Z107" s="30"/>
      <c r="AA107" s="31"/>
      <c r="AB107" s="217">
        <f t="shared" si="19"/>
        <v>0</v>
      </c>
      <c r="AC107" s="216">
        <f t="shared" si="15"/>
        <v>2</v>
      </c>
    </row>
    <row r="108" spans="1:29" ht="30" customHeight="1" thickBot="1">
      <c r="A108" s="1"/>
      <c r="B108" s="13"/>
      <c r="C108" s="28">
        <v>3.1</v>
      </c>
      <c r="D108" s="22">
        <f>+D107+1</f>
        <v>96</v>
      </c>
      <c r="E108" s="819" t="s">
        <v>423</v>
      </c>
      <c r="F108" s="820"/>
      <c r="G108" s="820"/>
      <c r="H108" s="821"/>
      <c r="I108" s="3">
        <f t="shared" si="28"/>
        <v>96.1</v>
      </c>
      <c r="J108" s="29" t="s">
        <v>532</v>
      </c>
      <c r="K108" s="30" t="s">
        <v>216</v>
      </c>
      <c r="L108" s="150">
        <f t="shared" si="14"/>
        <v>4</v>
      </c>
      <c r="M108" s="30"/>
      <c r="N108" s="30"/>
      <c r="O108" s="30">
        <v>1</v>
      </c>
      <c r="P108" s="207">
        <f t="shared" si="16"/>
        <v>1</v>
      </c>
      <c r="Q108" s="30"/>
      <c r="R108" s="30"/>
      <c r="S108" s="30">
        <v>1</v>
      </c>
      <c r="T108" s="207">
        <f t="shared" si="17"/>
        <v>1</v>
      </c>
      <c r="U108" s="34"/>
      <c r="V108" s="30"/>
      <c r="W108" s="30">
        <v>1</v>
      </c>
      <c r="X108" s="207">
        <f t="shared" si="18"/>
        <v>1</v>
      </c>
      <c r="Y108" s="30"/>
      <c r="Z108" s="30"/>
      <c r="AA108" s="31">
        <v>1</v>
      </c>
      <c r="AB108" s="217">
        <f t="shared" si="19"/>
        <v>1</v>
      </c>
      <c r="AC108" s="216">
        <f t="shared" si="15"/>
        <v>4</v>
      </c>
    </row>
    <row r="109" spans="1:29" ht="30" customHeight="1" thickBot="1">
      <c r="A109" s="1"/>
      <c r="B109" s="13"/>
      <c r="C109" s="28">
        <v>3.1</v>
      </c>
      <c r="D109" s="22">
        <f>+D108+1</f>
        <v>97</v>
      </c>
      <c r="E109" s="819" t="s">
        <v>119</v>
      </c>
      <c r="F109" s="820"/>
      <c r="G109" s="820"/>
      <c r="H109" s="821"/>
      <c r="I109" s="3">
        <f t="shared" si="28"/>
        <v>97.1</v>
      </c>
      <c r="J109" s="29" t="s">
        <v>533</v>
      </c>
      <c r="K109" s="82" t="s">
        <v>216</v>
      </c>
      <c r="L109" s="150">
        <f t="shared" si="14"/>
        <v>9</v>
      </c>
      <c r="M109" s="30"/>
      <c r="N109" s="30">
        <v>1</v>
      </c>
      <c r="O109" s="30">
        <v>1</v>
      </c>
      <c r="P109" s="207">
        <f t="shared" si="16"/>
        <v>2</v>
      </c>
      <c r="Q109" s="30">
        <v>1</v>
      </c>
      <c r="R109" s="34">
        <v>1</v>
      </c>
      <c r="S109" s="30">
        <v>1</v>
      </c>
      <c r="T109" s="207">
        <f t="shared" si="17"/>
        <v>3</v>
      </c>
      <c r="U109" s="30"/>
      <c r="V109" s="30">
        <v>1</v>
      </c>
      <c r="W109" s="30">
        <v>1</v>
      </c>
      <c r="X109" s="207">
        <f t="shared" si="18"/>
        <v>2</v>
      </c>
      <c r="Y109" s="30">
        <v>1</v>
      </c>
      <c r="Z109" s="30">
        <v>1</v>
      </c>
      <c r="AA109" s="31"/>
      <c r="AB109" s="217">
        <f t="shared" si="19"/>
        <v>2</v>
      </c>
      <c r="AC109" s="216">
        <f t="shared" si="15"/>
        <v>9</v>
      </c>
    </row>
    <row r="110" spans="1:29" ht="30" customHeight="1" thickBot="1">
      <c r="A110" s="1"/>
      <c r="B110" s="13"/>
      <c r="C110" s="28">
        <v>3.1</v>
      </c>
      <c r="D110" s="22">
        <f>+D109+1</f>
        <v>98</v>
      </c>
      <c r="E110" s="819" t="s">
        <v>120</v>
      </c>
      <c r="F110" s="820"/>
      <c r="G110" s="820"/>
      <c r="H110" s="821"/>
      <c r="I110" s="3">
        <f t="shared" si="28"/>
        <v>98.1</v>
      </c>
      <c r="J110" s="29" t="s">
        <v>534</v>
      </c>
      <c r="K110" s="30" t="s">
        <v>216</v>
      </c>
      <c r="L110" s="150">
        <f t="shared" si="14"/>
        <v>4</v>
      </c>
      <c r="M110" s="30">
        <v>1</v>
      </c>
      <c r="N110" s="30"/>
      <c r="O110" s="30">
        <v>1</v>
      </c>
      <c r="P110" s="207">
        <f t="shared" si="16"/>
        <v>2</v>
      </c>
      <c r="Q110" s="30"/>
      <c r="R110" s="30"/>
      <c r="S110" s="30">
        <v>1</v>
      </c>
      <c r="T110" s="207">
        <f t="shared" si="17"/>
        <v>1</v>
      </c>
      <c r="U110" s="30"/>
      <c r="V110" s="30"/>
      <c r="W110" s="30">
        <v>1</v>
      </c>
      <c r="X110" s="207">
        <f t="shared" si="18"/>
        <v>1</v>
      </c>
      <c r="Y110" s="30"/>
      <c r="Z110" s="30"/>
      <c r="AA110" s="31"/>
      <c r="AB110" s="217">
        <f t="shared" si="19"/>
        <v>0</v>
      </c>
      <c r="AC110" s="216">
        <f t="shared" si="15"/>
        <v>4</v>
      </c>
    </row>
    <row r="111" spans="1:29" ht="30" customHeight="1" thickBot="1">
      <c r="A111" s="1"/>
      <c r="B111" s="13"/>
      <c r="C111" s="28">
        <v>3.1</v>
      </c>
      <c r="D111" s="22">
        <f>+D110+1</f>
        <v>99</v>
      </c>
      <c r="E111" s="819" t="s">
        <v>424</v>
      </c>
      <c r="F111" s="820"/>
      <c r="G111" s="820"/>
      <c r="H111" s="821"/>
      <c r="I111" s="3">
        <f t="shared" si="28"/>
        <v>99.1</v>
      </c>
      <c r="J111" s="29" t="s">
        <v>535</v>
      </c>
      <c r="K111" s="30" t="s">
        <v>216</v>
      </c>
      <c r="L111" s="150">
        <f t="shared" si="14"/>
        <v>24</v>
      </c>
      <c r="M111" s="30">
        <v>2</v>
      </c>
      <c r="N111" s="30">
        <v>2</v>
      </c>
      <c r="O111" s="30">
        <v>2</v>
      </c>
      <c r="P111" s="207">
        <f t="shared" si="16"/>
        <v>6</v>
      </c>
      <c r="Q111" s="30">
        <v>2</v>
      </c>
      <c r="R111" s="30">
        <v>2</v>
      </c>
      <c r="S111" s="30">
        <v>2</v>
      </c>
      <c r="T111" s="207">
        <f t="shared" si="17"/>
        <v>6</v>
      </c>
      <c r="U111" s="30">
        <v>2</v>
      </c>
      <c r="V111" s="30">
        <v>2</v>
      </c>
      <c r="W111" s="30">
        <v>2</v>
      </c>
      <c r="X111" s="207">
        <f t="shared" si="18"/>
        <v>6</v>
      </c>
      <c r="Y111" s="30">
        <v>2</v>
      </c>
      <c r="Z111" s="30">
        <v>2</v>
      </c>
      <c r="AA111" s="31">
        <v>2</v>
      </c>
      <c r="AB111" s="217">
        <f t="shared" si="19"/>
        <v>6</v>
      </c>
      <c r="AC111" s="216">
        <f t="shared" si="15"/>
        <v>24</v>
      </c>
    </row>
    <row r="112" spans="1:29" ht="30" customHeight="1" thickBot="1">
      <c r="A112" s="1"/>
      <c r="B112" s="13"/>
      <c r="C112" s="28">
        <v>3.1</v>
      </c>
      <c r="D112" s="22">
        <f>+D111+1</f>
        <v>100</v>
      </c>
      <c r="E112" s="819" t="s">
        <v>557</v>
      </c>
      <c r="F112" s="820"/>
      <c r="G112" s="820"/>
      <c r="H112" s="821"/>
      <c r="I112" s="3">
        <f t="shared" si="28"/>
        <v>100.1</v>
      </c>
      <c r="J112" s="29" t="s">
        <v>558</v>
      </c>
      <c r="K112" s="32" t="s">
        <v>225</v>
      </c>
      <c r="L112" s="150">
        <f t="shared" si="14"/>
        <v>4</v>
      </c>
      <c r="M112" s="32">
        <v>1</v>
      </c>
      <c r="N112" s="32"/>
      <c r="O112" s="32"/>
      <c r="P112" s="207">
        <f t="shared" si="16"/>
        <v>1</v>
      </c>
      <c r="Q112" s="32">
        <v>1</v>
      </c>
      <c r="R112" s="32"/>
      <c r="S112" s="32"/>
      <c r="T112" s="207">
        <f t="shared" si="17"/>
        <v>1</v>
      </c>
      <c r="U112" s="32">
        <v>1</v>
      </c>
      <c r="V112" s="32"/>
      <c r="W112" s="32"/>
      <c r="X112" s="207">
        <f t="shared" si="18"/>
        <v>1</v>
      </c>
      <c r="Y112" s="32">
        <v>1</v>
      </c>
      <c r="Z112" s="32"/>
      <c r="AA112" s="33"/>
      <c r="AB112" s="217">
        <f t="shared" si="19"/>
        <v>1</v>
      </c>
      <c r="AC112" s="216">
        <f t="shared" si="15"/>
        <v>4</v>
      </c>
    </row>
    <row r="113" spans="5:29" s="156" customFormat="1" ht="16.5" thickBot="1">
      <c r="E113" s="156" t="s">
        <v>600</v>
      </c>
      <c r="L113" s="150">
        <f t="shared" si="14"/>
        <v>2</v>
      </c>
      <c r="M113" s="156">
        <f>SUM(M114)</f>
        <v>0</v>
      </c>
      <c r="N113" s="156">
        <f aca="true" t="shared" si="29" ref="N113:AB113">SUM(N114)</f>
        <v>1</v>
      </c>
      <c r="O113" s="156">
        <f t="shared" si="29"/>
        <v>0</v>
      </c>
      <c r="P113" s="211">
        <f t="shared" si="29"/>
        <v>1</v>
      </c>
      <c r="Q113" s="156">
        <f t="shared" si="29"/>
        <v>0</v>
      </c>
      <c r="R113" s="156">
        <f t="shared" si="29"/>
        <v>0</v>
      </c>
      <c r="S113" s="156">
        <f t="shared" si="29"/>
        <v>0</v>
      </c>
      <c r="T113" s="213">
        <f t="shared" si="29"/>
        <v>0</v>
      </c>
      <c r="U113" s="156">
        <f t="shared" si="29"/>
        <v>0</v>
      </c>
      <c r="V113" s="156">
        <f t="shared" si="29"/>
        <v>1</v>
      </c>
      <c r="W113" s="156">
        <f t="shared" si="29"/>
        <v>0</v>
      </c>
      <c r="X113" s="213">
        <f t="shared" si="29"/>
        <v>1</v>
      </c>
      <c r="Y113" s="156">
        <f t="shared" si="29"/>
        <v>0</v>
      </c>
      <c r="Z113" s="156">
        <f t="shared" si="29"/>
        <v>0</v>
      </c>
      <c r="AA113" s="156">
        <f t="shared" si="29"/>
        <v>0</v>
      </c>
      <c r="AB113" s="211">
        <f t="shared" si="29"/>
        <v>0</v>
      </c>
      <c r="AC113" s="216">
        <f t="shared" si="15"/>
        <v>2</v>
      </c>
    </row>
    <row r="114" spans="1:29" ht="43.5" customHeight="1" thickBot="1">
      <c r="A114" s="1"/>
      <c r="B114" s="13"/>
      <c r="C114" s="28">
        <v>5.1</v>
      </c>
      <c r="D114" s="22">
        <f>+D112+1</f>
        <v>101</v>
      </c>
      <c r="E114" s="819" t="s">
        <v>451</v>
      </c>
      <c r="F114" s="820"/>
      <c r="G114" s="820"/>
      <c r="H114" s="821"/>
      <c r="I114" s="3">
        <f>+D114+0.1</f>
        <v>101.1</v>
      </c>
      <c r="J114" s="29" t="s">
        <v>452</v>
      </c>
      <c r="K114" s="30" t="s">
        <v>218</v>
      </c>
      <c r="L114" s="150">
        <f t="shared" si="14"/>
        <v>2</v>
      </c>
      <c r="M114" s="30"/>
      <c r="N114" s="30">
        <v>1</v>
      </c>
      <c r="O114" s="30"/>
      <c r="P114" s="207">
        <f t="shared" si="16"/>
        <v>1</v>
      </c>
      <c r="Q114" s="30"/>
      <c r="R114" s="30"/>
      <c r="S114" s="30"/>
      <c r="T114" s="207">
        <f t="shared" si="17"/>
        <v>0</v>
      </c>
      <c r="U114" s="30"/>
      <c r="V114" s="30">
        <v>1</v>
      </c>
      <c r="W114" s="30"/>
      <c r="X114" s="207">
        <f t="shared" si="18"/>
        <v>1</v>
      </c>
      <c r="Y114" s="30"/>
      <c r="Z114" s="30"/>
      <c r="AA114" s="35"/>
      <c r="AB114" s="217">
        <f t="shared" si="19"/>
        <v>0</v>
      </c>
      <c r="AC114" s="216">
        <f t="shared" si="15"/>
        <v>2</v>
      </c>
    </row>
    <row r="115" spans="5:29" s="156" customFormat="1" ht="16.5" thickBot="1">
      <c r="E115" s="868" t="s">
        <v>603</v>
      </c>
      <c r="F115" s="868"/>
      <c r="G115" s="868"/>
      <c r="L115" s="150">
        <f t="shared" si="14"/>
        <v>12</v>
      </c>
      <c r="M115" s="156">
        <f>SUM(M116)</f>
        <v>1</v>
      </c>
      <c r="N115" s="156">
        <f aca="true" t="shared" si="30" ref="N115:AB115">SUM(N116)</f>
        <v>1</v>
      </c>
      <c r="O115" s="156">
        <f t="shared" si="30"/>
        <v>1</v>
      </c>
      <c r="P115" s="211">
        <f t="shared" si="30"/>
        <v>3</v>
      </c>
      <c r="Q115" s="156">
        <f t="shared" si="30"/>
        <v>1</v>
      </c>
      <c r="R115" s="156">
        <f t="shared" si="30"/>
        <v>1</v>
      </c>
      <c r="S115" s="156">
        <f t="shared" si="30"/>
        <v>1</v>
      </c>
      <c r="T115" s="213">
        <f t="shared" si="30"/>
        <v>3</v>
      </c>
      <c r="U115" s="156">
        <f t="shared" si="30"/>
        <v>1</v>
      </c>
      <c r="V115" s="156">
        <f t="shared" si="30"/>
        <v>1</v>
      </c>
      <c r="W115" s="156">
        <f t="shared" si="30"/>
        <v>1</v>
      </c>
      <c r="X115" s="213">
        <f t="shared" si="30"/>
        <v>3</v>
      </c>
      <c r="Y115" s="156">
        <f t="shared" si="30"/>
        <v>1</v>
      </c>
      <c r="Z115" s="156">
        <f t="shared" si="30"/>
        <v>1</v>
      </c>
      <c r="AA115" s="156">
        <f t="shared" si="30"/>
        <v>1</v>
      </c>
      <c r="AB115" s="211">
        <f t="shared" si="30"/>
        <v>3</v>
      </c>
      <c r="AC115" s="216">
        <f t="shared" si="15"/>
        <v>12</v>
      </c>
    </row>
    <row r="116" spans="1:29" ht="43.5" customHeight="1" thickBot="1">
      <c r="A116" s="1"/>
      <c r="B116" s="13"/>
      <c r="C116" s="28">
        <v>5.1</v>
      </c>
      <c r="D116" s="22">
        <f>+D114+1</f>
        <v>102</v>
      </c>
      <c r="E116" s="819" t="s">
        <v>604</v>
      </c>
      <c r="F116" s="820"/>
      <c r="G116" s="820"/>
      <c r="H116" s="821"/>
      <c r="I116" s="3">
        <f>+D116+0.1</f>
        <v>102.1</v>
      </c>
      <c r="J116" s="29" t="s">
        <v>605</v>
      </c>
      <c r="K116" s="30" t="s">
        <v>567</v>
      </c>
      <c r="L116" s="150">
        <f t="shared" si="14"/>
        <v>12</v>
      </c>
      <c r="M116" s="30">
        <v>1</v>
      </c>
      <c r="N116" s="30">
        <v>1</v>
      </c>
      <c r="O116" s="30">
        <v>1</v>
      </c>
      <c r="P116" s="207">
        <f t="shared" si="16"/>
        <v>3</v>
      </c>
      <c r="Q116" s="30">
        <v>1</v>
      </c>
      <c r="R116" s="30">
        <v>1</v>
      </c>
      <c r="S116" s="30">
        <v>1</v>
      </c>
      <c r="T116" s="207">
        <f t="shared" si="17"/>
        <v>3</v>
      </c>
      <c r="U116" s="30">
        <v>1</v>
      </c>
      <c r="V116" s="30">
        <v>1</v>
      </c>
      <c r="W116" s="30">
        <v>1</v>
      </c>
      <c r="X116" s="207">
        <f t="shared" si="18"/>
        <v>3</v>
      </c>
      <c r="Y116" s="30">
        <v>1</v>
      </c>
      <c r="Z116" s="30">
        <v>1</v>
      </c>
      <c r="AA116" s="35">
        <v>1</v>
      </c>
      <c r="AB116" s="217">
        <f t="shared" si="19"/>
        <v>3</v>
      </c>
      <c r="AC116" s="216">
        <f t="shared" si="15"/>
        <v>12</v>
      </c>
    </row>
    <row r="117" spans="2:29" s="1" customFormat="1" ht="19.5" customHeight="1">
      <c r="B117" s="13"/>
      <c r="C117" s="16"/>
      <c r="D117" s="23"/>
      <c r="L117" s="218">
        <f>+L115+L113+L106+L92+L75+L62+L44+L6+L89</f>
        <v>783</v>
      </c>
      <c r="M117" s="218">
        <f aca="true" t="shared" si="31" ref="M117:AC117">+M115+M113+M106+M92+M75+M62+M44+M6+M89</f>
        <v>52</v>
      </c>
      <c r="N117" s="218">
        <f t="shared" si="31"/>
        <v>69</v>
      </c>
      <c r="O117" s="218">
        <f t="shared" si="31"/>
        <v>83</v>
      </c>
      <c r="P117" s="218">
        <f t="shared" si="31"/>
        <v>206</v>
      </c>
      <c r="Q117" s="218">
        <f t="shared" si="31"/>
        <v>64</v>
      </c>
      <c r="R117" s="218">
        <f t="shared" si="31"/>
        <v>72</v>
      </c>
      <c r="S117" s="218">
        <f t="shared" si="31"/>
        <v>80</v>
      </c>
      <c r="T117" s="218">
        <f t="shared" si="31"/>
        <v>216</v>
      </c>
      <c r="U117" s="218">
        <f t="shared" si="31"/>
        <v>22</v>
      </c>
      <c r="V117" s="218">
        <f t="shared" si="31"/>
        <v>65</v>
      </c>
      <c r="W117" s="218">
        <f t="shared" si="31"/>
        <v>78</v>
      </c>
      <c r="X117" s="218">
        <f t="shared" si="31"/>
        <v>165</v>
      </c>
      <c r="Y117" s="218">
        <f t="shared" si="31"/>
        <v>79</v>
      </c>
      <c r="Z117" s="218">
        <f t="shared" si="31"/>
        <v>64</v>
      </c>
      <c r="AA117" s="218">
        <f t="shared" si="31"/>
        <v>53</v>
      </c>
      <c r="AB117" s="218">
        <f t="shared" si="31"/>
        <v>196</v>
      </c>
      <c r="AC117" s="218">
        <f t="shared" si="31"/>
        <v>783</v>
      </c>
    </row>
    <row r="118" spans="2:29" s="1" customFormat="1" ht="16.5" customHeight="1">
      <c r="B118" s="13"/>
      <c r="C118" s="16"/>
      <c r="D118" s="23"/>
      <c r="P118" s="209"/>
      <c r="T118" s="209"/>
      <c r="X118" s="209"/>
      <c r="AB118" s="209"/>
      <c r="AC118" s="209"/>
    </row>
    <row r="119" spans="2:29" s="1" customFormat="1" ht="19.5" customHeight="1">
      <c r="B119" s="13"/>
      <c r="C119" s="16"/>
      <c r="D119" s="23"/>
      <c r="P119" s="209"/>
      <c r="T119" s="209"/>
      <c r="X119" s="209"/>
      <c r="AB119" s="209"/>
      <c r="AC119" s="209"/>
    </row>
    <row r="120" spans="2:29" s="1" customFormat="1" ht="16.5" customHeight="1">
      <c r="B120" s="13"/>
      <c r="C120" s="16"/>
      <c r="D120" s="23"/>
      <c r="P120" s="209"/>
      <c r="T120" s="209"/>
      <c r="X120" s="209"/>
      <c r="AB120" s="209"/>
      <c r="AC120" s="209"/>
    </row>
    <row r="121" spans="2:29" s="1" customFormat="1" ht="16.5" customHeight="1">
      <c r="B121" s="13"/>
      <c r="C121" s="16"/>
      <c r="D121" s="23"/>
      <c r="P121" s="209"/>
      <c r="T121" s="209"/>
      <c r="X121" s="209"/>
      <c r="AB121" s="209"/>
      <c r="AC121" s="209"/>
    </row>
    <row r="122" spans="2:29" s="1" customFormat="1" ht="16.5" customHeight="1">
      <c r="B122" s="13"/>
      <c r="C122" s="16"/>
      <c r="D122" s="23"/>
      <c r="P122" s="209"/>
      <c r="T122" s="209"/>
      <c r="X122" s="209"/>
      <c r="AB122" s="209"/>
      <c r="AC122" s="209"/>
    </row>
    <row r="123" spans="2:29" s="1" customFormat="1" ht="15">
      <c r="B123" s="13"/>
      <c r="C123" s="16"/>
      <c r="D123" s="23"/>
      <c r="P123" s="209"/>
      <c r="T123" s="209"/>
      <c r="X123" s="209"/>
      <c r="AB123" s="209"/>
      <c r="AC123" s="209"/>
    </row>
    <row r="124" spans="2:29" s="1" customFormat="1" ht="15">
      <c r="B124" s="13"/>
      <c r="C124" s="16"/>
      <c r="D124" s="23"/>
      <c r="H124" s="197"/>
      <c r="P124" s="209"/>
      <c r="T124" s="209"/>
      <c r="X124" s="209"/>
      <c r="AB124" s="209"/>
      <c r="AC124" s="209"/>
    </row>
    <row r="125" spans="2:29" s="1" customFormat="1" ht="15">
      <c r="B125" s="13"/>
      <c r="C125" s="16"/>
      <c r="D125" s="23"/>
      <c r="H125" s="198"/>
      <c r="P125" s="209"/>
      <c r="T125" s="209"/>
      <c r="X125" s="209"/>
      <c r="AB125" s="209"/>
      <c r="AC125" s="209"/>
    </row>
    <row r="126" spans="2:29" s="1" customFormat="1" ht="15">
      <c r="B126" s="13"/>
      <c r="C126" s="16"/>
      <c r="D126" s="23"/>
      <c r="H126" s="119"/>
      <c r="P126" s="209"/>
      <c r="T126" s="209"/>
      <c r="X126" s="209"/>
      <c r="AB126" s="209"/>
      <c r="AC126" s="209"/>
    </row>
    <row r="127" spans="2:29" s="1" customFormat="1" ht="15">
      <c r="B127" s="13"/>
      <c r="C127" s="16"/>
      <c r="D127" s="23"/>
      <c r="P127" s="209"/>
      <c r="T127" s="209"/>
      <c r="X127" s="209"/>
      <c r="AB127" s="209"/>
      <c r="AC127" s="209"/>
    </row>
    <row r="128" spans="2:29" s="1" customFormat="1" ht="15">
      <c r="B128" s="13"/>
      <c r="C128" s="16"/>
      <c r="D128" s="23"/>
      <c r="P128" s="209"/>
      <c r="T128" s="209"/>
      <c r="X128" s="209"/>
      <c r="AB128" s="209"/>
      <c r="AC128" s="209"/>
    </row>
    <row r="129" spans="2:29" s="1" customFormat="1" ht="15">
      <c r="B129" s="13"/>
      <c r="C129" s="16"/>
      <c r="D129" s="23"/>
      <c r="P129" s="209"/>
      <c r="T129" s="209"/>
      <c r="X129" s="209"/>
      <c r="AB129" s="209"/>
      <c r="AC129" s="209"/>
    </row>
    <row r="130" spans="2:29" s="1" customFormat="1" ht="15">
      <c r="B130" s="13"/>
      <c r="C130" s="16"/>
      <c r="D130" s="23"/>
      <c r="P130" s="209"/>
      <c r="T130" s="209"/>
      <c r="X130" s="209"/>
      <c r="AB130" s="209"/>
      <c r="AC130" s="209"/>
    </row>
    <row r="131" spans="2:29" s="1" customFormat="1" ht="15">
      <c r="B131" s="13"/>
      <c r="C131" s="16"/>
      <c r="D131" s="23"/>
      <c r="P131" s="209"/>
      <c r="T131" s="209"/>
      <c r="X131" s="209"/>
      <c r="AB131" s="209"/>
      <c r="AC131" s="209"/>
    </row>
    <row r="132" spans="2:29" s="1" customFormat="1" ht="15">
      <c r="B132" s="13"/>
      <c r="C132" s="16"/>
      <c r="D132" s="23"/>
      <c r="P132" s="209"/>
      <c r="T132" s="209"/>
      <c r="X132" s="209"/>
      <c r="AB132" s="209"/>
      <c r="AC132" s="209"/>
    </row>
    <row r="133" spans="2:29" s="1" customFormat="1" ht="15">
      <c r="B133" s="13"/>
      <c r="C133" s="16"/>
      <c r="D133" s="23"/>
      <c r="P133" s="209"/>
      <c r="T133" s="209"/>
      <c r="X133" s="209"/>
      <c r="AB133" s="209"/>
      <c r="AC133" s="209"/>
    </row>
    <row r="134" spans="2:29" s="1" customFormat="1" ht="15">
      <c r="B134" s="13"/>
      <c r="C134" s="16"/>
      <c r="D134" s="23"/>
      <c r="P134" s="209"/>
      <c r="T134" s="209"/>
      <c r="X134" s="209"/>
      <c r="AB134" s="209"/>
      <c r="AC134" s="209"/>
    </row>
    <row r="135" spans="2:29" s="1" customFormat="1" ht="15">
      <c r="B135" s="13"/>
      <c r="C135" s="16"/>
      <c r="D135" s="23"/>
      <c r="P135" s="209"/>
      <c r="T135" s="209"/>
      <c r="X135" s="209"/>
      <c r="AB135" s="209"/>
      <c r="AC135" s="209"/>
    </row>
    <row r="136" spans="2:29" s="1" customFormat="1" ht="15">
      <c r="B136" s="13"/>
      <c r="C136" s="16"/>
      <c r="D136" s="23"/>
      <c r="P136" s="209"/>
      <c r="T136" s="209"/>
      <c r="X136" s="209"/>
      <c r="AB136" s="209"/>
      <c r="AC136" s="209"/>
    </row>
    <row r="137" spans="2:29" s="1" customFormat="1" ht="15">
      <c r="B137" s="13"/>
      <c r="C137" s="16"/>
      <c r="D137" s="23"/>
      <c r="P137" s="209"/>
      <c r="T137" s="209"/>
      <c r="X137" s="209"/>
      <c r="AB137" s="209"/>
      <c r="AC137" s="209"/>
    </row>
    <row r="138" spans="2:29" s="1" customFormat="1" ht="15">
      <c r="B138" s="13"/>
      <c r="C138" s="16"/>
      <c r="D138" s="23"/>
      <c r="P138" s="209"/>
      <c r="T138" s="209"/>
      <c r="X138" s="209"/>
      <c r="AB138" s="209"/>
      <c r="AC138" s="209"/>
    </row>
    <row r="139" spans="2:29" s="1" customFormat="1" ht="15">
      <c r="B139" s="13"/>
      <c r="C139" s="16"/>
      <c r="D139" s="23"/>
      <c r="P139" s="209"/>
      <c r="T139" s="209"/>
      <c r="X139" s="209"/>
      <c r="AB139" s="209"/>
      <c r="AC139" s="209"/>
    </row>
    <row r="140" spans="2:29" s="1" customFormat="1" ht="15">
      <c r="B140" s="13"/>
      <c r="C140" s="16"/>
      <c r="D140" s="23"/>
      <c r="P140" s="209"/>
      <c r="T140" s="209"/>
      <c r="X140" s="209"/>
      <c r="AB140" s="209"/>
      <c r="AC140" s="209"/>
    </row>
    <row r="141" spans="2:29" s="1" customFormat="1" ht="15">
      <c r="B141" s="13"/>
      <c r="C141" s="16"/>
      <c r="D141" s="23"/>
      <c r="P141" s="209"/>
      <c r="T141" s="209"/>
      <c r="X141" s="209"/>
      <c r="AB141" s="209"/>
      <c r="AC141" s="209"/>
    </row>
    <row r="142" spans="2:29" s="1" customFormat="1" ht="15">
      <c r="B142" s="13"/>
      <c r="C142" s="16"/>
      <c r="D142" s="23"/>
      <c r="P142" s="209"/>
      <c r="T142" s="209"/>
      <c r="X142" s="209"/>
      <c r="AB142" s="209"/>
      <c r="AC142" s="209"/>
    </row>
    <row r="143" spans="2:29" s="1" customFormat="1" ht="15">
      <c r="B143" s="13"/>
      <c r="C143" s="16"/>
      <c r="D143" s="23"/>
      <c r="P143" s="209"/>
      <c r="T143" s="209"/>
      <c r="X143" s="209"/>
      <c r="AB143" s="209"/>
      <c r="AC143" s="209"/>
    </row>
    <row r="144" spans="2:29" s="1" customFormat="1" ht="15">
      <c r="B144" s="13"/>
      <c r="C144" s="16"/>
      <c r="D144" s="23"/>
      <c r="P144" s="209"/>
      <c r="T144" s="209"/>
      <c r="X144" s="209"/>
      <c r="AB144" s="209"/>
      <c r="AC144" s="209"/>
    </row>
    <row r="145" spans="2:29" s="1" customFormat="1" ht="15">
      <c r="B145" s="13"/>
      <c r="C145" s="16"/>
      <c r="D145" s="23"/>
      <c r="P145" s="209"/>
      <c r="T145" s="209"/>
      <c r="X145" s="209"/>
      <c r="AB145" s="209"/>
      <c r="AC145" s="209"/>
    </row>
    <row r="146" spans="2:29" s="1" customFormat="1" ht="15">
      <c r="B146" s="13"/>
      <c r="C146" s="16"/>
      <c r="D146" s="23"/>
      <c r="P146" s="209"/>
      <c r="T146" s="209"/>
      <c r="X146" s="209"/>
      <c r="AB146" s="209"/>
      <c r="AC146" s="209"/>
    </row>
    <row r="147" spans="2:29" s="1" customFormat="1" ht="15">
      <c r="B147" s="13"/>
      <c r="C147" s="16"/>
      <c r="D147" s="23"/>
      <c r="P147" s="209"/>
      <c r="T147" s="209"/>
      <c r="X147" s="209"/>
      <c r="AB147" s="209"/>
      <c r="AC147" s="209"/>
    </row>
    <row r="148" spans="2:29" s="1" customFormat="1" ht="15">
      <c r="B148" s="13"/>
      <c r="C148" s="16"/>
      <c r="D148" s="23"/>
      <c r="P148" s="209"/>
      <c r="T148" s="209"/>
      <c r="X148" s="209"/>
      <c r="AB148" s="209"/>
      <c r="AC148" s="209"/>
    </row>
    <row r="149" spans="2:29" s="1" customFormat="1" ht="15">
      <c r="B149" s="13"/>
      <c r="C149" s="16"/>
      <c r="D149" s="23"/>
      <c r="P149" s="209"/>
      <c r="T149" s="209"/>
      <c r="X149" s="209"/>
      <c r="AB149" s="209"/>
      <c r="AC149" s="209"/>
    </row>
    <row r="150" spans="2:29" s="1" customFormat="1" ht="15">
      <c r="B150" s="13"/>
      <c r="C150" s="16"/>
      <c r="D150" s="23"/>
      <c r="P150" s="209"/>
      <c r="T150" s="209"/>
      <c r="X150" s="209"/>
      <c r="AB150" s="209"/>
      <c r="AC150" s="209"/>
    </row>
    <row r="151" spans="2:29" s="1" customFormat="1" ht="15">
      <c r="B151" s="13"/>
      <c r="C151" s="16"/>
      <c r="D151" s="23"/>
      <c r="P151" s="209"/>
      <c r="T151" s="209"/>
      <c r="X151" s="209"/>
      <c r="AB151" s="209"/>
      <c r="AC151" s="209"/>
    </row>
    <row r="152" spans="2:29" s="1" customFormat="1" ht="15">
      <c r="B152" s="13"/>
      <c r="C152" s="16"/>
      <c r="D152" s="23"/>
      <c r="P152" s="209"/>
      <c r="T152" s="209"/>
      <c r="X152" s="209"/>
      <c r="AB152" s="209"/>
      <c r="AC152" s="209"/>
    </row>
    <row r="153" spans="2:29" s="1" customFormat="1" ht="15">
      <c r="B153" s="13"/>
      <c r="C153" s="16"/>
      <c r="D153" s="23"/>
      <c r="P153" s="209"/>
      <c r="T153" s="209"/>
      <c r="X153" s="209"/>
      <c r="AB153" s="209"/>
      <c r="AC153" s="209"/>
    </row>
    <row r="154" spans="2:29" s="1" customFormat="1" ht="15">
      <c r="B154" s="13"/>
      <c r="C154" s="16"/>
      <c r="D154" s="23"/>
      <c r="P154" s="209"/>
      <c r="T154" s="209"/>
      <c r="X154" s="209"/>
      <c r="AB154" s="209"/>
      <c r="AC154" s="209"/>
    </row>
    <row r="155" spans="2:29" s="1" customFormat="1" ht="15">
      <c r="B155" s="13"/>
      <c r="C155" s="16"/>
      <c r="D155" s="23"/>
      <c r="P155" s="209"/>
      <c r="T155" s="209"/>
      <c r="X155" s="209"/>
      <c r="AB155" s="209"/>
      <c r="AC155" s="209"/>
    </row>
    <row r="156" spans="2:29" s="1" customFormat="1" ht="15">
      <c r="B156" s="13"/>
      <c r="C156" s="16"/>
      <c r="D156" s="23"/>
      <c r="P156" s="209"/>
      <c r="T156" s="209"/>
      <c r="X156" s="209"/>
      <c r="AB156" s="209"/>
      <c r="AC156" s="209"/>
    </row>
    <row r="157" spans="2:29" s="1" customFormat="1" ht="15">
      <c r="B157" s="13"/>
      <c r="C157" s="16"/>
      <c r="D157" s="23"/>
      <c r="P157" s="209"/>
      <c r="T157" s="209"/>
      <c r="X157" s="209"/>
      <c r="AB157" s="209"/>
      <c r="AC157" s="209"/>
    </row>
    <row r="158" spans="2:29" s="1" customFormat="1" ht="15">
      <c r="B158" s="13"/>
      <c r="C158" s="16"/>
      <c r="D158" s="23"/>
      <c r="P158" s="209"/>
      <c r="T158" s="209"/>
      <c r="X158" s="209"/>
      <c r="AB158" s="209"/>
      <c r="AC158" s="209"/>
    </row>
    <row r="159" spans="2:29" s="1" customFormat="1" ht="15">
      <c r="B159" s="13"/>
      <c r="C159" s="16"/>
      <c r="D159" s="23"/>
      <c r="P159" s="209"/>
      <c r="T159" s="209"/>
      <c r="X159" s="209"/>
      <c r="AB159" s="209"/>
      <c r="AC159" s="209"/>
    </row>
  </sheetData>
  <sheetProtection/>
  <mergeCells count="106">
    <mergeCell ref="E50:H50"/>
    <mergeCell ref="E14:H14"/>
    <mergeCell ref="E15:H15"/>
    <mergeCell ref="E16:H16"/>
    <mergeCell ref="E17:H17"/>
    <mergeCell ref="E41:H41"/>
    <mergeCell ref="E43:H43"/>
    <mergeCell ref="E42:H42"/>
    <mergeCell ref="E37:H37"/>
    <mergeCell ref="E38:H38"/>
    <mergeCell ref="E10:H10"/>
    <mergeCell ref="E77:H77"/>
    <mergeCell ref="E73:H73"/>
    <mergeCell ref="E24:H24"/>
    <mergeCell ref="E25:H25"/>
    <mergeCell ref="E31:H31"/>
    <mergeCell ref="E71:H71"/>
    <mergeCell ref="E32:H32"/>
    <mergeCell ref="E47:H47"/>
    <mergeCell ref="E49:H49"/>
    <mergeCell ref="B1:H2"/>
    <mergeCell ref="B3:H3"/>
    <mergeCell ref="B4:J4"/>
    <mergeCell ref="E7:H7"/>
    <mergeCell ref="E8:H8"/>
    <mergeCell ref="E9:H9"/>
    <mergeCell ref="E116:H116"/>
    <mergeCell ref="E115:G115"/>
    <mergeCell ref="E18:H18"/>
    <mergeCell ref="E19:H19"/>
    <mergeCell ref="E20:H20"/>
    <mergeCell ref="E86:H86"/>
    <mergeCell ref="E26:H26"/>
    <mergeCell ref="E27:H27"/>
    <mergeCell ref="E28:H28"/>
    <mergeCell ref="E29:H29"/>
    <mergeCell ref="E11:H11"/>
    <mergeCell ref="E12:H12"/>
    <mergeCell ref="E13:H13"/>
    <mergeCell ref="E30:H30"/>
    <mergeCell ref="E21:H21"/>
    <mergeCell ref="E22:H22"/>
    <mergeCell ref="E23:H23"/>
    <mergeCell ref="E79:H79"/>
    <mergeCell ref="E53:H53"/>
    <mergeCell ref="E68:H68"/>
    <mergeCell ref="E70:H70"/>
    <mergeCell ref="E78:H78"/>
    <mergeCell ref="E76:H76"/>
    <mergeCell ref="E69:H69"/>
    <mergeCell ref="E74:H74"/>
    <mergeCell ref="E72:H72"/>
    <mergeCell ref="E61:H61"/>
    <mergeCell ref="E51:H51"/>
    <mergeCell ref="E52:H52"/>
    <mergeCell ref="E67:H67"/>
    <mergeCell ref="E33:H33"/>
    <mergeCell ref="E34:H34"/>
    <mergeCell ref="E35:H35"/>
    <mergeCell ref="E45:H45"/>
    <mergeCell ref="E36:H36"/>
    <mergeCell ref="E39:H39"/>
    <mergeCell ref="E40:H40"/>
    <mergeCell ref="E46:H46"/>
    <mergeCell ref="E107:H107"/>
    <mergeCell ref="E90:H90"/>
    <mergeCell ref="E91:H91"/>
    <mergeCell ref="E63:H63"/>
    <mergeCell ref="E64:H64"/>
    <mergeCell ref="E65:H65"/>
    <mergeCell ref="E66:H66"/>
    <mergeCell ref="E48:H48"/>
    <mergeCell ref="E95:H95"/>
    <mergeCell ref="E85:H85"/>
    <mergeCell ref="E88:H88"/>
    <mergeCell ref="E87:H87"/>
    <mergeCell ref="E80:H80"/>
    <mergeCell ref="E81:H81"/>
    <mergeCell ref="E82:H82"/>
    <mergeCell ref="E93:H93"/>
    <mergeCell ref="E105:H105"/>
    <mergeCell ref="E97:H97"/>
    <mergeCell ref="E103:H103"/>
    <mergeCell ref="E108:H108"/>
    <mergeCell ref="E109:H109"/>
    <mergeCell ref="E104:H104"/>
    <mergeCell ref="E110:H110"/>
    <mergeCell ref="E112:H112"/>
    <mergeCell ref="E94:H94"/>
    <mergeCell ref="E96:H96"/>
    <mergeCell ref="E102:H102"/>
    <mergeCell ref="E98:H98"/>
    <mergeCell ref="E99:H99"/>
    <mergeCell ref="E100:H100"/>
    <mergeCell ref="E101:H101"/>
    <mergeCell ref="E111:H111"/>
    <mergeCell ref="E114:H114"/>
    <mergeCell ref="E54:H54"/>
    <mergeCell ref="E55:H55"/>
    <mergeCell ref="E56:H56"/>
    <mergeCell ref="E57:H57"/>
    <mergeCell ref="E58:H58"/>
    <mergeCell ref="E59:H59"/>
    <mergeCell ref="E60:H60"/>
    <mergeCell ref="E83:H83"/>
    <mergeCell ref="E84:H84"/>
  </mergeCells>
  <printOptions/>
  <pageMargins left="0.34" right="0.32" top="0.37" bottom="0.32" header="0" footer="0"/>
  <pageSetup fitToHeight="3" fitToWidth="1" horizontalDpi="600" verticalDpi="600" orientation="portrait" scale="4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M694"/>
  <sheetViews>
    <sheetView zoomScalePageLayoutView="0" workbookViewId="0" topLeftCell="A625">
      <selection activeCell="A680" sqref="A680"/>
    </sheetView>
  </sheetViews>
  <sheetFormatPr defaultColWidth="11.421875" defaultRowHeight="12.75"/>
  <cols>
    <col min="1" max="1" width="3.7109375" style="0" customWidth="1"/>
    <col min="2" max="2" width="54.421875" style="40" customWidth="1"/>
    <col min="3" max="3" width="16.28125" style="47" customWidth="1"/>
    <col min="4" max="4" width="9.8515625" style="0" bestFit="1" customWidth="1"/>
    <col min="5" max="5" width="18.28125" style="56" customWidth="1"/>
    <col min="6" max="6" width="28.7109375" style="114" customWidth="1"/>
    <col min="7" max="7" width="3.57421875" style="25" customWidth="1"/>
    <col min="8" max="9" width="11.421875" style="25" customWidth="1"/>
    <col min="10" max="10" width="14.421875" style="25" bestFit="1" customWidth="1"/>
    <col min="11" max="39" width="11.421875" style="25" customWidth="1"/>
  </cols>
  <sheetData>
    <row r="1" spans="1:7" ht="12.75">
      <c r="A1" s="2"/>
      <c r="B1" s="770" t="s">
        <v>166</v>
      </c>
      <c r="C1" s="770"/>
      <c r="D1" s="770"/>
      <c r="E1" s="770"/>
      <c r="F1" s="770"/>
      <c r="G1" s="5"/>
    </row>
    <row r="2" spans="1:7" ht="12.75">
      <c r="A2" s="2"/>
      <c r="B2" s="770"/>
      <c r="C2" s="770"/>
      <c r="D2" s="770"/>
      <c r="E2" s="770"/>
      <c r="F2" s="770"/>
      <c r="G2" s="5"/>
    </row>
    <row r="3" spans="1:7" ht="12.75">
      <c r="A3" s="2"/>
      <c r="B3" s="770" t="s">
        <v>167</v>
      </c>
      <c r="C3" s="770"/>
      <c r="D3" s="770"/>
      <c r="E3" s="770"/>
      <c r="F3" s="770"/>
      <c r="G3" s="5"/>
    </row>
    <row r="4" spans="1:7" ht="24.75" customHeight="1">
      <c r="A4" s="91"/>
      <c r="B4" s="92"/>
      <c r="C4" s="93" t="s">
        <v>199</v>
      </c>
      <c r="D4" s="93"/>
      <c r="E4" s="94"/>
      <c r="F4" s="105"/>
      <c r="G4" s="83"/>
    </row>
    <row r="5" spans="1:7" ht="43.5" customHeight="1">
      <c r="A5" s="95"/>
      <c r="B5" s="103" t="s">
        <v>200</v>
      </c>
      <c r="C5" s="104" t="s">
        <v>201</v>
      </c>
      <c r="D5" s="869" t="s">
        <v>153</v>
      </c>
      <c r="E5" s="869"/>
      <c r="F5" s="106" t="s">
        <v>202</v>
      </c>
      <c r="G5" s="96"/>
    </row>
    <row r="6" spans="1:7" s="136" customFormat="1" ht="25.5" customHeight="1">
      <c r="A6" s="137"/>
      <c r="B6" s="138" t="s">
        <v>575</v>
      </c>
      <c r="C6" s="139">
        <f>SUM(C7:C231)</f>
        <v>14336628</v>
      </c>
      <c r="D6" s="140"/>
      <c r="E6" s="139">
        <f>SUM(E7:E231)/2</f>
        <v>14336628</v>
      </c>
      <c r="F6" s="165">
        <f>+(22902072.6-C6)/22902072.6</f>
        <v>0.37400303237183874</v>
      </c>
      <c r="G6" s="141"/>
    </row>
    <row r="7" spans="1:7" ht="12.75">
      <c r="A7" s="95">
        <v>1</v>
      </c>
      <c r="B7" s="75" t="s">
        <v>437</v>
      </c>
      <c r="C7" s="73">
        <f>+E7+E11</f>
        <v>171547</v>
      </c>
      <c r="D7" s="52">
        <v>2000</v>
      </c>
      <c r="E7" s="70">
        <f>SUM(E8:E10)</f>
        <v>33313.5</v>
      </c>
      <c r="F7" s="107"/>
      <c r="G7" s="96"/>
    </row>
    <row r="8" spans="1:7" ht="12.75">
      <c r="A8" s="95"/>
      <c r="B8" s="75"/>
      <c r="C8" s="37"/>
      <c r="D8" s="38">
        <v>2201</v>
      </c>
      <c r="E8" s="69">
        <v>14490</v>
      </c>
      <c r="F8" s="107"/>
      <c r="G8" s="96"/>
    </row>
    <row r="9" spans="1:7" ht="12.75">
      <c r="A9" s="95"/>
      <c r="B9" s="75"/>
      <c r="C9" s="37"/>
      <c r="D9" s="38">
        <v>2101</v>
      </c>
      <c r="E9" s="69">
        <v>13993.5</v>
      </c>
      <c r="F9" s="107"/>
      <c r="G9" s="96"/>
    </row>
    <row r="10" spans="1:7" ht="12.75">
      <c r="A10" s="95"/>
      <c r="B10" s="75"/>
      <c r="C10" s="37"/>
      <c r="D10" s="38">
        <v>2104</v>
      </c>
      <c r="E10" s="69">
        <v>4830</v>
      </c>
      <c r="F10" s="107"/>
      <c r="G10" s="96"/>
    </row>
    <row r="11" spans="1:7" ht="12.75">
      <c r="A11" s="95"/>
      <c r="B11" s="75"/>
      <c r="C11" s="37"/>
      <c r="D11" s="52">
        <v>3000</v>
      </c>
      <c r="E11" s="70">
        <f>SUM(E12:E13)</f>
        <v>138233.5</v>
      </c>
      <c r="F11" s="107"/>
      <c r="G11" s="96"/>
    </row>
    <row r="12" spans="1:7" ht="12.75">
      <c r="A12" s="95"/>
      <c r="B12" s="75"/>
      <c r="C12" s="37"/>
      <c r="D12" s="38">
        <v>3301</v>
      </c>
      <c r="E12" s="69">
        <v>62100</v>
      </c>
      <c r="F12" s="107"/>
      <c r="G12" s="96"/>
    </row>
    <row r="13" spans="1:7" ht="12.75">
      <c r="A13" s="95"/>
      <c r="B13" s="76"/>
      <c r="C13" s="52"/>
      <c r="D13" s="38">
        <v>3701</v>
      </c>
      <c r="E13" s="69">
        <v>76133.5</v>
      </c>
      <c r="F13" s="108" t="s">
        <v>232</v>
      </c>
      <c r="G13" s="96"/>
    </row>
    <row r="14" spans="1:7" ht="12.75">
      <c r="A14" s="95">
        <v>2</v>
      </c>
      <c r="B14" s="75" t="s">
        <v>438</v>
      </c>
      <c r="C14" s="73">
        <f>+E14+E16</f>
        <v>231300</v>
      </c>
      <c r="D14" s="52">
        <v>2000</v>
      </c>
      <c r="E14" s="70">
        <f>+E15</f>
        <v>46000</v>
      </c>
      <c r="F14" s="107"/>
      <c r="G14" s="96"/>
    </row>
    <row r="15" spans="1:7" ht="12.75">
      <c r="A15" s="95"/>
      <c r="B15" s="75"/>
      <c r="C15" s="37"/>
      <c r="D15" s="38">
        <v>2101</v>
      </c>
      <c r="E15" s="69">
        <v>46000</v>
      </c>
      <c r="F15" s="107"/>
      <c r="G15" s="96"/>
    </row>
    <row r="16" spans="1:7" ht="12.75">
      <c r="A16" s="95"/>
      <c r="B16" s="75"/>
      <c r="C16" s="37"/>
      <c r="D16" s="52">
        <v>3000</v>
      </c>
      <c r="E16" s="70">
        <f>SUM(E17:E19)</f>
        <v>185300</v>
      </c>
      <c r="F16" s="107"/>
      <c r="G16" s="96"/>
    </row>
    <row r="17" spans="1:7" ht="12.75">
      <c r="A17" s="95"/>
      <c r="B17" s="75"/>
      <c r="C17" s="37"/>
      <c r="D17" s="38">
        <v>3301</v>
      </c>
      <c r="E17" s="69">
        <v>155250</v>
      </c>
      <c r="F17" s="107"/>
      <c r="G17" s="96"/>
    </row>
    <row r="18" spans="1:7" ht="12.75">
      <c r="A18" s="95"/>
      <c r="B18" s="75"/>
      <c r="C18" s="37"/>
      <c r="D18" s="38">
        <v>3701</v>
      </c>
      <c r="E18" s="69">
        <v>8050</v>
      </c>
      <c r="F18" s="108" t="s">
        <v>232</v>
      </c>
      <c r="G18" s="96"/>
    </row>
    <row r="19" spans="1:7" ht="12.75">
      <c r="A19" s="95"/>
      <c r="B19" s="76"/>
      <c r="C19" s="52"/>
      <c r="D19" s="38">
        <v>3702</v>
      </c>
      <c r="E19" s="69">
        <v>22000</v>
      </c>
      <c r="F19" s="107"/>
      <c r="G19" s="96"/>
    </row>
    <row r="20" spans="1:7" ht="25.5">
      <c r="A20" s="97">
        <v>3</v>
      </c>
      <c r="B20" s="75" t="s">
        <v>439</v>
      </c>
      <c r="C20" s="67">
        <f>+E20+E25</f>
        <v>63866.2</v>
      </c>
      <c r="D20" s="52">
        <v>2000</v>
      </c>
      <c r="E20" s="70">
        <f>SUM(E21:E24)</f>
        <v>19128.2</v>
      </c>
      <c r="F20" s="107"/>
      <c r="G20" s="96"/>
    </row>
    <row r="21" spans="1:7" ht="12.75">
      <c r="A21" s="97"/>
      <c r="B21" s="75"/>
      <c r="C21" s="37"/>
      <c r="D21" s="38">
        <v>2101</v>
      </c>
      <c r="E21" s="69">
        <v>2311.2</v>
      </c>
      <c r="F21" s="107"/>
      <c r="G21" s="96"/>
    </row>
    <row r="22" spans="1:7" ht="12.75">
      <c r="A22" s="97"/>
      <c r="B22" s="75"/>
      <c r="C22" s="37"/>
      <c r="D22" s="38">
        <v>2201</v>
      </c>
      <c r="E22" s="69">
        <v>4140</v>
      </c>
      <c r="F22" s="107"/>
      <c r="G22" s="96"/>
    </row>
    <row r="23" spans="1:7" ht="12.75">
      <c r="A23" s="97"/>
      <c r="B23" s="75"/>
      <c r="C23" s="37"/>
      <c r="D23" s="38">
        <v>2103</v>
      </c>
      <c r="E23" s="69">
        <v>11067</v>
      </c>
      <c r="F23" s="107"/>
      <c r="G23" s="96"/>
    </row>
    <row r="24" spans="1:7" ht="12.75">
      <c r="A24" s="97"/>
      <c r="B24" s="75"/>
      <c r="C24" s="37"/>
      <c r="D24" s="38">
        <v>2104</v>
      </c>
      <c r="E24" s="69">
        <v>1610</v>
      </c>
      <c r="F24" s="107"/>
      <c r="G24" s="96"/>
    </row>
    <row r="25" spans="1:7" ht="12.75">
      <c r="A25" s="97"/>
      <c r="B25" s="75"/>
      <c r="C25" s="37"/>
      <c r="D25" s="52">
        <v>3000</v>
      </c>
      <c r="E25" s="70">
        <f>SUM(E26:E28)</f>
        <v>44738</v>
      </c>
      <c r="F25" s="107"/>
      <c r="G25" s="96"/>
    </row>
    <row r="26" spans="1:7" ht="12.75">
      <c r="A26" s="97"/>
      <c r="B26" s="75"/>
      <c r="C26" s="37"/>
      <c r="D26" s="38">
        <v>3701</v>
      </c>
      <c r="E26" s="69">
        <v>16560</v>
      </c>
      <c r="F26" s="108" t="s">
        <v>232</v>
      </c>
      <c r="G26" s="96"/>
    </row>
    <row r="27" spans="1:7" ht="12.75">
      <c r="A27" s="97"/>
      <c r="B27" s="75"/>
      <c r="C27" s="37"/>
      <c r="D27" s="38">
        <v>3702</v>
      </c>
      <c r="E27" s="69">
        <v>16500</v>
      </c>
      <c r="F27" s="108" t="s">
        <v>232</v>
      </c>
      <c r="G27" s="96"/>
    </row>
    <row r="28" spans="1:7" ht="12.75">
      <c r="A28" s="97"/>
      <c r="B28" s="76"/>
      <c r="C28" s="52"/>
      <c r="D28" s="38">
        <v>3907</v>
      </c>
      <c r="E28" s="69">
        <v>11678</v>
      </c>
      <c r="F28" s="107"/>
      <c r="G28" s="96"/>
    </row>
    <row r="29" spans="1:7" ht="25.5">
      <c r="A29" s="97">
        <v>4</v>
      </c>
      <c r="B29" s="75" t="s">
        <v>440</v>
      </c>
      <c r="C29" s="67">
        <f>+E29+E33</f>
        <v>174493.4</v>
      </c>
      <c r="D29" s="52">
        <v>2000</v>
      </c>
      <c r="E29" s="70">
        <f>SUM(E30:E32)</f>
        <v>31358.4</v>
      </c>
      <c r="F29" s="107"/>
      <c r="G29" s="96"/>
    </row>
    <row r="30" spans="1:7" ht="12.75">
      <c r="A30" s="97"/>
      <c r="B30" s="75"/>
      <c r="C30" s="37"/>
      <c r="D30" s="38">
        <v>2101</v>
      </c>
      <c r="E30" s="69">
        <v>2378.4</v>
      </c>
      <c r="F30" s="107"/>
      <c r="G30" s="96"/>
    </row>
    <row r="31" spans="1:7" ht="12.75">
      <c r="A31" s="97"/>
      <c r="B31" s="75"/>
      <c r="C31" s="37"/>
      <c r="D31" s="38">
        <v>2104</v>
      </c>
      <c r="E31" s="69">
        <v>1380</v>
      </c>
      <c r="F31" s="107"/>
      <c r="G31" s="96"/>
    </row>
    <row r="32" spans="1:7" ht="12.75">
      <c r="A32" s="97"/>
      <c r="B32" s="75"/>
      <c r="C32" s="37"/>
      <c r="D32" s="38">
        <v>2201</v>
      </c>
      <c r="E32" s="69">
        <v>27600</v>
      </c>
      <c r="F32" s="107"/>
      <c r="G32" s="96"/>
    </row>
    <row r="33" spans="1:7" ht="12.75">
      <c r="A33" s="97"/>
      <c r="B33" s="75"/>
      <c r="C33" s="37"/>
      <c r="D33" s="52">
        <v>3000</v>
      </c>
      <c r="E33" s="70">
        <f>SUM(E34:E35)</f>
        <v>143135</v>
      </c>
      <c r="F33" s="107"/>
      <c r="G33" s="96"/>
    </row>
    <row r="34" spans="1:7" ht="12.75">
      <c r="A34" s="97"/>
      <c r="B34" s="75"/>
      <c r="C34" s="37"/>
      <c r="D34" s="38">
        <v>3701</v>
      </c>
      <c r="E34" s="69">
        <v>74060</v>
      </c>
      <c r="F34" s="108" t="s">
        <v>232</v>
      </c>
      <c r="G34" s="96"/>
    </row>
    <row r="35" spans="1:7" ht="12.75">
      <c r="A35" s="97"/>
      <c r="B35" s="76"/>
      <c r="C35" s="52"/>
      <c r="D35" s="38">
        <v>3702</v>
      </c>
      <c r="E35" s="69">
        <v>69075</v>
      </c>
      <c r="F35" s="108" t="s">
        <v>232</v>
      </c>
      <c r="G35" s="96"/>
    </row>
    <row r="36" spans="1:7" ht="25.5">
      <c r="A36" s="97">
        <v>5</v>
      </c>
      <c r="B36" s="75" t="s">
        <v>441</v>
      </c>
      <c r="C36" s="67">
        <f>+E36+E40</f>
        <v>553863.7</v>
      </c>
      <c r="D36" s="52">
        <v>2000</v>
      </c>
      <c r="E36" s="70">
        <f>SUM(E37:E39)</f>
        <v>104823.7</v>
      </c>
      <c r="F36" s="107"/>
      <c r="G36" s="96"/>
    </row>
    <row r="37" spans="1:7" ht="12.75">
      <c r="A37" s="97"/>
      <c r="B37" s="75"/>
      <c r="C37" s="37"/>
      <c r="D37" s="38">
        <v>2101</v>
      </c>
      <c r="E37" s="69">
        <v>19634</v>
      </c>
      <c r="F37" s="107"/>
      <c r="G37" s="96"/>
    </row>
    <row r="38" spans="1:7" ht="12.75">
      <c r="A38" s="97"/>
      <c r="B38" s="75"/>
      <c r="C38" s="37"/>
      <c r="D38" s="38">
        <v>2104</v>
      </c>
      <c r="E38" s="69">
        <v>664.7</v>
      </c>
      <c r="F38" s="107"/>
      <c r="G38" s="96"/>
    </row>
    <row r="39" spans="1:7" ht="12.75">
      <c r="A39" s="97"/>
      <c r="B39" s="75"/>
      <c r="C39" s="37"/>
      <c r="D39" s="38">
        <v>2201</v>
      </c>
      <c r="E39" s="69">
        <v>84525</v>
      </c>
      <c r="F39" s="107"/>
      <c r="G39" s="96"/>
    </row>
    <row r="40" spans="1:7" ht="12.75">
      <c r="A40" s="97"/>
      <c r="B40" s="75"/>
      <c r="C40" s="37"/>
      <c r="D40" s="52">
        <v>3000</v>
      </c>
      <c r="E40" s="70">
        <f>SUM(E41:E43)</f>
        <v>449040</v>
      </c>
      <c r="F40" s="107"/>
      <c r="G40" s="96"/>
    </row>
    <row r="41" spans="1:7" ht="12.75">
      <c r="A41" s="97"/>
      <c r="B41" s="75"/>
      <c r="C41" s="37"/>
      <c r="D41" s="45">
        <v>3301</v>
      </c>
      <c r="E41" s="61">
        <v>372600</v>
      </c>
      <c r="F41" s="109"/>
      <c r="G41" s="96"/>
    </row>
    <row r="42" spans="1:7" ht="12.75">
      <c r="A42" s="97"/>
      <c r="B42" s="75"/>
      <c r="C42" s="37"/>
      <c r="D42" s="45">
        <v>3701</v>
      </c>
      <c r="E42" s="61">
        <v>31740</v>
      </c>
      <c r="F42" s="108" t="s">
        <v>232</v>
      </c>
      <c r="G42" s="96"/>
    </row>
    <row r="43" spans="1:7" ht="12.75">
      <c r="A43" s="97"/>
      <c r="B43" s="76"/>
      <c r="C43" s="52"/>
      <c r="D43" s="45">
        <v>3702</v>
      </c>
      <c r="E43" s="61">
        <v>44700</v>
      </c>
      <c r="F43" s="108" t="s">
        <v>232</v>
      </c>
      <c r="G43" s="96"/>
    </row>
    <row r="44" spans="1:7" ht="12.75">
      <c r="A44" s="97">
        <v>6</v>
      </c>
      <c r="B44" s="75" t="s">
        <v>443</v>
      </c>
      <c r="C44" s="71">
        <f>+E44</f>
        <v>850000</v>
      </c>
      <c r="D44" s="50">
        <v>3000</v>
      </c>
      <c r="E44" s="60">
        <f>SUM(E45:E45)</f>
        <v>850000</v>
      </c>
      <c r="F44" s="110"/>
      <c r="G44" s="96"/>
    </row>
    <row r="45" spans="1:7" ht="12.75">
      <c r="A45" s="97"/>
      <c r="B45" s="76"/>
      <c r="C45" s="52"/>
      <c r="D45" s="45">
        <v>3903</v>
      </c>
      <c r="E45" s="61">
        <v>850000</v>
      </c>
      <c r="F45" s="110"/>
      <c r="G45" s="96"/>
    </row>
    <row r="46" spans="1:7" ht="12.75">
      <c r="A46" s="97">
        <v>7</v>
      </c>
      <c r="B46" s="75" t="s">
        <v>444</v>
      </c>
      <c r="C46" s="73">
        <f>+E46+E49</f>
        <v>112000</v>
      </c>
      <c r="D46" s="50">
        <v>2000</v>
      </c>
      <c r="E46" s="60">
        <f>SUM(E47:E48)</f>
        <v>67500</v>
      </c>
      <c r="F46" s="110"/>
      <c r="G46" s="96"/>
    </row>
    <row r="47" spans="1:7" ht="12.75">
      <c r="A47" s="97"/>
      <c r="B47" s="75"/>
      <c r="C47" s="37"/>
      <c r="D47" s="45">
        <v>2201</v>
      </c>
      <c r="E47" s="61">
        <v>36000</v>
      </c>
      <c r="F47" s="110"/>
      <c r="G47" s="96"/>
    </row>
    <row r="48" spans="1:7" ht="12.75">
      <c r="A48" s="97"/>
      <c r="B48" s="75"/>
      <c r="C48" s="37"/>
      <c r="D48" s="45">
        <v>2601</v>
      </c>
      <c r="E48" s="61">
        <v>31500</v>
      </c>
      <c r="F48" s="110"/>
      <c r="G48" s="96"/>
    </row>
    <row r="49" spans="1:7" ht="12.75">
      <c r="A49" s="97"/>
      <c r="B49" s="75"/>
      <c r="C49" s="37"/>
      <c r="D49" s="50">
        <v>3000</v>
      </c>
      <c r="E49" s="60">
        <f>SUM(E50:E51)</f>
        <v>44500</v>
      </c>
      <c r="F49" s="110"/>
      <c r="G49" s="96"/>
    </row>
    <row r="50" spans="1:7" ht="12.75">
      <c r="A50" s="97"/>
      <c r="B50" s="75"/>
      <c r="C50" s="37"/>
      <c r="D50" s="45">
        <v>3802</v>
      </c>
      <c r="E50" s="61">
        <v>12000</v>
      </c>
      <c r="F50" s="110"/>
      <c r="G50" s="96"/>
    </row>
    <row r="51" spans="1:7" ht="12.75">
      <c r="A51" s="97"/>
      <c r="B51" s="76"/>
      <c r="C51" s="37"/>
      <c r="D51" s="46">
        <v>3907</v>
      </c>
      <c r="E51" s="68">
        <v>32500</v>
      </c>
      <c r="F51" s="111"/>
      <c r="G51" s="96"/>
    </row>
    <row r="52" spans="1:7" ht="25.5">
      <c r="A52" s="97">
        <v>8</v>
      </c>
      <c r="B52" s="84" t="s">
        <v>399</v>
      </c>
      <c r="C52" s="48">
        <f>+E52+E54</f>
        <v>197500</v>
      </c>
      <c r="D52" s="49">
        <v>2000</v>
      </c>
      <c r="E52" s="59">
        <f>+E53</f>
        <v>20000</v>
      </c>
      <c r="F52" s="109"/>
      <c r="G52" s="96"/>
    </row>
    <row r="53" spans="1:7" ht="12.75">
      <c r="A53" s="97"/>
      <c r="B53" s="75"/>
      <c r="C53" s="49"/>
      <c r="D53" s="44">
        <v>2601</v>
      </c>
      <c r="E53" s="58">
        <v>20000</v>
      </c>
      <c r="F53" s="109" t="s">
        <v>154</v>
      </c>
      <c r="G53" s="96"/>
    </row>
    <row r="54" spans="1:7" ht="12.75">
      <c r="A54" s="97"/>
      <c r="B54" s="75"/>
      <c r="C54" s="49"/>
      <c r="D54" s="49">
        <v>3000</v>
      </c>
      <c r="E54" s="59">
        <f>SUM(E55:E57)</f>
        <v>177500</v>
      </c>
      <c r="F54" s="109"/>
      <c r="G54" s="96"/>
    </row>
    <row r="55" spans="1:7" ht="12.75">
      <c r="A55" s="97"/>
      <c r="B55" s="75"/>
      <c r="C55" s="49"/>
      <c r="D55" s="44">
        <v>3702</v>
      </c>
      <c r="E55" s="58">
        <v>161500</v>
      </c>
      <c r="F55" s="109" t="s">
        <v>232</v>
      </c>
      <c r="G55" s="96"/>
    </row>
    <row r="56" spans="1:7" ht="12.75">
      <c r="A56" s="97"/>
      <c r="B56" s="75"/>
      <c r="C56" s="49"/>
      <c r="D56" s="44">
        <v>3703</v>
      </c>
      <c r="E56" s="58">
        <v>12000</v>
      </c>
      <c r="F56" s="109"/>
      <c r="G56" s="96"/>
    </row>
    <row r="57" spans="1:7" ht="12.75">
      <c r="A57" s="97"/>
      <c r="B57" s="76"/>
      <c r="C57" s="49"/>
      <c r="D57" s="44">
        <v>3903</v>
      </c>
      <c r="E57" s="58">
        <v>4000</v>
      </c>
      <c r="F57" s="109"/>
      <c r="G57" s="96"/>
    </row>
    <row r="58" spans="1:7" ht="38.25">
      <c r="A58" s="97">
        <v>9</v>
      </c>
      <c r="B58" s="84" t="s">
        <v>333</v>
      </c>
      <c r="C58" s="48">
        <f>+E58</f>
        <v>100000</v>
      </c>
      <c r="D58" s="49">
        <v>3000</v>
      </c>
      <c r="E58" s="59">
        <f>SUM(E59:E59)</f>
        <v>100000</v>
      </c>
      <c r="F58" s="109"/>
      <c r="G58" s="96"/>
    </row>
    <row r="59" spans="1:7" ht="12.75">
      <c r="A59" s="97"/>
      <c r="B59" s="76"/>
      <c r="C59" s="49"/>
      <c r="D59" s="44">
        <v>3408</v>
      </c>
      <c r="E59" s="58">
        <v>100000</v>
      </c>
      <c r="F59" s="109"/>
      <c r="G59" s="96"/>
    </row>
    <row r="60" spans="1:7" ht="25.5">
      <c r="A60" s="97">
        <v>10</v>
      </c>
      <c r="B60" s="84" t="s">
        <v>336</v>
      </c>
      <c r="C60" s="48">
        <f>+E60</f>
        <v>200000</v>
      </c>
      <c r="D60" s="49">
        <v>3000</v>
      </c>
      <c r="E60" s="59">
        <f>SUM(E61:E62)</f>
        <v>200000</v>
      </c>
      <c r="F60" s="109"/>
      <c r="G60" s="96"/>
    </row>
    <row r="61" spans="1:7" ht="12.75">
      <c r="A61" s="97"/>
      <c r="B61" s="75"/>
      <c r="C61" s="49"/>
      <c r="D61" s="44">
        <v>3701</v>
      </c>
      <c r="E61" s="58">
        <v>100000</v>
      </c>
      <c r="F61" s="109"/>
      <c r="G61" s="96"/>
    </row>
    <row r="62" spans="1:7" ht="12.75">
      <c r="A62" s="97"/>
      <c r="B62" s="76"/>
      <c r="C62" s="49"/>
      <c r="D62" s="44">
        <v>3702</v>
      </c>
      <c r="E62" s="58">
        <v>100000</v>
      </c>
      <c r="F62" s="109" t="s">
        <v>232</v>
      </c>
      <c r="G62" s="96"/>
    </row>
    <row r="63" spans="1:7" ht="38.25">
      <c r="A63" s="97">
        <v>11</v>
      </c>
      <c r="B63" s="84" t="s">
        <v>339</v>
      </c>
      <c r="C63" s="48">
        <f>+E63+E65</f>
        <v>200000</v>
      </c>
      <c r="D63" s="49">
        <v>2000</v>
      </c>
      <c r="E63" s="59">
        <f>+E64</f>
        <v>20000</v>
      </c>
      <c r="F63" s="109"/>
      <c r="G63" s="96"/>
    </row>
    <row r="64" spans="1:7" ht="12.75">
      <c r="A64" s="97"/>
      <c r="B64" s="75"/>
      <c r="C64" s="49"/>
      <c r="D64" s="44">
        <v>2103</v>
      </c>
      <c r="E64" s="58">
        <v>20000</v>
      </c>
      <c r="F64" s="109"/>
      <c r="G64" s="96"/>
    </row>
    <row r="65" spans="1:7" ht="12.75">
      <c r="A65" s="97"/>
      <c r="B65" s="75"/>
      <c r="C65" s="49"/>
      <c r="D65" s="49">
        <v>3000</v>
      </c>
      <c r="E65" s="59">
        <f>SUM(E66:E69)</f>
        <v>180000</v>
      </c>
      <c r="F65" s="109"/>
      <c r="G65" s="96"/>
    </row>
    <row r="66" spans="1:7" ht="12.75">
      <c r="A66" s="97"/>
      <c r="B66" s="75"/>
      <c r="C66" s="49"/>
      <c r="D66" s="44">
        <v>3301</v>
      </c>
      <c r="E66" s="58">
        <v>50000</v>
      </c>
      <c r="F66" s="109"/>
      <c r="G66" s="96"/>
    </row>
    <row r="67" spans="1:7" ht="12.75">
      <c r="A67" s="97"/>
      <c r="B67" s="75"/>
      <c r="C67" s="49"/>
      <c r="D67" s="44">
        <v>3701</v>
      </c>
      <c r="E67" s="58">
        <v>39000</v>
      </c>
      <c r="F67" s="109"/>
      <c r="G67" s="96"/>
    </row>
    <row r="68" spans="1:7" ht="12.75">
      <c r="A68" s="97"/>
      <c r="B68" s="75"/>
      <c r="C68" s="49"/>
      <c r="D68" s="44">
        <v>3702</v>
      </c>
      <c r="E68" s="58">
        <v>55250</v>
      </c>
      <c r="F68" s="109" t="s">
        <v>232</v>
      </c>
      <c r="G68" s="96"/>
    </row>
    <row r="69" spans="1:7" ht="12.75">
      <c r="A69" s="97"/>
      <c r="B69" s="76"/>
      <c r="C69" s="49"/>
      <c r="D69" s="44">
        <v>3703</v>
      </c>
      <c r="E69" s="58">
        <v>35750</v>
      </c>
      <c r="F69" s="109"/>
      <c r="G69" s="96"/>
    </row>
    <row r="70" spans="1:7" ht="25.5">
      <c r="A70" s="97">
        <v>12</v>
      </c>
      <c r="B70" s="84" t="s">
        <v>341</v>
      </c>
      <c r="C70" s="48">
        <f>+E70</f>
        <v>37000</v>
      </c>
      <c r="D70" s="49">
        <v>2000</v>
      </c>
      <c r="E70" s="59">
        <f>SUM(E71:E73)</f>
        <v>37000</v>
      </c>
      <c r="F70" s="109"/>
      <c r="G70" s="96"/>
    </row>
    <row r="71" spans="1:7" ht="12.75">
      <c r="A71" s="97"/>
      <c r="B71" s="84"/>
      <c r="C71" s="182"/>
      <c r="D71" s="44">
        <v>2101</v>
      </c>
      <c r="E71" s="58">
        <v>10000</v>
      </c>
      <c r="F71" s="109"/>
      <c r="G71" s="96"/>
    </row>
    <row r="72" spans="1:7" ht="12.75">
      <c r="A72" s="97"/>
      <c r="B72" s="75"/>
      <c r="C72" s="49"/>
      <c r="D72" s="44">
        <v>2103</v>
      </c>
      <c r="E72" s="58">
        <v>18000</v>
      </c>
      <c r="F72" s="109"/>
      <c r="G72" s="96"/>
    </row>
    <row r="73" spans="1:7" ht="12.75">
      <c r="A73" s="97"/>
      <c r="B73" s="76"/>
      <c r="C73" s="49"/>
      <c r="D73" s="44">
        <v>2206</v>
      </c>
      <c r="E73" s="58">
        <v>9000</v>
      </c>
      <c r="F73" s="109"/>
      <c r="G73" s="96"/>
    </row>
    <row r="74" spans="1:7" ht="25.5">
      <c r="A74" s="97">
        <v>13</v>
      </c>
      <c r="B74" s="84" t="s">
        <v>342</v>
      </c>
      <c r="C74" s="48">
        <f>+E74+E76</f>
        <v>144460</v>
      </c>
      <c r="D74" s="49">
        <v>2000</v>
      </c>
      <c r="E74" s="59">
        <f>+E75</f>
        <v>9000</v>
      </c>
      <c r="F74" s="109"/>
      <c r="G74" s="96"/>
    </row>
    <row r="75" spans="1:7" ht="12.75">
      <c r="A75" s="97"/>
      <c r="B75" s="75"/>
      <c r="C75" s="49"/>
      <c r="D75" s="44">
        <v>2206</v>
      </c>
      <c r="E75" s="58">
        <v>9000</v>
      </c>
      <c r="F75" s="109"/>
      <c r="G75" s="96"/>
    </row>
    <row r="76" spans="1:7" ht="12.75">
      <c r="A76" s="97"/>
      <c r="B76" s="75"/>
      <c r="C76" s="49"/>
      <c r="D76" s="49">
        <v>3000</v>
      </c>
      <c r="E76" s="59">
        <f>SUM(E77:E78)</f>
        <v>135460</v>
      </c>
      <c r="F76" s="109"/>
      <c r="G76" s="96"/>
    </row>
    <row r="77" spans="1:7" ht="12.75">
      <c r="A77" s="97"/>
      <c r="B77" s="75"/>
      <c r="C77" s="49"/>
      <c r="D77" s="44">
        <v>3701</v>
      </c>
      <c r="E77" s="58">
        <v>64700</v>
      </c>
      <c r="F77" s="109" t="s">
        <v>232</v>
      </c>
      <c r="G77" s="96"/>
    </row>
    <row r="78" spans="1:7" ht="12.75">
      <c r="A78" s="97"/>
      <c r="B78" s="76"/>
      <c r="C78" s="49"/>
      <c r="D78" s="44">
        <v>3703</v>
      </c>
      <c r="E78" s="58">
        <v>70760</v>
      </c>
      <c r="F78" s="109"/>
      <c r="G78" s="96"/>
    </row>
    <row r="79" spans="1:7" ht="25.5">
      <c r="A79" s="97">
        <v>14</v>
      </c>
      <c r="B79" s="84" t="s">
        <v>344</v>
      </c>
      <c r="C79" s="48">
        <f>+E79+E83</f>
        <v>810800</v>
      </c>
      <c r="D79" s="49">
        <v>2000</v>
      </c>
      <c r="E79" s="59">
        <f>SUM(E80:E82)</f>
        <v>99565</v>
      </c>
      <c r="F79" s="109"/>
      <c r="G79" s="96"/>
    </row>
    <row r="80" spans="1:7" ht="12.75">
      <c r="A80" s="97"/>
      <c r="B80" s="84"/>
      <c r="C80" s="48"/>
      <c r="D80" s="44">
        <v>2101</v>
      </c>
      <c r="E80" s="58">
        <v>10000</v>
      </c>
      <c r="F80" s="109"/>
      <c r="G80" s="96"/>
    </row>
    <row r="81" spans="1:7" ht="12.75">
      <c r="A81" s="97"/>
      <c r="B81" s="75"/>
      <c r="C81" s="49"/>
      <c r="D81" s="44">
        <v>2201</v>
      </c>
      <c r="E81" s="58">
        <v>77490</v>
      </c>
      <c r="F81" s="109"/>
      <c r="G81" s="96"/>
    </row>
    <row r="82" spans="1:7" ht="12.75">
      <c r="A82" s="97"/>
      <c r="B82" s="75"/>
      <c r="C82" s="49"/>
      <c r="D82" s="44">
        <v>2601</v>
      </c>
      <c r="E82" s="58">
        <v>12075</v>
      </c>
      <c r="F82" s="109"/>
      <c r="G82" s="96"/>
    </row>
    <row r="83" spans="1:7" ht="12.75">
      <c r="A83" s="97"/>
      <c r="B83" s="75"/>
      <c r="C83" s="49"/>
      <c r="D83" s="49">
        <v>3000</v>
      </c>
      <c r="E83" s="59">
        <f>SUM(E84:E87)</f>
        <v>711235</v>
      </c>
      <c r="F83" s="109"/>
      <c r="G83" s="96"/>
    </row>
    <row r="84" spans="1:7" ht="12.75">
      <c r="A84" s="97"/>
      <c r="B84" s="75"/>
      <c r="C84" s="49"/>
      <c r="D84" s="44">
        <v>3601</v>
      </c>
      <c r="E84" s="58">
        <v>44650</v>
      </c>
      <c r="F84" s="109"/>
      <c r="G84" s="96"/>
    </row>
    <row r="85" spans="1:7" ht="12.75">
      <c r="A85" s="97"/>
      <c r="B85" s="75"/>
      <c r="C85" s="49"/>
      <c r="D85" s="44">
        <v>3701</v>
      </c>
      <c r="E85" s="58">
        <v>246100</v>
      </c>
      <c r="F85" s="109" t="s">
        <v>232</v>
      </c>
      <c r="G85" s="96"/>
    </row>
    <row r="86" spans="1:7" ht="12.75">
      <c r="A86" s="97"/>
      <c r="B86" s="75"/>
      <c r="C86" s="49"/>
      <c r="D86" s="44">
        <v>3702</v>
      </c>
      <c r="E86" s="58">
        <f>252540+12000</f>
        <v>264540</v>
      </c>
      <c r="F86" s="109" t="s">
        <v>232</v>
      </c>
      <c r="G86" s="96"/>
    </row>
    <row r="87" spans="1:7" ht="12.75">
      <c r="A87" s="97"/>
      <c r="B87" s="76"/>
      <c r="C87" s="49"/>
      <c r="D87" s="44">
        <v>3907</v>
      </c>
      <c r="E87" s="58">
        <v>155945</v>
      </c>
      <c r="F87" s="109"/>
      <c r="G87" s="96"/>
    </row>
    <row r="88" spans="1:7" ht="25.5">
      <c r="A88" s="97">
        <v>15</v>
      </c>
      <c r="B88" s="84" t="s">
        <v>346</v>
      </c>
      <c r="C88" s="48">
        <f>+E88+E91</f>
        <v>135170</v>
      </c>
      <c r="D88" s="49">
        <v>2000</v>
      </c>
      <c r="E88" s="59">
        <f>SUM(E89:E90)</f>
        <v>13670</v>
      </c>
      <c r="F88" s="109"/>
      <c r="G88" s="96"/>
    </row>
    <row r="89" spans="1:7" ht="12.75">
      <c r="A89" s="97"/>
      <c r="B89" s="75"/>
      <c r="C89" s="49"/>
      <c r="D89" s="44">
        <v>2101</v>
      </c>
      <c r="E89" s="58">
        <f>6600+5000</f>
        <v>11600</v>
      </c>
      <c r="F89" s="109"/>
      <c r="G89" s="96"/>
    </row>
    <row r="90" spans="1:7" ht="12.75">
      <c r="A90" s="97"/>
      <c r="B90" s="75"/>
      <c r="C90" s="49"/>
      <c r="D90" s="44">
        <v>2104</v>
      </c>
      <c r="E90" s="58">
        <v>2070</v>
      </c>
      <c r="F90" s="109"/>
      <c r="G90" s="96"/>
    </row>
    <row r="91" spans="1:7" ht="12.75">
      <c r="A91" s="97"/>
      <c r="B91" s="75"/>
      <c r="C91" s="49"/>
      <c r="D91" s="49">
        <v>3000</v>
      </c>
      <c r="E91" s="59">
        <f>SUM(E92:E93)</f>
        <v>121500</v>
      </c>
      <c r="F91" s="109"/>
      <c r="G91" s="96"/>
    </row>
    <row r="92" spans="1:7" ht="12.75">
      <c r="A92" s="97"/>
      <c r="B92" s="75"/>
      <c r="C92" s="49"/>
      <c r="D92" s="44">
        <v>3301</v>
      </c>
      <c r="E92" s="58">
        <v>60000</v>
      </c>
      <c r="F92" s="109"/>
      <c r="G92" s="96"/>
    </row>
    <row r="93" spans="1:7" ht="12.75">
      <c r="A93" s="97"/>
      <c r="B93" s="76"/>
      <c r="C93" s="49"/>
      <c r="D93" s="44">
        <v>3702</v>
      </c>
      <c r="E93" s="58">
        <f>49500+12000</f>
        <v>61500</v>
      </c>
      <c r="F93" s="109" t="s">
        <v>232</v>
      </c>
      <c r="G93" s="96"/>
    </row>
    <row r="94" spans="1:7" ht="25.5">
      <c r="A94" s="97">
        <v>16</v>
      </c>
      <c r="B94" s="84" t="s">
        <v>348</v>
      </c>
      <c r="C94" s="48">
        <f>+E94+E97</f>
        <v>300000</v>
      </c>
      <c r="D94" s="49">
        <v>2000</v>
      </c>
      <c r="E94" s="59">
        <f>SUM(E95:E96)</f>
        <v>54857</v>
      </c>
      <c r="F94" s="109"/>
      <c r="G94" s="96"/>
    </row>
    <row r="95" spans="1:7" ht="12.75">
      <c r="A95" s="97"/>
      <c r="B95" s="75"/>
      <c r="C95" s="49"/>
      <c r="D95" s="44">
        <v>2101</v>
      </c>
      <c r="E95" s="58">
        <v>25232</v>
      </c>
      <c r="F95" s="109"/>
      <c r="G95" s="96"/>
    </row>
    <row r="96" spans="1:7" ht="12.75">
      <c r="A96" s="97"/>
      <c r="B96" s="75"/>
      <c r="C96" s="49"/>
      <c r="D96" s="44">
        <v>2201</v>
      </c>
      <c r="E96" s="58">
        <v>29625</v>
      </c>
      <c r="F96" s="109" t="s">
        <v>232</v>
      </c>
      <c r="G96" s="96"/>
    </row>
    <row r="97" spans="1:7" ht="12.75">
      <c r="A97" s="97"/>
      <c r="B97" s="75"/>
      <c r="C97" s="49"/>
      <c r="D97" s="49">
        <v>3000</v>
      </c>
      <c r="E97" s="59">
        <f>SUM(E98:E99)</f>
        <v>245143</v>
      </c>
      <c r="F97" s="109"/>
      <c r="G97" s="96"/>
    </row>
    <row r="98" spans="1:7" ht="12.75">
      <c r="A98" s="97"/>
      <c r="B98" s="75"/>
      <c r="C98" s="49"/>
      <c r="D98" s="44">
        <v>3701</v>
      </c>
      <c r="E98" s="58">
        <v>148403</v>
      </c>
      <c r="F98" s="109" t="s">
        <v>232</v>
      </c>
      <c r="G98" s="96"/>
    </row>
    <row r="99" spans="1:7" ht="12.75">
      <c r="A99" s="97"/>
      <c r="B99" s="76"/>
      <c r="C99" s="49"/>
      <c r="D99" s="44">
        <v>3702</v>
      </c>
      <c r="E99" s="58">
        <v>96740</v>
      </c>
      <c r="F99" s="109"/>
      <c r="G99" s="96"/>
    </row>
    <row r="100" spans="1:7" ht="25.5">
      <c r="A100" s="97">
        <v>17</v>
      </c>
      <c r="B100" s="84" t="s">
        <v>349</v>
      </c>
      <c r="C100" s="48">
        <f>+E100+E103</f>
        <v>616300</v>
      </c>
      <c r="D100" s="49">
        <v>2000</v>
      </c>
      <c r="E100" s="59">
        <f>SUM(E101:E102)</f>
        <v>27800</v>
      </c>
      <c r="F100" s="109"/>
      <c r="G100" s="96"/>
    </row>
    <row r="101" spans="1:7" ht="12.75">
      <c r="A101" s="97"/>
      <c r="B101" s="75"/>
      <c r="C101" s="49"/>
      <c r="D101" s="44">
        <v>2103</v>
      </c>
      <c r="E101" s="58">
        <v>21000</v>
      </c>
      <c r="F101" s="109"/>
      <c r="G101" s="96"/>
    </row>
    <row r="102" spans="1:7" ht="12.75">
      <c r="A102" s="97"/>
      <c r="B102" s="75"/>
      <c r="C102" s="49"/>
      <c r="D102" s="44">
        <v>2206</v>
      </c>
      <c r="E102" s="58">
        <v>6800</v>
      </c>
      <c r="F102" s="109"/>
      <c r="G102" s="96"/>
    </row>
    <row r="103" spans="1:7" ht="12.75">
      <c r="A103" s="97"/>
      <c r="B103" s="75"/>
      <c r="C103" s="49"/>
      <c r="D103" s="49">
        <v>3000</v>
      </c>
      <c r="E103" s="59">
        <f>SUM(E104:E106)</f>
        <v>588500</v>
      </c>
      <c r="F103" s="109"/>
      <c r="G103" s="96"/>
    </row>
    <row r="104" spans="1:7" ht="12.75">
      <c r="A104" s="97"/>
      <c r="B104" s="75"/>
      <c r="C104" s="49"/>
      <c r="D104" s="44">
        <v>3201</v>
      </c>
      <c r="E104" s="58">
        <v>8000</v>
      </c>
      <c r="F104" s="109" t="s">
        <v>232</v>
      </c>
      <c r="G104" s="96"/>
    </row>
    <row r="105" spans="1:7" ht="12.75">
      <c r="A105" s="97"/>
      <c r="B105" s="75"/>
      <c r="C105" s="49"/>
      <c r="D105" s="44">
        <v>3701</v>
      </c>
      <c r="E105" s="58">
        <v>438600</v>
      </c>
      <c r="F105" s="109" t="s">
        <v>232</v>
      </c>
      <c r="G105" s="96"/>
    </row>
    <row r="106" spans="1:7" ht="12.75">
      <c r="A106" s="97"/>
      <c r="B106" s="76"/>
      <c r="C106" s="49"/>
      <c r="D106" s="44">
        <v>3702</v>
      </c>
      <c r="E106" s="58">
        <v>141900</v>
      </c>
      <c r="F106" s="109"/>
      <c r="G106" s="96"/>
    </row>
    <row r="107" spans="1:7" ht="25.5">
      <c r="A107" s="97">
        <v>18</v>
      </c>
      <c r="B107" s="84" t="s">
        <v>350</v>
      </c>
      <c r="C107" s="48">
        <f>+E107</f>
        <v>72000</v>
      </c>
      <c r="D107" s="49">
        <v>2000</v>
      </c>
      <c r="E107" s="59">
        <f>+E108</f>
        <v>72000</v>
      </c>
      <c r="F107" s="109"/>
      <c r="G107" s="96"/>
    </row>
    <row r="108" spans="1:7" ht="12.75">
      <c r="A108" s="97"/>
      <c r="B108" s="76"/>
      <c r="C108" s="49"/>
      <c r="D108" s="44">
        <v>2103</v>
      </c>
      <c r="E108" s="58">
        <v>72000</v>
      </c>
      <c r="F108" s="109"/>
      <c r="G108" s="96"/>
    </row>
    <row r="109" spans="1:7" ht="38.25">
      <c r="A109" s="97">
        <v>19</v>
      </c>
      <c r="B109" s="84" t="s">
        <v>445</v>
      </c>
      <c r="C109" s="48">
        <f>+E109+E115</f>
        <v>245000</v>
      </c>
      <c r="D109" s="49">
        <v>2000</v>
      </c>
      <c r="E109" s="59">
        <f>SUM(E110:E114)</f>
        <v>185800</v>
      </c>
      <c r="F109" s="109"/>
      <c r="G109" s="96"/>
    </row>
    <row r="110" spans="1:7" ht="12.75">
      <c r="A110" s="97"/>
      <c r="B110" s="75"/>
      <c r="C110" s="49"/>
      <c r="D110" s="44">
        <v>2207</v>
      </c>
      <c r="E110" s="58">
        <v>800</v>
      </c>
      <c r="F110" s="109"/>
      <c r="G110" s="96"/>
    </row>
    <row r="111" spans="1:7" ht="12.75">
      <c r="A111" s="97"/>
      <c r="B111" s="75"/>
      <c r="C111" s="49"/>
      <c r="D111" s="44">
        <v>2403</v>
      </c>
      <c r="E111" s="58">
        <v>40000</v>
      </c>
      <c r="F111" s="109"/>
      <c r="G111" s="96"/>
    </row>
    <row r="112" spans="1:7" ht="12.75">
      <c r="A112" s="97"/>
      <c r="B112" s="75"/>
      <c r="C112" s="49"/>
      <c r="D112" s="44">
        <v>2601</v>
      </c>
      <c r="E112" s="58">
        <v>6000</v>
      </c>
      <c r="F112" s="109"/>
      <c r="G112" s="96"/>
    </row>
    <row r="113" spans="1:7" ht="12.75">
      <c r="A113" s="97"/>
      <c r="B113" s="75"/>
      <c r="C113" s="49"/>
      <c r="D113" s="44">
        <v>2701</v>
      </c>
      <c r="E113" s="58">
        <v>39000</v>
      </c>
      <c r="F113" s="109"/>
      <c r="G113" s="96"/>
    </row>
    <row r="114" spans="1:7" ht="12.75">
      <c r="A114" s="97"/>
      <c r="B114" s="75"/>
      <c r="C114" s="49"/>
      <c r="D114" s="44">
        <v>2703</v>
      </c>
      <c r="E114" s="58">
        <v>100000</v>
      </c>
      <c r="F114" s="109" t="s">
        <v>232</v>
      </c>
      <c r="G114" s="96"/>
    </row>
    <row r="115" spans="1:7" ht="12.75">
      <c r="A115" s="97"/>
      <c r="B115" s="75"/>
      <c r="C115" s="49"/>
      <c r="D115" s="49">
        <v>3000</v>
      </c>
      <c r="E115" s="59">
        <f>SUM(E116:E118)</f>
        <v>59200</v>
      </c>
      <c r="F115" s="109"/>
      <c r="G115" s="96"/>
    </row>
    <row r="116" spans="1:7" ht="12.75">
      <c r="A116" s="97"/>
      <c r="B116" s="75"/>
      <c r="C116" s="49"/>
      <c r="D116" s="44">
        <v>3301</v>
      </c>
      <c r="E116" s="58">
        <v>16000</v>
      </c>
      <c r="F116" s="109" t="s">
        <v>232</v>
      </c>
      <c r="G116" s="96"/>
    </row>
    <row r="117" spans="1:7" ht="12.75">
      <c r="A117" s="97"/>
      <c r="B117" s="75"/>
      <c r="C117" s="49"/>
      <c r="D117" s="44">
        <v>3701</v>
      </c>
      <c r="E117" s="58">
        <v>30000</v>
      </c>
      <c r="F117" s="109"/>
      <c r="G117" s="96"/>
    </row>
    <row r="118" spans="1:7" ht="12.75">
      <c r="A118" s="97"/>
      <c r="B118" s="76"/>
      <c r="C118" s="49"/>
      <c r="D118" s="44">
        <v>3702</v>
      </c>
      <c r="E118" s="58">
        <v>13200</v>
      </c>
      <c r="F118" s="109"/>
      <c r="G118" s="96"/>
    </row>
    <row r="119" spans="1:7" ht="25.5">
      <c r="A119" s="97">
        <v>20</v>
      </c>
      <c r="B119" s="84" t="s">
        <v>352</v>
      </c>
      <c r="C119" s="48">
        <f>+E119+E121+E128</f>
        <v>1024400</v>
      </c>
      <c r="D119" s="183">
        <v>1000</v>
      </c>
      <c r="E119" s="184">
        <f>SUM(E120)</f>
        <v>0</v>
      </c>
      <c r="F119" s="109"/>
      <c r="G119" s="96"/>
    </row>
    <row r="120" spans="1:7" ht="12.75">
      <c r="A120" s="97"/>
      <c r="B120" s="84"/>
      <c r="C120" s="48"/>
      <c r="D120" s="183">
        <v>1201</v>
      </c>
      <c r="E120" s="184">
        <v>0</v>
      </c>
      <c r="F120" s="109"/>
      <c r="G120" s="96"/>
    </row>
    <row r="121" spans="1:7" ht="12.75">
      <c r="A121" s="97"/>
      <c r="B121" s="84"/>
      <c r="C121" s="48"/>
      <c r="D121" s="49">
        <v>2000</v>
      </c>
      <c r="E121" s="59">
        <f>SUM(E122:E127)</f>
        <v>466400</v>
      </c>
      <c r="F121" s="109"/>
      <c r="G121" s="96"/>
    </row>
    <row r="122" spans="1:7" ht="12.75">
      <c r="A122" s="97"/>
      <c r="B122" s="84"/>
      <c r="C122" s="48"/>
      <c r="D122" s="44">
        <v>2104</v>
      </c>
      <c r="E122" s="58">
        <v>10000</v>
      </c>
      <c r="F122" s="109"/>
      <c r="G122" s="96"/>
    </row>
    <row r="123" spans="1:7" ht="12.75">
      <c r="A123" s="97"/>
      <c r="B123" s="75"/>
      <c r="C123" s="49"/>
      <c r="D123" s="44">
        <v>2201</v>
      </c>
      <c r="E123" s="58">
        <f>80000+10000</f>
        <v>90000</v>
      </c>
      <c r="F123" s="109"/>
      <c r="G123" s="96"/>
    </row>
    <row r="124" spans="1:7" ht="12.75">
      <c r="A124" s="97"/>
      <c r="B124" s="75"/>
      <c r="C124" s="49"/>
      <c r="D124" s="44">
        <v>2207</v>
      </c>
      <c r="E124" s="58">
        <f>2500+1500+400</f>
        <v>4400</v>
      </c>
      <c r="F124" s="109"/>
      <c r="G124" s="96"/>
    </row>
    <row r="125" spans="1:7" ht="12.75">
      <c r="A125" s="97"/>
      <c r="B125" s="75"/>
      <c r="C125" s="49"/>
      <c r="D125" s="44">
        <v>2503</v>
      </c>
      <c r="E125" s="58">
        <f>5000+2000</f>
        <v>7000</v>
      </c>
      <c r="F125" s="109"/>
      <c r="G125" s="96"/>
    </row>
    <row r="126" spans="1:7" ht="12.75">
      <c r="A126" s="97"/>
      <c r="B126" s="75"/>
      <c r="C126" s="49"/>
      <c r="D126" s="44">
        <v>2701</v>
      </c>
      <c r="E126" s="58">
        <f>40000+25000+10000</f>
        <v>75000</v>
      </c>
      <c r="F126" s="109" t="s">
        <v>232</v>
      </c>
      <c r="G126" s="96"/>
    </row>
    <row r="127" spans="1:7" ht="12.75">
      <c r="A127" s="97"/>
      <c r="B127" s="75"/>
      <c r="C127" s="49"/>
      <c r="D127" s="44">
        <v>2703</v>
      </c>
      <c r="E127" s="58">
        <f>250000+15000+10000+5000</f>
        <v>280000</v>
      </c>
      <c r="F127" s="109" t="s">
        <v>232</v>
      </c>
      <c r="G127" s="96"/>
    </row>
    <row r="128" spans="1:7" ht="12.75">
      <c r="A128" s="97"/>
      <c r="B128" s="75"/>
      <c r="C128" s="49"/>
      <c r="D128" s="49">
        <v>3000</v>
      </c>
      <c r="E128" s="59">
        <f>SUM(E129:E132)</f>
        <v>558000</v>
      </c>
      <c r="F128" s="109"/>
      <c r="G128" s="96"/>
    </row>
    <row r="129" spans="1:7" ht="12.75">
      <c r="A129" s="97"/>
      <c r="B129" s="75"/>
      <c r="C129" s="49"/>
      <c r="D129" s="44">
        <v>3604</v>
      </c>
      <c r="E129" s="58">
        <v>18000</v>
      </c>
      <c r="F129" s="109"/>
      <c r="G129" s="96"/>
    </row>
    <row r="130" spans="1:7" ht="12.75">
      <c r="A130" s="97"/>
      <c r="B130" s="75"/>
      <c r="C130" s="49"/>
      <c r="D130" s="44">
        <v>3701</v>
      </c>
      <c r="E130" s="58">
        <v>410000</v>
      </c>
      <c r="F130" s="109" t="s">
        <v>232</v>
      </c>
      <c r="G130" s="96"/>
    </row>
    <row r="131" spans="1:7" ht="12.75">
      <c r="A131" s="97"/>
      <c r="B131" s="75"/>
      <c r="C131" s="49"/>
      <c r="D131" s="44">
        <v>3702</v>
      </c>
      <c r="E131" s="58">
        <v>90000</v>
      </c>
      <c r="F131" s="109"/>
      <c r="G131" s="96"/>
    </row>
    <row r="132" spans="1:7" ht="12.75">
      <c r="A132" s="97"/>
      <c r="B132" s="76"/>
      <c r="C132" s="49"/>
      <c r="D132" s="44">
        <v>3906</v>
      </c>
      <c r="E132" s="58">
        <v>40000</v>
      </c>
      <c r="F132" s="109" t="s">
        <v>232</v>
      </c>
      <c r="G132" s="96"/>
    </row>
    <row r="133" spans="1:7" ht="25.5">
      <c r="A133" s="97">
        <v>21</v>
      </c>
      <c r="B133" s="84" t="s">
        <v>353</v>
      </c>
      <c r="C133" s="48">
        <f>+E133+E135</f>
        <v>21240</v>
      </c>
      <c r="D133" s="49">
        <v>2000</v>
      </c>
      <c r="E133" s="59">
        <f>+E134</f>
        <v>240</v>
      </c>
      <c r="F133" s="109" t="s">
        <v>232</v>
      </c>
      <c r="G133" s="96"/>
    </row>
    <row r="134" spans="1:7" ht="12.75">
      <c r="A134" s="97"/>
      <c r="B134" s="75"/>
      <c r="C134" s="49"/>
      <c r="D134" s="44">
        <v>2104</v>
      </c>
      <c r="E134" s="58">
        <v>240</v>
      </c>
      <c r="F134" s="109"/>
      <c r="G134" s="96"/>
    </row>
    <row r="135" spans="1:7" ht="12.75">
      <c r="A135" s="97"/>
      <c r="B135" s="75"/>
      <c r="C135" s="49"/>
      <c r="D135" s="49">
        <v>3000</v>
      </c>
      <c r="E135" s="59">
        <f>SUM(E136:E137)</f>
        <v>21000</v>
      </c>
      <c r="F135" s="109"/>
      <c r="G135" s="96"/>
    </row>
    <row r="136" spans="1:7" ht="12.75">
      <c r="A136" s="97"/>
      <c r="B136" s="75"/>
      <c r="C136" s="49"/>
      <c r="D136" s="44">
        <v>3702</v>
      </c>
      <c r="E136" s="58">
        <v>15000</v>
      </c>
      <c r="F136" s="109" t="s">
        <v>232</v>
      </c>
      <c r="G136" s="96"/>
    </row>
    <row r="137" spans="1:7" ht="12.75">
      <c r="A137" s="97"/>
      <c r="B137" s="76"/>
      <c r="C137" s="49"/>
      <c r="D137" s="44">
        <v>3703</v>
      </c>
      <c r="E137" s="58">
        <v>6000</v>
      </c>
      <c r="F137" s="109"/>
      <c r="G137" s="96"/>
    </row>
    <row r="138" spans="1:7" ht="25.5">
      <c r="A138" s="97">
        <v>22</v>
      </c>
      <c r="B138" s="84" t="s">
        <v>354</v>
      </c>
      <c r="C138" s="48">
        <f>+E138+E143</f>
        <v>43500</v>
      </c>
      <c r="D138" s="49">
        <v>2000</v>
      </c>
      <c r="E138" s="59">
        <f>SUM(E139:E142)</f>
        <v>36500</v>
      </c>
      <c r="F138" s="109"/>
      <c r="G138" s="96"/>
    </row>
    <row r="139" spans="1:7" ht="12.75">
      <c r="A139" s="97"/>
      <c r="B139" s="75"/>
      <c r="C139" s="49"/>
      <c r="D139" s="44">
        <v>2207</v>
      </c>
      <c r="E139" s="58">
        <v>2600</v>
      </c>
      <c r="F139" s="109"/>
      <c r="G139" s="96"/>
    </row>
    <row r="140" spans="1:7" ht="12.75">
      <c r="A140" s="97"/>
      <c r="B140" s="75"/>
      <c r="C140" s="49"/>
      <c r="D140" s="44">
        <v>2703</v>
      </c>
      <c r="E140" s="58">
        <v>29900</v>
      </c>
      <c r="F140" s="109"/>
      <c r="G140" s="96"/>
    </row>
    <row r="141" spans="1:7" ht="12.75">
      <c r="A141" s="97"/>
      <c r="B141" s="75"/>
      <c r="C141" s="49"/>
      <c r="D141" s="44">
        <v>2503</v>
      </c>
      <c r="E141" s="58">
        <v>2000</v>
      </c>
      <c r="F141" s="109"/>
      <c r="G141" s="96"/>
    </row>
    <row r="142" spans="1:7" ht="12.75">
      <c r="A142" s="97"/>
      <c r="B142" s="75"/>
      <c r="C142" s="49"/>
      <c r="D142" s="44">
        <v>2601</v>
      </c>
      <c r="E142" s="58">
        <v>2000</v>
      </c>
      <c r="F142" s="109"/>
      <c r="G142" s="96"/>
    </row>
    <row r="143" spans="1:7" ht="12.75">
      <c r="A143" s="97"/>
      <c r="B143" s="75"/>
      <c r="C143" s="49"/>
      <c r="D143" s="49">
        <v>3000</v>
      </c>
      <c r="E143" s="59">
        <f>SUM(E144:E145)</f>
        <v>7000</v>
      </c>
      <c r="F143" s="109"/>
      <c r="G143" s="96"/>
    </row>
    <row r="144" spans="1:7" ht="12.75">
      <c r="A144" s="97"/>
      <c r="B144" s="75"/>
      <c r="C144" s="49"/>
      <c r="D144" s="44">
        <v>3602</v>
      </c>
      <c r="E144" s="58">
        <v>3000</v>
      </c>
      <c r="F144" s="109" t="s">
        <v>232</v>
      </c>
      <c r="G144" s="96"/>
    </row>
    <row r="145" spans="1:7" ht="12.75">
      <c r="A145" s="97"/>
      <c r="B145" s="76"/>
      <c r="C145" s="49"/>
      <c r="D145" s="44">
        <v>3205</v>
      </c>
      <c r="E145" s="58">
        <v>4000</v>
      </c>
      <c r="F145" s="109"/>
      <c r="G145" s="96"/>
    </row>
    <row r="146" spans="1:7" ht="25.5">
      <c r="A146" s="97">
        <v>23</v>
      </c>
      <c r="B146" s="84" t="s">
        <v>355</v>
      </c>
      <c r="C146" s="48">
        <f>+E146+E150</f>
        <v>21870</v>
      </c>
      <c r="D146" s="49">
        <v>2000</v>
      </c>
      <c r="E146" s="59">
        <f>SUM(E147:E149)</f>
        <v>6870</v>
      </c>
      <c r="F146" s="109"/>
      <c r="G146" s="96"/>
    </row>
    <row r="147" spans="1:7" ht="12.75">
      <c r="A147" s="97"/>
      <c r="B147" s="75"/>
      <c r="C147" s="49"/>
      <c r="D147" s="44">
        <v>2103</v>
      </c>
      <c r="E147" s="58">
        <v>1000</v>
      </c>
      <c r="F147" s="109"/>
      <c r="G147" s="96"/>
    </row>
    <row r="148" spans="1:7" ht="12.75">
      <c r="A148" s="97"/>
      <c r="B148" s="75"/>
      <c r="C148" s="49"/>
      <c r="D148" s="44">
        <v>2104</v>
      </c>
      <c r="E148" s="58">
        <v>870</v>
      </c>
      <c r="F148" s="109"/>
      <c r="G148" s="96"/>
    </row>
    <row r="149" spans="1:7" ht="12.75">
      <c r="A149" s="97"/>
      <c r="B149" s="75"/>
      <c r="C149" s="49"/>
      <c r="D149" s="44">
        <v>2703</v>
      </c>
      <c r="E149" s="58">
        <v>5000</v>
      </c>
      <c r="F149" s="109" t="s">
        <v>232</v>
      </c>
      <c r="G149" s="96"/>
    </row>
    <row r="150" spans="1:7" ht="12.75">
      <c r="A150" s="97"/>
      <c r="B150" s="75"/>
      <c r="C150" s="49"/>
      <c r="D150" s="49">
        <v>3000</v>
      </c>
      <c r="E150" s="59">
        <f>SUM(E151:E152)</f>
        <v>15000</v>
      </c>
      <c r="F150" s="109"/>
      <c r="G150" s="96"/>
    </row>
    <row r="151" spans="1:7" ht="12.75">
      <c r="A151" s="97"/>
      <c r="B151" s="75"/>
      <c r="C151" s="49"/>
      <c r="D151" s="44">
        <v>3702</v>
      </c>
      <c r="E151" s="58">
        <v>10000</v>
      </c>
      <c r="F151" s="109" t="s">
        <v>232</v>
      </c>
      <c r="G151" s="96"/>
    </row>
    <row r="152" spans="1:7" ht="12.75">
      <c r="A152" s="97"/>
      <c r="B152" s="76"/>
      <c r="C152" s="49"/>
      <c r="D152" s="44">
        <v>3703</v>
      </c>
      <c r="E152" s="58">
        <v>5000</v>
      </c>
      <c r="F152" s="109"/>
      <c r="G152" s="96"/>
    </row>
    <row r="153" spans="1:7" ht="12.75">
      <c r="A153" s="97">
        <v>24</v>
      </c>
      <c r="B153" s="84" t="s">
        <v>356</v>
      </c>
      <c r="C153" s="48">
        <f>+E153+E155</f>
        <v>2056150.7</v>
      </c>
      <c r="D153" s="49">
        <v>2000</v>
      </c>
      <c r="E153" s="59">
        <f>+E154</f>
        <v>1919450.7</v>
      </c>
      <c r="F153" s="109"/>
      <c r="G153" s="96"/>
    </row>
    <row r="154" spans="1:7" ht="12.75">
      <c r="A154" s="97"/>
      <c r="B154" s="75"/>
      <c r="C154" s="49"/>
      <c r="D154" s="44">
        <v>2103</v>
      </c>
      <c r="E154" s="58">
        <v>1919450.7</v>
      </c>
      <c r="F154" s="109"/>
      <c r="G154" s="96"/>
    </row>
    <row r="155" spans="1:7" ht="12.75">
      <c r="A155" s="97"/>
      <c r="B155" s="75"/>
      <c r="C155" s="49"/>
      <c r="D155" s="49">
        <v>3000</v>
      </c>
      <c r="E155" s="59">
        <f>SUM(E156:E158)</f>
        <v>136700</v>
      </c>
      <c r="F155" s="109"/>
      <c r="G155" s="96"/>
    </row>
    <row r="156" spans="1:7" ht="12.75">
      <c r="A156" s="97"/>
      <c r="B156" s="75"/>
      <c r="C156" s="49"/>
      <c r="D156" s="44">
        <v>3301</v>
      </c>
      <c r="E156" s="58">
        <v>8000</v>
      </c>
      <c r="F156" s="109"/>
      <c r="G156" s="96"/>
    </row>
    <row r="157" spans="1:7" ht="12.75">
      <c r="A157" s="97"/>
      <c r="B157" s="75"/>
      <c r="C157" s="49"/>
      <c r="D157" s="44">
        <v>3701</v>
      </c>
      <c r="E157" s="58">
        <v>22050</v>
      </c>
      <c r="F157" s="109" t="s">
        <v>232</v>
      </c>
      <c r="G157" s="96"/>
    </row>
    <row r="158" spans="1:7" ht="12.75">
      <c r="A158" s="97"/>
      <c r="B158" s="75"/>
      <c r="C158" s="49"/>
      <c r="D158" s="44">
        <v>3702</v>
      </c>
      <c r="E158" s="58">
        <v>106650</v>
      </c>
      <c r="F158" s="109" t="s">
        <v>232</v>
      </c>
      <c r="G158" s="96"/>
    </row>
    <row r="159" spans="1:7" ht="25.5">
      <c r="A159" s="97">
        <v>25</v>
      </c>
      <c r="B159" s="75" t="s">
        <v>357</v>
      </c>
      <c r="C159" s="48">
        <f>+E159+E162</f>
        <v>233900</v>
      </c>
      <c r="D159" s="49">
        <v>2000</v>
      </c>
      <c r="E159" s="59">
        <f>SUM(E160:E161)</f>
        <v>15900</v>
      </c>
      <c r="F159" s="109"/>
      <c r="G159" s="96"/>
    </row>
    <row r="160" spans="1:7" ht="12.75">
      <c r="A160" s="97"/>
      <c r="B160" s="75"/>
      <c r="C160" s="49"/>
      <c r="D160" s="44">
        <v>2101</v>
      </c>
      <c r="E160" s="58">
        <v>9900</v>
      </c>
      <c r="F160" s="109"/>
      <c r="G160" s="96"/>
    </row>
    <row r="161" spans="1:7" ht="12.75">
      <c r="A161" s="97"/>
      <c r="B161" s="75"/>
      <c r="C161" s="49"/>
      <c r="D161" s="44">
        <v>2601</v>
      </c>
      <c r="E161" s="58">
        <v>6000</v>
      </c>
      <c r="F161" s="109"/>
      <c r="G161" s="96"/>
    </row>
    <row r="162" spans="1:7" ht="12.75">
      <c r="A162" s="97"/>
      <c r="B162" s="75"/>
      <c r="C162" s="49"/>
      <c r="D162" s="49">
        <v>3000</v>
      </c>
      <c r="E162" s="59">
        <f>SUM(E163:E165)</f>
        <v>218000</v>
      </c>
      <c r="F162" s="109"/>
      <c r="G162" s="96"/>
    </row>
    <row r="163" spans="1:7" ht="12.75">
      <c r="A163" s="97"/>
      <c r="B163" s="75"/>
      <c r="C163" s="49"/>
      <c r="D163" s="44">
        <v>3702</v>
      </c>
      <c r="E163" s="58">
        <v>15000</v>
      </c>
      <c r="F163" s="109" t="s">
        <v>232</v>
      </c>
      <c r="G163" s="96"/>
    </row>
    <row r="164" spans="1:7" ht="12.75">
      <c r="A164" s="97"/>
      <c r="B164" s="75"/>
      <c r="C164" s="49"/>
      <c r="D164" s="44">
        <v>3903</v>
      </c>
      <c r="E164" s="58">
        <v>3000</v>
      </c>
      <c r="F164" s="109"/>
      <c r="G164" s="96"/>
    </row>
    <row r="165" spans="1:7" ht="12.75">
      <c r="A165" s="97"/>
      <c r="B165" s="76"/>
      <c r="C165" s="49"/>
      <c r="D165" s="44">
        <v>3907</v>
      </c>
      <c r="E165" s="58">
        <v>200000</v>
      </c>
      <c r="F165" s="109"/>
      <c r="G165" s="96"/>
    </row>
    <row r="166" spans="1:7" ht="38.25">
      <c r="A166" s="97">
        <v>26</v>
      </c>
      <c r="B166" s="75" t="s">
        <v>358</v>
      </c>
      <c r="C166" s="48">
        <f>+E166</f>
        <v>128170</v>
      </c>
      <c r="D166" s="49">
        <v>2000</v>
      </c>
      <c r="E166" s="59">
        <f>+E167</f>
        <v>128170</v>
      </c>
      <c r="F166" s="109" t="s">
        <v>232</v>
      </c>
      <c r="G166" s="96"/>
    </row>
    <row r="167" spans="1:7" ht="12.75">
      <c r="A167" s="97"/>
      <c r="B167" s="75"/>
      <c r="C167" s="49"/>
      <c r="D167" s="44">
        <v>2103</v>
      </c>
      <c r="E167" s="58">
        <v>128170</v>
      </c>
      <c r="F167" s="109"/>
      <c r="G167" s="96"/>
    </row>
    <row r="168" spans="1:7" ht="25.5">
      <c r="A168" s="97">
        <v>27</v>
      </c>
      <c r="B168" s="75" t="s">
        <v>360</v>
      </c>
      <c r="C168" s="48">
        <f>+E168</f>
        <v>14000</v>
      </c>
      <c r="D168" s="49">
        <v>2000</v>
      </c>
      <c r="E168" s="59">
        <f>+E169</f>
        <v>14000</v>
      </c>
      <c r="F168" s="109"/>
      <c r="G168" s="96"/>
    </row>
    <row r="169" spans="1:7" ht="12.75">
      <c r="A169" s="97"/>
      <c r="B169" s="76"/>
      <c r="C169" s="49"/>
      <c r="D169" s="44">
        <v>2101</v>
      </c>
      <c r="E169" s="58">
        <v>14000</v>
      </c>
      <c r="F169" s="109"/>
      <c r="G169" s="96"/>
    </row>
    <row r="170" spans="1:7" ht="25.5">
      <c r="A170" s="97">
        <v>28</v>
      </c>
      <c r="B170" s="75" t="s">
        <v>361</v>
      </c>
      <c r="C170" s="48">
        <f>+E170+E172</f>
        <v>45000</v>
      </c>
      <c r="D170" s="49">
        <v>2000</v>
      </c>
      <c r="E170" s="59">
        <f>+E171</f>
        <v>11180</v>
      </c>
      <c r="F170" s="109"/>
      <c r="G170" s="96"/>
    </row>
    <row r="171" spans="1:7" ht="12.75">
      <c r="A171" s="97"/>
      <c r="B171" s="75"/>
      <c r="C171" s="49"/>
      <c r="D171" s="44">
        <v>2103</v>
      </c>
      <c r="E171" s="58">
        <v>11180</v>
      </c>
      <c r="F171" s="109"/>
      <c r="G171" s="96"/>
    </row>
    <row r="172" spans="1:7" ht="12.75">
      <c r="A172" s="97"/>
      <c r="B172" s="75"/>
      <c r="C172" s="49"/>
      <c r="D172" s="49">
        <v>3000</v>
      </c>
      <c r="E172" s="59">
        <f>+E173</f>
        <v>33820</v>
      </c>
      <c r="F172" s="109"/>
      <c r="G172" s="96"/>
    </row>
    <row r="173" spans="1:7" ht="12.75">
      <c r="A173" s="97"/>
      <c r="B173" s="76"/>
      <c r="C173" s="49"/>
      <c r="D173" s="44">
        <v>3601</v>
      </c>
      <c r="E173" s="58">
        <v>33820</v>
      </c>
      <c r="F173" s="109" t="s">
        <v>232</v>
      </c>
      <c r="G173" s="96"/>
    </row>
    <row r="174" spans="1:7" ht="12.75">
      <c r="A174" s="97">
        <v>29</v>
      </c>
      <c r="B174" s="75" t="s">
        <v>362</v>
      </c>
      <c r="C174" s="48">
        <f>+E174+E177</f>
        <v>68089</v>
      </c>
      <c r="D174" s="49">
        <v>2000</v>
      </c>
      <c r="E174" s="59">
        <f>SUM(E175:E176)</f>
        <v>11519</v>
      </c>
      <c r="F174" s="109"/>
      <c r="G174" s="96"/>
    </row>
    <row r="175" spans="1:7" ht="12.75">
      <c r="A175" s="97"/>
      <c r="B175" s="75"/>
      <c r="C175" s="49"/>
      <c r="D175" s="44">
        <v>2101</v>
      </c>
      <c r="E175" s="58">
        <v>10019</v>
      </c>
      <c r="F175" s="109"/>
      <c r="G175" s="96"/>
    </row>
    <row r="176" spans="1:7" ht="12.75">
      <c r="A176" s="97"/>
      <c r="B176" s="75"/>
      <c r="C176" s="49"/>
      <c r="D176" s="44">
        <v>2201</v>
      </c>
      <c r="E176" s="58">
        <v>1500</v>
      </c>
      <c r="F176" s="109"/>
      <c r="G176" s="96"/>
    </row>
    <row r="177" spans="1:7" ht="12.75">
      <c r="A177" s="97"/>
      <c r="B177" s="75"/>
      <c r="C177" s="49"/>
      <c r="D177" s="49">
        <v>3000</v>
      </c>
      <c r="E177" s="59">
        <f>SUM(E178:E181)</f>
        <v>56570</v>
      </c>
      <c r="F177" s="109"/>
      <c r="G177" s="96"/>
    </row>
    <row r="178" spans="1:7" ht="12.75">
      <c r="A178" s="97"/>
      <c r="B178" s="75"/>
      <c r="C178" s="49"/>
      <c r="D178" s="44">
        <v>3301</v>
      </c>
      <c r="E178" s="58">
        <v>27000</v>
      </c>
      <c r="F178" s="109"/>
      <c r="G178" s="96"/>
    </row>
    <row r="179" spans="1:7" ht="12.75">
      <c r="A179" s="97"/>
      <c r="B179" s="75"/>
      <c r="C179" s="49"/>
      <c r="D179" s="44">
        <v>3401</v>
      </c>
      <c r="E179" s="58">
        <v>4420</v>
      </c>
      <c r="F179" s="109"/>
      <c r="G179" s="96"/>
    </row>
    <row r="180" spans="1:7" ht="12.75">
      <c r="A180" s="97"/>
      <c r="B180" s="75"/>
      <c r="C180" s="49"/>
      <c r="D180" s="44">
        <v>3701</v>
      </c>
      <c r="E180" s="58">
        <v>13600</v>
      </c>
      <c r="F180" s="109" t="s">
        <v>232</v>
      </c>
      <c r="G180" s="96"/>
    </row>
    <row r="181" spans="1:7" ht="12.75">
      <c r="A181" s="97"/>
      <c r="B181" s="76"/>
      <c r="C181" s="49"/>
      <c r="D181" s="44">
        <v>3702</v>
      </c>
      <c r="E181" s="58">
        <v>11550</v>
      </c>
      <c r="F181" s="109" t="s">
        <v>232</v>
      </c>
      <c r="G181" s="98"/>
    </row>
    <row r="182" spans="1:7" ht="25.5">
      <c r="A182" s="97">
        <v>30</v>
      </c>
      <c r="B182" s="75" t="s">
        <v>446</v>
      </c>
      <c r="C182" s="48">
        <f>+E182+E185</f>
        <v>1889900</v>
      </c>
      <c r="D182" s="49">
        <v>2000</v>
      </c>
      <c r="E182" s="59">
        <f>SUM(E183:E184)</f>
        <v>1377500</v>
      </c>
      <c r="F182" s="109"/>
      <c r="G182" s="98"/>
    </row>
    <row r="183" spans="1:7" ht="12.75">
      <c r="A183" s="97"/>
      <c r="B183" s="75"/>
      <c r="C183" s="49"/>
      <c r="D183" s="44">
        <v>2103</v>
      </c>
      <c r="E183" s="58">
        <v>1350000</v>
      </c>
      <c r="F183" s="109"/>
      <c r="G183" s="98"/>
    </row>
    <row r="184" spans="1:7" ht="12.75">
      <c r="A184" s="97"/>
      <c r="B184" s="75"/>
      <c r="C184" s="49"/>
      <c r="D184" s="44">
        <v>2201</v>
      </c>
      <c r="E184" s="58">
        <v>27500</v>
      </c>
      <c r="F184" s="109"/>
      <c r="G184" s="98"/>
    </row>
    <row r="185" spans="1:7" ht="12.75">
      <c r="A185" s="97"/>
      <c r="B185" s="75"/>
      <c r="C185" s="49"/>
      <c r="D185" s="49">
        <v>3000</v>
      </c>
      <c r="E185" s="59">
        <f>SUM(E186:E190)</f>
        <v>512400</v>
      </c>
      <c r="F185" s="109"/>
      <c r="G185" s="98"/>
    </row>
    <row r="186" spans="1:7" ht="12.75">
      <c r="A186" s="97"/>
      <c r="B186" s="75"/>
      <c r="C186" s="49"/>
      <c r="D186" s="44">
        <v>3401</v>
      </c>
      <c r="E186" s="58">
        <v>111800</v>
      </c>
      <c r="F186" s="109"/>
      <c r="G186" s="98"/>
    </row>
    <row r="187" spans="1:7" ht="12.75">
      <c r="A187" s="97"/>
      <c r="B187" s="75"/>
      <c r="C187" s="49"/>
      <c r="D187" s="44">
        <v>3701</v>
      </c>
      <c r="E187" s="58">
        <v>88000</v>
      </c>
      <c r="F187" s="109"/>
      <c r="G187" s="98"/>
    </row>
    <row r="188" spans="1:7" ht="12.75">
      <c r="A188" s="97"/>
      <c r="B188" s="75"/>
      <c r="C188" s="49"/>
      <c r="D188" s="44">
        <v>3702</v>
      </c>
      <c r="E188" s="58">
        <v>119000</v>
      </c>
      <c r="F188" s="109" t="s">
        <v>232</v>
      </c>
      <c r="G188" s="98"/>
    </row>
    <row r="189" spans="1:7" ht="12.75">
      <c r="A189" s="97"/>
      <c r="B189" s="75"/>
      <c r="C189" s="49"/>
      <c r="D189" s="44">
        <v>3703</v>
      </c>
      <c r="E189" s="58">
        <v>56000</v>
      </c>
      <c r="F189" s="109"/>
      <c r="G189" s="98"/>
    </row>
    <row r="190" spans="1:7" ht="12.75">
      <c r="A190" s="97"/>
      <c r="B190" s="76"/>
      <c r="C190" s="49"/>
      <c r="D190" s="44">
        <v>3802</v>
      </c>
      <c r="E190" s="58">
        <v>137600</v>
      </c>
      <c r="F190" s="109"/>
      <c r="G190" s="98"/>
    </row>
    <row r="191" spans="1:7" ht="51">
      <c r="A191" s="97">
        <v>31</v>
      </c>
      <c r="B191" s="75" t="s">
        <v>450</v>
      </c>
      <c r="C191" s="73">
        <f>+E191+E193</f>
        <v>456498</v>
      </c>
      <c r="D191" s="50">
        <v>2000</v>
      </c>
      <c r="E191" s="60">
        <f>+E192</f>
        <v>50000</v>
      </c>
      <c r="F191" s="117"/>
      <c r="G191" s="98"/>
    </row>
    <row r="192" spans="1:7" ht="12.75">
      <c r="A192" s="97"/>
      <c r="B192" s="75"/>
      <c r="C192" s="37"/>
      <c r="D192" s="45">
        <v>2103</v>
      </c>
      <c r="E192" s="61">
        <v>50000</v>
      </c>
      <c r="F192" s="110"/>
      <c r="G192" s="98"/>
    </row>
    <row r="193" spans="1:7" ht="12.75">
      <c r="A193" s="97"/>
      <c r="B193" s="75"/>
      <c r="C193" s="37"/>
      <c r="D193" s="50">
        <v>3000</v>
      </c>
      <c r="E193" s="60">
        <f>SUM(E194:E196)</f>
        <v>406498</v>
      </c>
      <c r="F193" s="110"/>
      <c r="G193" s="98"/>
    </row>
    <row r="194" spans="1:7" ht="12.75">
      <c r="A194" s="97"/>
      <c r="B194" s="75"/>
      <c r="C194" s="37"/>
      <c r="D194" s="45">
        <v>3301</v>
      </c>
      <c r="E194" s="61">
        <v>22776</v>
      </c>
      <c r="F194" s="110"/>
      <c r="G194" s="98"/>
    </row>
    <row r="195" spans="1:7" ht="12.75">
      <c r="A195" s="97"/>
      <c r="B195" s="75"/>
      <c r="C195" s="37"/>
      <c r="D195" s="45">
        <v>3701</v>
      </c>
      <c r="E195" s="61">
        <v>378750</v>
      </c>
      <c r="F195" s="108" t="s">
        <v>232</v>
      </c>
      <c r="G195" s="98"/>
    </row>
    <row r="196" spans="1:7" ht="12.75">
      <c r="A196" s="97"/>
      <c r="B196" s="76"/>
      <c r="C196" s="52"/>
      <c r="D196" s="45">
        <v>3703</v>
      </c>
      <c r="E196" s="61">
        <v>4972</v>
      </c>
      <c r="F196" s="110"/>
      <c r="G196" s="98"/>
    </row>
    <row r="197" spans="1:7" ht="25.5">
      <c r="A197" s="97">
        <v>32</v>
      </c>
      <c r="B197" s="75" t="s">
        <v>442</v>
      </c>
      <c r="C197" s="73">
        <f>+E197+E200</f>
        <v>2526900</v>
      </c>
      <c r="D197" s="50">
        <v>2000</v>
      </c>
      <c r="E197" s="60">
        <f>SUM(E198:E199)</f>
        <v>810000</v>
      </c>
      <c r="F197" s="110"/>
      <c r="G197" s="98"/>
    </row>
    <row r="198" spans="1:7" ht="12.75">
      <c r="A198" s="97"/>
      <c r="B198" s="75"/>
      <c r="C198" s="37"/>
      <c r="D198" s="45">
        <v>2104</v>
      </c>
      <c r="E198" s="61">
        <v>126000</v>
      </c>
      <c r="F198" s="110"/>
      <c r="G198" s="98"/>
    </row>
    <row r="199" spans="1:7" ht="12.75">
      <c r="A199" s="97"/>
      <c r="B199" s="75"/>
      <c r="C199" s="37"/>
      <c r="D199" s="45">
        <v>2201</v>
      </c>
      <c r="E199" s="61">
        <v>684000</v>
      </c>
      <c r="F199" s="110"/>
      <c r="G199" s="98"/>
    </row>
    <row r="200" spans="1:7" ht="12.75">
      <c r="A200" s="97"/>
      <c r="B200" s="75"/>
      <c r="C200" s="37"/>
      <c r="D200" s="50">
        <v>3000</v>
      </c>
      <c r="E200" s="60">
        <f>SUM(E201:E203)</f>
        <v>1716900</v>
      </c>
      <c r="F200" s="110"/>
      <c r="G200" s="98"/>
    </row>
    <row r="201" spans="1:7" ht="12.75">
      <c r="A201" s="97"/>
      <c r="B201" s="75"/>
      <c r="C201" s="37"/>
      <c r="D201" s="45">
        <v>3301</v>
      </c>
      <c r="E201" s="61">
        <v>366000</v>
      </c>
      <c r="F201" s="110"/>
      <c r="G201" s="98"/>
    </row>
    <row r="202" spans="1:7" ht="12.75">
      <c r="A202" s="97"/>
      <c r="B202" s="75"/>
      <c r="C202" s="37"/>
      <c r="D202" s="45">
        <v>3701</v>
      </c>
      <c r="E202" s="61">
        <v>895900</v>
      </c>
      <c r="F202" s="108" t="s">
        <v>232</v>
      </c>
      <c r="G202" s="98"/>
    </row>
    <row r="203" spans="1:7" ht="12.75">
      <c r="A203" s="97"/>
      <c r="B203" s="76"/>
      <c r="C203" s="52"/>
      <c r="D203" s="45">
        <v>3702</v>
      </c>
      <c r="E203" s="61">
        <v>455000</v>
      </c>
      <c r="F203" s="108" t="s">
        <v>232</v>
      </c>
      <c r="G203" s="98"/>
    </row>
    <row r="204" spans="1:7" ht="12.75">
      <c r="A204" s="97">
        <v>33</v>
      </c>
      <c r="B204" s="75" t="s">
        <v>610</v>
      </c>
      <c r="C204" s="73">
        <f>+E204+E206</f>
        <v>10880</v>
      </c>
      <c r="D204" s="50">
        <v>2000</v>
      </c>
      <c r="E204" s="60">
        <f>SUM(E205:E205)</f>
        <v>8000</v>
      </c>
      <c r="F204" s="185"/>
      <c r="G204" s="98"/>
    </row>
    <row r="205" spans="1:7" ht="12.75">
      <c r="A205" s="97"/>
      <c r="B205" s="75"/>
      <c r="C205" s="37"/>
      <c r="D205" s="45">
        <v>2101</v>
      </c>
      <c r="E205" s="61">
        <v>8000</v>
      </c>
      <c r="F205" s="185"/>
      <c r="G205" s="98"/>
    </row>
    <row r="206" spans="1:7" ht="12.75">
      <c r="A206" s="172"/>
      <c r="B206" s="75"/>
      <c r="C206" s="187"/>
      <c r="D206" s="50">
        <v>3000</v>
      </c>
      <c r="E206" s="60">
        <f>SUM(E207:E207)</f>
        <v>2880</v>
      </c>
      <c r="F206" s="185"/>
      <c r="G206" s="98"/>
    </row>
    <row r="207" spans="1:7" ht="12.75">
      <c r="A207" s="97"/>
      <c r="B207" s="186"/>
      <c r="C207" s="69"/>
      <c r="D207" s="38">
        <v>3401</v>
      </c>
      <c r="E207" s="61">
        <v>2880</v>
      </c>
      <c r="F207" s="185"/>
      <c r="G207" s="98"/>
    </row>
    <row r="208" spans="1:7" ht="12.75">
      <c r="A208" s="97">
        <v>34</v>
      </c>
      <c r="B208" s="75" t="s">
        <v>612</v>
      </c>
      <c r="C208" s="73">
        <f>+E208+E210</f>
        <v>14620</v>
      </c>
      <c r="D208" s="50">
        <v>2000</v>
      </c>
      <c r="E208" s="60">
        <f>SUM(E209:E209)</f>
        <v>10750</v>
      </c>
      <c r="F208" s="185"/>
      <c r="G208" s="98"/>
    </row>
    <row r="209" spans="1:7" ht="12.75">
      <c r="A209" s="97"/>
      <c r="B209" s="75"/>
      <c r="C209" s="37"/>
      <c r="D209" s="45">
        <v>2101</v>
      </c>
      <c r="E209" s="61">
        <v>10750</v>
      </c>
      <c r="F209" s="185"/>
      <c r="G209" s="98"/>
    </row>
    <row r="210" spans="1:7" ht="12.75">
      <c r="A210" s="97"/>
      <c r="B210" s="75"/>
      <c r="C210" s="187"/>
      <c r="D210" s="50">
        <v>3000</v>
      </c>
      <c r="E210" s="60">
        <f>SUM(E211:E211)</f>
        <v>3870</v>
      </c>
      <c r="F210" s="185"/>
      <c r="G210" s="98"/>
    </row>
    <row r="211" spans="1:7" ht="12.75">
      <c r="A211" s="97"/>
      <c r="B211" s="186"/>
      <c r="C211" s="69"/>
      <c r="D211" s="38">
        <v>3401</v>
      </c>
      <c r="E211" s="61">
        <v>3870</v>
      </c>
      <c r="F211" s="185"/>
      <c r="G211" s="98"/>
    </row>
    <row r="212" spans="1:7" ht="12.75">
      <c r="A212" s="97">
        <v>35</v>
      </c>
      <c r="B212" s="75" t="s">
        <v>614</v>
      </c>
      <c r="C212" s="73">
        <f>+E212+E216</f>
        <v>250100</v>
      </c>
      <c r="D212" s="50">
        <v>2000</v>
      </c>
      <c r="E212" s="60">
        <f>SUM(E213:E215)</f>
        <v>162000</v>
      </c>
      <c r="F212" s="185"/>
      <c r="G212" s="98"/>
    </row>
    <row r="213" spans="1:7" ht="12.75">
      <c r="A213" s="97"/>
      <c r="B213" s="75"/>
      <c r="C213" s="37"/>
      <c r="D213" s="45">
        <v>2104</v>
      </c>
      <c r="E213" s="61">
        <v>42000</v>
      </c>
      <c r="F213" s="185"/>
      <c r="G213" s="98"/>
    </row>
    <row r="214" spans="1:7" ht="12.75">
      <c r="A214" s="97"/>
      <c r="B214" s="75"/>
      <c r="C214" s="187"/>
      <c r="D214" s="45">
        <v>2501</v>
      </c>
      <c r="E214" s="61">
        <v>20000</v>
      </c>
      <c r="F214" s="185"/>
      <c r="G214" s="98"/>
    </row>
    <row r="215" spans="1:7" ht="12.75">
      <c r="A215" s="97"/>
      <c r="B215" s="75"/>
      <c r="C215" s="187"/>
      <c r="D215" s="45">
        <v>2601</v>
      </c>
      <c r="E215" s="61">
        <v>100000</v>
      </c>
      <c r="F215" s="185"/>
      <c r="G215" s="98"/>
    </row>
    <row r="216" spans="1:7" ht="12.75">
      <c r="A216" s="97"/>
      <c r="B216" s="75"/>
      <c r="C216" s="187"/>
      <c r="D216" s="50">
        <v>3000</v>
      </c>
      <c r="E216" s="60">
        <f>SUM(E217:E219)</f>
        <v>88100</v>
      </c>
      <c r="F216" s="185"/>
      <c r="G216" s="98"/>
    </row>
    <row r="217" spans="1:7" ht="12.75">
      <c r="A217" s="97"/>
      <c r="B217" s="75"/>
      <c r="C217" s="187"/>
      <c r="D217" s="38">
        <v>3301</v>
      </c>
      <c r="E217" s="61">
        <v>50000</v>
      </c>
      <c r="F217" s="185"/>
      <c r="G217" s="98"/>
    </row>
    <row r="218" spans="1:7" ht="12.75">
      <c r="A218" s="97"/>
      <c r="B218" s="75"/>
      <c r="C218" s="187"/>
      <c r="D218" s="38">
        <v>3702</v>
      </c>
      <c r="E218" s="61">
        <v>28000</v>
      </c>
      <c r="F218" s="185"/>
      <c r="G218" s="98"/>
    </row>
    <row r="219" spans="1:7" ht="12.75">
      <c r="A219" s="97"/>
      <c r="B219" s="186"/>
      <c r="C219" s="69"/>
      <c r="D219" s="38">
        <v>3703</v>
      </c>
      <c r="E219" s="61">
        <v>10100</v>
      </c>
      <c r="F219" s="185"/>
      <c r="G219" s="98"/>
    </row>
    <row r="220" spans="1:7" ht="29.25" customHeight="1">
      <c r="A220" s="97">
        <v>36</v>
      </c>
      <c r="B220" s="75" t="s">
        <v>616</v>
      </c>
      <c r="C220" s="73">
        <f>+E220+E223</f>
        <v>281110</v>
      </c>
      <c r="D220" s="50">
        <v>2000</v>
      </c>
      <c r="E220" s="60">
        <f>SUM(E221:E222)</f>
        <v>89650</v>
      </c>
      <c r="F220" s="185"/>
      <c r="G220" s="98"/>
    </row>
    <row r="221" spans="1:7" ht="12.75">
      <c r="A221" s="97"/>
      <c r="B221" s="75"/>
      <c r="C221" s="37"/>
      <c r="D221" s="45">
        <v>2101</v>
      </c>
      <c r="E221" s="61">
        <v>10000</v>
      </c>
      <c r="F221" s="185"/>
      <c r="G221" s="98"/>
    </row>
    <row r="222" spans="1:7" ht="12.75">
      <c r="A222" s="97"/>
      <c r="B222" s="75"/>
      <c r="C222" s="187"/>
      <c r="D222" s="45">
        <v>2201</v>
      </c>
      <c r="E222" s="61">
        <v>79650</v>
      </c>
      <c r="F222" s="185"/>
      <c r="G222" s="98"/>
    </row>
    <row r="223" spans="1:7" ht="12.75">
      <c r="A223" s="97"/>
      <c r="B223" s="75"/>
      <c r="C223" s="187"/>
      <c r="D223" s="50">
        <v>3000</v>
      </c>
      <c r="E223" s="60">
        <f>SUM(E224:E225)</f>
        <v>191460</v>
      </c>
      <c r="F223" s="185"/>
      <c r="G223" s="98"/>
    </row>
    <row r="224" spans="1:7" ht="12.75">
      <c r="A224" s="97"/>
      <c r="B224" s="75"/>
      <c r="C224" s="187"/>
      <c r="D224" s="38">
        <v>3701</v>
      </c>
      <c r="E224" s="61">
        <v>120700</v>
      </c>
      <c r="F224" s="185"/>
      <c r="G224" s="98"/>
    </row>
    <row r="225" spans="1:7" ht="12.75">
      <c r="A225" s="97"/>
      <c r="B225" s="186"/>
      <c r="C225" s="69"/>
      <c r="D225" s="38">
        <v>3702</v>
      </c>
      <c r="E225" s="61">
        <v>70760</v>
      </c>
      <c r="F225" s="185"/>
      <c r="G225" s="98"/>
    </row>
    <row r="226" spans="1:7" ht="12.75">
      <c r="A226" s="97">
        <v>37</v>
      </c>
      <c r="B226" s="75" t="s">
        <v>618</v>
      </c>
      <c r="C226" s="73">
        <f>+E226+E229</f>
        <v>35000</v>
      </c>
      <c r="D226" s="50">
        <v>2000</v>
      </c>
      <c r="E226" s="60">
        <f>SUM(E227:E228)</f>
        <v>15000</v>
      </c>
      <c r="F226" s="185"/>
      <c r="G226" s="98"/>
    </row>
    <row r="227" spans="1:7" ht="12.75">
      <c r="A227" s="97"/>
      <c r="B227" s="75"/>
      <c r="C227" s="37"/>
      <c r="D227" s="45">
        <v>2103</v>
      </c>
      <c r="E227" s="61">
        <v>10000</v>
      </c>
      <c r="F227" s="185"/>
      <c r="G227" s="98"/>
    </row>
    <row r="228" spans="1:7" ht="12.75">
      <c r="A228" s="97"/>
      <c r="B228" s="75"/>
      <c r="C228" s="187"/>
      <c r="D228" s="45">
        <v>2201</v>
      </c>
      <c r="E228" s="61">
        <v>5000</v>
      </c>
      <c r="F228" s="185"/>
      <c r="G228" s="98"/>
    </row>
    <row r="229" spans="1:7" ht="12.75">
      <c r="A229" s="97"/>
      <c r="B229" s="75"/>
      <c r="C229" s="187"/>
      <c r="D229" s="50">
        <v>3000</v>
      </c>
      <c r="E229" s="60">
        <f>SUM(E230:E231)</f>
        <v>20000</v>
      </c>
      <c r="F229" s="185"/>
      <c r="G229" s="98"/>
    </row>
    <row r="230" spans="1:7" ht="12.75">
      <c r="A230" s="97"/>
      <c r="B230" s="75"/>
      <c r="C230" s="187"/>
      <c r="D230" s="38">
        <v>3201</v>
      </c>
      <c r="E230" s="61">
        <v>5000</v>
      </c>
      <c r="F230" s="185"/>
      <c r="G230" s="98"/>
    </row>
    <row r="231" spans="1:7" ht="12.75">
      <c r="A231" s="97"/>
      <c r="B231" s="186"/>
      <c r="C231" s="69"/>
      <c r="D231" s="38">
        <v>3702</v>
      </c>
      <c r="E231" s="61">
        <v>15000</v>
      </c>
      <c r="F231" s="185"/>
      <c r="G231" s="98"/>
    </row>
    <row r="232" spans="1:7" s="129" customFormat="1" ht="12.75">
      <c r="A232" s="130"/>
      <c r="B232" s="134" t="s">
        <v>584</v>
      </c>
      <c r="C232" s="131">
        <f>SUM(C233:C331)</f>
        <v>1895000</v>
      </c>
      <c r="D232" s="132"/>
      <c r="E232" s="131">
        <f>SUM(E233:E331)/2</f>
        <v>1895000</v>
      </c>
      <c r="F232" s="164">
        <f>(3572650-C232)/3572650</f>
        <v>0.46958140316011926</v>
      </c>
      <c r="G232" s="133"/>
    </row>
    <row r="233" spans="1:7" ht="25.5">
      <c r="A233" s="97">
        <v>38</v>
      </c>
      <c r="B233" s="75" t="s">
        <v>325</v>
      </c>
      <c r="C233" s="99">
        <f>+E233+E237</f>
        <v>70500</v>
      </c>
      <c r="D233" s="78">
        <v>2000</v>
      </c>
      <c r="E233" s="79">
        <f>SUM(E234:E236)</f>
        <v>21730</v>
      </c>
      <c r="F233" s="107"/>
      <c r="G233" s="98"/>
    </row>
    <row r="234" spans="1:7" ht="12.75">
      <c r="A234" s="97"/>
      <c r="B234" s="75"/>
      <c r="C234" s="100"/>
      <c r="D234" s="44">
        <v>2101</v>
      </c>
      <c r="E234" s="58">
        <v>7315</v>
      </c>
      <c r="F234" s="109"/>
      <c r="G234" s="98"/>
    </row>
    <row r="235" spans="1:7" ht="12.75">
      <c r="A235" s="97"/>
      <c r="B235" s="75"/>
      <c r="C235" s="100"/>
      <c r="D235" s="44">
        <v>2201</v>
      </c>
      <c r="E235" s="58">
        <v>6315</v>
      </c>
      <c r="F235" s="109"/>
      <c r="G235" s="98"/>
    </row>
    <row r="236" spans="1:7" ht="12.75">
      <c r="A236" s="97"/>
      <c r="B236" s="75"/>
      <c r="C236" s="100"/>
      <c r="D236" s="44">
        <v>2601</v>
      </c>
      <c r="E236" s="58">
        <v>8100</v>
      </c>
      <c r="F236" s="109" t="s">
        <v>154</v>
      </c>
      <c r="G236" s="98"/>
    </row>
    <row r="237" spans="1:7" ht="12.75">
      <c r="A237" s="97"/>
      <c r="B237" s="75"/>
      <c r="C237" s="100"/>
      <c r="D237" s="49">
        <v>3000</v>
      </c>
      <c r="E237" s="59">
        <f>SUM(E238:E240)</f>
        <v>48770</v>
      </c>
      <c r="F237" s="109"/>
      <c r="G237" s="98"/>
    </row>
    <row r="238" spans="1:7" ht="12.75">
      <c r="A238" s="97"/>
      <c r="B238" s="75"/>
      <c r="C238" s="100"/>
      <c r="D238" s="44">
        <v>3301</v>
      </c>
      <c r="E238" s="58">
        <v>35000</v>
      </c>
      <c r="F238" s="109"/>
      <c r="G238" s="98"/>
    </row>
    <row r="239" spans="1:7" ht="12.75">
      <c r="A239" s="97"/>
      <c r="B239" s="75"/>
      <c r="C239" s="100"/>
      <c r="D239" s="44">
        <v>3401</v>
      </c>
      <c r="E239" s="58">
        <v>5000</v>
      </c>
      <c r="F239" s="109"/>
      <c r="G239" s="98"/>
    </row>
    <row r="240" spans="1:7" ht="12.75">
      <c r="A240" s="97"/>
      <c r="B240" s="76"/>
      <c r="C240" s="100"/>
      <c r="D240" s="44">
        <v>3907</v>
      </c>
      <c r="E240" s="58">
        <v>8770</v>
      </c>
      <c r="F240" s="109"/>
      <c r="G240" s="98"/>
    </row>
    <row r="241" spans="1:7" ht="12.75">
      <c r="A241" s="97">
        <v>39</v>
      </c>
      <c r="B241" s="75" t="s">
        <v>162</v>
      </c>
      <c r="C241" s="101">
        <f>+E241+E245</f>
        <v>50000</v>
      </c>
      <c r="D241" s="49">
        <v>2000</v>
      </c>
      <c r="E241" s="59">
        <f>SUM(E242:E244)</f>
        <v>42000</v>
      </c>
      <c r="F241" s="109"/>
      <c r="G241" s="98"/>
    </row>
    <row r="242" spans="1:7" ht="12.75">
      <c r="A242" s="97"/>
      <c r="B242" s="75"/>
      <c r="C242" s="100"/>
      <c r="D242" s="44">
        <v>2101</v>
      </c>
      <c r="E242" s="58">
        <v>5000</v>
      </c>
      <c r="F242" s="109"/>
      <c r="G242" s="98"/>
    </row>
    <row r="243" spans="1:7" ht="12.75">
      <c r="A243" s="97"/>
      <c r="B243" s="75"/>
      <c r="C243" s="100"/>
      <c r="D243" s="44">
        <v>2201</v>
      </c>
      <c r="E243" s="58">
        <v>24000</v>
      </c>
      <c r="F243" s="109"/>
      <c r="G243" s="98"/>
    </row>
    <row r="244" spans="1:7" ht="12.75">
      <c r="A244" s="97"/>
      <c r="B244" s="75"/>
      <c r="C244" s="100"/>
      <c r="D244" s="44">
        <v>2601</v>
      </c>
      <c r="E244" s="58">
        <v>13000</v>
      </c>
      <c r="F244" s="109" t="s">
        <v>154</v>
      </c>
      <c r="G244" s="98"/>
    </row>
    <row r="245" spans="1:7" ht="12.75">
      <c r="A245" s="97"/>
      <c r="B245" s="75"/>
      <c r="C245" s="100"/>
      <c r="D245" s="49">
        <v>3000</v>
      </c>
      <c r="E245" s="59">
        <f>SUM(E246)</f>
        <v>8000</v>
      </c>
      <c r="F245" s="109"/>
      <c r="G245" s="98"/>
    </row>
    <row r="246" spans="1:7" ht="12.75">
      <c r="A246" s="97"/>
      <c r="B246" s="76"/>
      <c r="C246" s="100"/>
      <c r="D246" s="44">
        <v>3907</v>
      </c>
      <c r="E246" s="58">
        <v>8000</v>
      </c>
      <c r="F246" s="109"/>
      <c r="G246" s="98"/>
    </row>
    <row r="247" spans="1:7" ht="25.5">
      <c r="A247" s="97">
        <v>40</v>
      </c>
      <c r="B247" s="75" t="s">
        <v>428</v>
      </c>
      <c r="C247" s="48">
        <f>+E247+E251</f>
        <v>100000</v>
      </c>
      <c r="D247" s="49">
        <v>2000</v>
      </c>
      <c r="E247" s="59">
        <f>SUM(E248:E250)</f>
        <v>37500</v>
      </c>
      <c r="F247" s="109"/>
      <c r="G247" s="98"/>
    </row>
    <row r="248" spans="1:7" ht="12.75">
      <c r="A248" s="97"/>
      <c r="B248" s="75"/>
      <c r="C248" s="48"/>
      <c r="D248" s="44">
        <v>2102</v>
      </c>
      <c r="E248" s="58">
        <v>2500</v>
      </c>
      <c r="F248" s="109"/>
      <c r="G248" s="98"/>
    </row>
    <row r="249" spans="1:7" ht="12.75">
      <c r="A249" s="97"/>
      <c r="B249" s="75"/>
      <c r="C249" s="49"/>
      <c r="D249" s="44">
        <v>2201</v>
      </c>
      <c r="E249" s="58">
        <v>15000</v>
      </c>
      <c r="F249" s="109"/>
      <c r="G249" s="98"/>
    </row>
    <row r="250" spans="1:7" ht="12.75">
      <c r="A250" s="97"/>
      <c r="B250" s="75"/>
      <c r="C250" s="49"/>
      <c r="D250" s="44">
        <v>2601</v>
      </c>
      <c r="E250" s="58">
        <v>20000</v>
      </c>
      <c r="F250" s="109" t="s">
        <v>154</v>
      </c>
      <c r="G250" s="98"/>
    </row>
    <row r="251" spans="1:7" ht="12.75">
      <c r="A251" s="97"/>
      <c r="B251" s="75"/>
      <c r="C251" s="49"/>
      <c r="D251" s="49">
        <v>3000</v>
      </c>
      <c r="E251" s="59">
        <f>SUM(E252:E256)</f>
        <v>62500</v>
      </c>
      <c r="F251" s="109"/>
      <c r="G251" s="98"/>
    </row>
    <row r="252" spans="1:7" ht="12.75">
      <c r="A252" s="97"/>
      <c r="B252" s="75"/>
      <c r="C252" s="49"/>
      <c r="D252" s="44">
        <v>3201</v>
      </c>
      <c r="E252" s="58">
        <v>15000</v>
      </c>
      <c r="F252" s="109"/>
      <c r="G252" s="98"/>
    </row>
    <row r="253" spans="1:7" ht="12.75">
      <c r="A253" s="97"/>
      <c r="B253" s="75"/>
      <c r="C253" s="49"/>
      <c r="D253" s="44">
        <v>3606</v>
      </c>
      <c r="E253" s="58">
        <v>2000</v>
      </c>
      <c r="F253" s="109"/>
      <c r="G253" s="98"/>
    </row>
    <row r="254" spans="1:7" ht="12.75">
      <c r="A254" s="97"/>
      <c r="B254" s="75"/>
      <c r="C254" s="49"/>
      <c r="D254" s="44">
        <v>3702</v>
      </c>
      <c r="E254" s="58">
        <v>17000</v>
      </c>
      <c r="F254" s="109" t="s">
        <v>232</v>
      </c>
      <c r="G254" s="98"/>
    </row>
    <row r="255" spans="1:7" ht="12.75">
      <c r="A255" s="97"/>
      <c r="B255" s="75"/>
      <c r="C255" s="49"/>
      <c r="D255" s="44">
        <v>3801</v>
      </c>
      <c r="E255" s="58">
        <v>4000</v>
      </c>
      <c r="F255" s="109"/>
      <c r="G255" s="98"/>
    </row>
    <row r="256" spans="1:7" ht="12.75">
      <c r="A256" s="97"/>
      <c r="B256" s="76"/>
      <c r="C256" s="49"/>
      <c r="D256" s="44">
        <v>3802</v>
      </c>
      <c r="E256" s="58">
        <v>24500</v>
      </c>
      <c r="F256" s="109"/>
      <c r="G256" s="98"/>
    </row>
    <row r="257" spans="1:7" ht="25.5">
      <c r="A257" s="97">
        <v>41</v>
      </c>
      <c r="B257" s="75" t="s">
        <v>163</v>
      </c>
      <c r="C257" s="48">
        <f>+E257+E261</f>
        <v>230000</v>
      </c>
      <c r="D257" s="49">
        <v>2000</v>
      </c>
      <c r="E257" s="59">
        <f>SUM(E258:E260)</f>
        <v>43000</v>
      </c>
      <c r="F257" s="109"/>
      <c r="G257" s="98"/>
    </row>
    <row r="258" spans="1:7" ht="12.75">
      <c r="A258" s="97"/>
      <c r="B258" s="75"/>
      <c r="C258" s="49"/>
      <c r="D258" s="44">
        <v>2102</v>
      </c>
      <c r="E258" s="58">
        <v>3500</v>
      </c>
      <c r="F258" s="109"/>
      <c r="G258" s="98"/>
    </row>
    <row r="259" spans="1:7" ht="12.75">
      <c r="A259" s="97"/>
      <c r="B259" s="75"/>
      <c r="C259" s="49"/>
      <c r="D259" s="44">
        <v>2201</v>
      </c>
      <c r="E259" s="58">
        <v>20000</v>
      </c>
      <c r="F259" s="109"/>
      <c r="G259" s="98"/>
    </row>
    <row r="260" spans="1:7" ht="12.75">
      <c r="A260" s="97"/>
      <c r="B260" s="75"/>
      <c r="C260" s="49"/>
      <c r="D260" s="44">
        <v>2601</v>
      </c>
      <c r="E260" s="58">
        <v>19500</v>
      </c>
      <c r="F260" s="109" t="s">
        <v>154</v>
      </c>
      <c r="G260" s="98"/>
    </row>
    <row r="261" spans="1:7" ht="12.75">
      <c r="A261" s="97"/>
      <c r="B261" s="75"/>
      <c r="C261" s="49"/>
      <c r="D261" s="49">
        <v>3000</v>
      </c>
      <c r="E261" s="59">
        <f>SUM(E262:E265)</f>
        <v>187000</v>
      </c>
      <c r="F261" s="109"/>
      <c r="G261" s="98"/>
    </row>
    <row r="262" spans="1:7" ht="12.75">
      <c r="A262" s="97"/>
      <c r="B262" s="75"/>
      <c r="C262" s="49"/>
      <c r="D262" s="44">
        <v>3201</v>
      </c>
      <c r="E262" s="58">
        <v>50000</v>
      </c>
      <c r="F262" s="109"/>
      <c r="G262" s="98"/>
    </row>
    <row r="263" spans="1:7" ht="12.75">
      <c r="A263" s="97"/>
      <c r="B263" s="75"/>
      <c r="C263" s="49"/>
      <c r="D263" s="44">
        <v>3702</v>
      </c>
      <c r="E263" s="58">
        <v>20000</v>
      </c>
      <c r="F263" s="109" t="s">
        <v>232</v>
      </c>
      <c r="G263" s="98"/>
    </row>
    <row r="264" spans="1:7" ht="12.75">
      <c r="A264" s="97"/>
      <c r="B264" s="75"/>
      <c r="C264" s="49"/>
      <c r="D264" s="44">
        <v>3801</v>
      </c>
      <c r="E264" s="58">
        <v>26000</v>
      </c>
      <c r="F264" s="109"/>
      <c r="G264" s="98"/>
    </row>
    <row r="265" spans="1:7" ht="12.75">
      <c r="A265" s="97"/>
      <c r="B265" s="76"/>
      <c r="C265" s="49"/>
      <c r="D265" s="44">
        <v>3802</v>
      </c>
      <c r="E265" s="58">
        <v>91000</v>
      </c>
      <c r="F265" s="109"/>
      <c r="G265" s="98"/>
    </row>
    <row r="266" spans="1:7" ht="25.5">
      <c r="A266" s="97">
        <v>42</v>
      </c>
      <c r="B266" s="75" t="s">
        <v>164</v>
      </c>
      <c r="C266" s="48">
        <f>+E266+E270</f>
        <v>50000</v>
      </c>
      <c r="D266" s="49">
        <v>2000</v>
      </c>
      <c r="E266" s="59">
        <f>SUM(E267:E269)</f>
        <v>22000</v>
      </c>
      <c r="F266" s="109"/>
      <c r="G266" s="98"/>
    </row>
    <row r="267" spans="1:7" ht="12.75">
      <c r="A267" s="97"/>
      <c r="B267" s="75"/>
      <c r="C267" s="49"/>
      <c r="D267" s="44">
        <v>2101</v>
      </c>
      <c r="E267" s="58">
        <v>2000</v>
      </c>
      <c r="F267" s="109"/>
      <c r="G267" s="98"/>
    </row>
    <row r="268" spans="1:7" ht="12.75">
      <c r="A268" s="97"/>
      <c r="B268" s="75"/>
      <c r="C268" s="49"/>
      <c r="D268" s="44">
        <v>2201</v>
      </c>
      <c r="E268" s="58">
        <v>15000</v>
      </c>
      <c r="F268" s="109"/>
      <c r="G268" s="98"/>
    </row>
    <row r="269" spans="1:7" ht="12.75">
      <c r="A269" s="97"/>
      <c r="B269" s="75"/>
      <c r="C269" s="49"/>
      <c r="D269" s="44">
        <v>2601</v>
      </c>
      <c r="E269" s="58">
        <v>5000</v>
      </c>
      <c r="F269" s="109" t="s">
        <v>234</v>
      </c>
      <c r="G269" s="98"/>
    </row>
    <row r="270" spans="1:7" ht="12.75">
      <c r="A270" s="97"/>
      <c r="B270" s="75"/>
      <c r="C270" s="49"/>
      <c r="D270" s="49">
        <v>3000</v>
      </c>
      <c r="E270" s="59">
        <f>SUM(E271:E274)</f>
        <v>28000</v>
      </c>
      <c r="F270" s="109"/>
      <c r="G270" s="98"/>
    </row>
    <row r="271" spans="1:7" ht="12.75">
      <c r="A271" s="97"/>
      <c r="B271" s="75"/>
      <c r="C271" s="49"/>
      <c r="D271" s="44">
        <v>3301</v>
      </c>
      <c r="E271" s="58">
        <v>18000</v>
      </c>
      <c r="F271" s="109"/>
      <c r="G271" s="98"/>
    </row>
    <row r="272" spans="1:7" ht="12.75">
      <c r="A272" s="97"/>
      <c r="B272" s="75"/>
      <c r="C272" s="49"/>
      <c r="D272" s="44">
        <v>3401</v>
      </c>
      <c r="E272" s="58">
        <v>1000</v>
      </c>
      <c r="F272" s="109"/>
      <c r="G272" s="98"/>
    </row>
    <row r="273" spans="1:7" ht="12.75">
      <c r="A273" s="97"/>
      <c r="B273" s="75"/>
      <c r="C273" s="49"/>
      <c r="D273" s="44">
        <v>3702</v>
      </c>
      <c r="E273" s="58">
        <v>7000</v>
      </c>
      <c r="F273" s="109" t="s">
        <v>232</v>
      </c>
      <c r="G273" s="98"/>
    </row>
    <row r="274" spans="1:7" ht="12.75">
      <c r="A274" s="97"/>
      <c r="B274" s="76"/>
      <c r="C274" s="49"/>
      <c r="D274" s="44">
        <v>3907</v>
      </c>
      <c r="E274" s="58">
        <v>2000</v>
      </c>
      <c r="F274" s="109"/>
      <c r="G274" s="98"/>
    </row>
    <row r="275" spans="1:7" ht="12.75">
      <c r="A275" s="97">
        <v>43</v>
      </c>
      <c r="B275" s="75" t="s">
        <v>165</v>
      </c>
      <c r="C275" s="48">
        <f>+E275</f>
        <v>70000</v>
      </c>
      <c r="D275" s="49">
        <v>3000</v>
      </c>
      <c r="E275" s="59">
        <f>SUM(E276:E278)</f>
        <v>70000</v>
      </c>
      <c r="F275" s="109"/>
      <c r="G275" s="98"/>
    </row>
    <row r="276" spans="1:7" ht="12.75">
      <c r="A276" s="97"/>
      <c r="B276" s="75"/>
      <c r="C276" s="49"/>
      <c r="D276" s="44">
        <v>3602</v>
      </c>
      <c r="E276" s="58">
        <v>48000</v>
      </c>
      <c r="F276" s="109"/>
      <c r="G276" s="98"/>
    </row>
    <row r="277" spans="1:7" ht="12.75">
      <c r="A277" s="97"/>
      <c r="B277" s="75"/>
      <c r="C277" s="49"/>
      <c r="D277" s="44">
        <v>3603</v>
      </c>
      <c r="E277" s="58">
        <v>10000</v>
      </c>
      <c r="F277" s="109"/>
      <c r="G277" s="98"/>
    </row>
    <row r="278" spans="1:7" ht="12.75">
      <c r="A278" s="97"/>
      <c r="B278" s="76"/>
      <c r="C278" s="49"/>
      <c r="D278" s="44">
        <v>3907</v>
      </c>
      <c r="E278" s="58">
        <v>12000</v>
      </c>
      <c r="F278" s="109"/>
      <c r="G278" s="98"/>
    </row>
    <row r="279" spans="1:7" ht="25.5">
      <c r="A279" s="97">
        <v>44</v>
      </c>
      <c r="B279" s="75" t="s">
        <v>429</v>
      </c>
      <c r="C279" s="48">
        <f>+E279+E283</f>
        <v>40000</v>
      </c>
      <c r="D279" s="49">
        <v>2000</v>
      </c>
      <c r="E279" s="59">
        <f>SUM(E280:E282)</f>
        <v>32000</v>
      </c>
      <c r="F279" s="109"/>
      <c r="G279" s="98"/>
    </row>
    <row r="280" spans="1:7" ht="12.75">
      <c r="A280" s="97"/>
      <c r="B280" s="75"/>
      <c r="C280" s="49"/>
      <c r="D280" s="44">
        <v>2101</v>
      </c>
      <c r="E280" s="58">
        <v>5000</v>
      </c>
      <c r="F280" s="109"/>
      <c r="G280" s="98"/>
    </row>
    <row r="281" spans="1:7" ht="12.75">
      <c r="A281" s="97"/>
      <c r="B281" s="75"/>
      <c r="C281" s="49"/>
      <c r="D281" s="44">
        <v>2201</v>
      </c>
      <c r="E281" s="58">
        <v>2000</v>
      </c>
      <c r="F281" s="109"/>
      <c r="G281" s="98"/>
    </row>
    <row r="282" spans="1:7" ht="12.75">
      <c r="A282" s="97"/>
      <c r="B282" s="75"/>
      <c r="C282" s="49"/>
      <c r="D282" s="44">
        <v>2601</v>
      </c>
      <c r="E282" s="58">
        <v>25000</v>
      </c>
      <c r="F282" s="109" t="s">
        <v>154</v>
      </c>
      <c r="G282" s="98"/>
    </row>
    <row r="283" spans="1:7" ht="12.75">
      <c r="A283" s="97"/>
      <c r="B283" s="75"/>
      <c r="C283" s="49"/>
      <c r="D283" s="49">
        <v>3000</v>
      </c>
      <c r="E283" s="59">
        <f>SUM(E284:E285)</f>
        <v>8000</v>
      </c>
      <c r="F283" s="109"/>
      <c r="G283" s="98"/>
    </row>
    <row r="284" spans="1:7" ht="12.75">
      <c r="A284" s="97"/>
      <c r="B284" s="75"/>
      <c r="C284" s="49"/>
      <c r="D284" s="44">
        <v>3401</v>
      </c>
      <c r="E284" s="58">
        <v>2000</v>
      </c>
      <c r="F284" s="109"/>
      <c r="G284" s="98"/>
    </row>
    <row r="285" spans="1:7" ht="12.75">
      <c r="A285" s="97"/>
      <c r="B285" s="76"/>
      <c r="C285" s="49"/>
      <c r="D285" s="44">
        <v>3907</v>
      </c>
      <c r="E285" s="58">
        <v>6000</v>
      </c>
      <c r="F285" s="109"/>
      <c r="G285" s="98"/>
    </row>
    <row r="286" spans="1:7" ht="25.5">
      <c r="A286" s="97">
        <v>45</v>
      </c>
      <c r="B286" s="75" t="s">
        <v>430</v>
      </c>
      <c r="C286" s="48">
        <f>+E286+E290</f>
        <v>200000</v>
      </c>
      <c r="D286" s="49">
        <v>2000</v>
      </c>
      <c r="E286" s="59">
        <f>SUM(E287:E289)</f>
        <v>80000</v>
      </c>
      <c r="F286" s="109"/>
      <c r="G286" s="98"/>
    </row>
    <row r="287" spans="1:7" ht="12.75">
      <c r="A287" s="97"/>
      <c r="B287" s="75"/>
      <c r="C287" s="49"/>
      <c r="D287" s="44">
        <v>2101</v>
      </c>
      <c r="E287" s="58">
        <v>35000</v>
      </c>
      <c r="F287" s="109"/>
      <c r="G287" s="98"/>
    </row>
    <row r="288" spans="1:7" ht="12.75">
      <c r="A288" s="97"/>
      <c r="B288" s="75"/>
      <c r="C288" s="49"/>
      <c r="D288" s="44">
        <v>2201</v>
      </c>
      <c r="E288" s="58">
        <v>25000</v>
      </c>
      <c r="F288" s="109"/>
      <c r="G288" s="98"/>
    </row>
    <row r="289" spans="1:7" ht="12.75">
      <c r="A289" s="97"/>
      <c r="B289" s="75"/>
      <c r="C289" s="49"/>
      <c r="D289" s="44">
        <v>2601</v>
      </c>
      <c r="E289" s="58">
        <v>20000</v>
      </c>
      <c r="F289" s="109" t="s">
        <v>154</v>
      </c>
      <c r="G289" s="98"/>
    </row>
    <row r="290" spans="1:7" ht="12.75">
      <c r="A290" s="97"/>
      <c r="B290" s="75"/>
      <c r="C290" s="49"/>
      <c r="D290" s="49">
        <v>3000</v>
      </c>
      <c r="E290" s="59">
        <f>SUM(E291:E293)</f>
        <v>120000</v>
      </c>
      <c r="F290" s="109"/>
      <c r="G290" s="98"/>
    </row>
    <row r="291" spans="1:7" ht="12.75">
      <c r="A291" s="97"/>
      <c r="B291" s="75"/>
      <c r="C291" s="49"/>
      <c r="D291" s="44">
        <v>3702</v>
      </c>
      <c r="E291" s="58">
        <v>35000</v>
      </c>
      <c r="F291" s="109" t="s">
        <v>232</v>
      </c>
      <c r="G291" s="98"/>
    </row>
    <row r="292" spans="1:7" ht="12.75">
      <c r="A292" s="97"/>
      <c r="B292" s="75"/>
      <c r="C292" s="49"/>
      <c r="D292" s="44">
        <v>3801</v>
      </c>
      <c r="E292" s="58">
        <v>35000</v>
      </c>
      <c r="F292" s="109"/>
      <c r="G292" s="98"/>
    </row>
    <row r="293" spans="1:7" ht="12.75">
      <c r="A293" s="97"/>
      <c r="B293" s="76"/>
      <c r="C293" s="49"/>
      <c r="D293" s="44">
        <v>3701</v>
      </c>
      <c r="E293" s="58">
        <v>50000</v>
      </c>
      <c r="F293" s="109"/>
      <c r="G293" s="98"/>
    </row>
    <row r="294" spans="1:7" ht="12.75">
      <c r="A294" s="97"/>
      <c r="B294" s="75"/>
      <c r="C294" s="48">
        <f>+E294+E298</f>
        <v>58000</v>
      </c>
      <c r="D294" s="49">
        <v>2000</v>
      </c>
      <c r="E294" s="59">
        <f>SUM(E295:E297)</f>
        <v>31000</v>
      </c>
      <c r="F294" s="109"/>
      <c r="G294" s="98"/>
    </row>
    <row r="295" spans="1:7" ht="25.5">
      <c r="A295" s="97">
        <v>46</v>
      </c>
      <c r="B295" s="75" t="s">
        <v>431</v>
      </c>
      <c r="C295" s="49"/>
      <c r="D295" s="44">
        <v>2101</v>
      </c>
      <c r="E295" s="58">
        <v>6000</v>
      </c>
      <c r="F295" s="109"/>
      <c r="G295" s="98"/>
    </row>
    <row r="296" spans="1:7" ht="12.75">
      <c r="A296" s="97"/>
      <c r="B296" s="75"/>
      <c r="C296" s="49"/>
      <c r="D296" s="44">
        <v>2201</v>
      </c>
      <c r="E296" s="58">
        <v>15000</v>
      </c>
      <c r="F296" s="109"/>
      <c r="G296" s="98"/>
    </row>
    <row r="297" spans="1:7" ht="12.75">
      <c r="A297" s="97"/>
      <c r="B297" s="75"/>
      <c r="C297" s="49"/>
      <c r="D297" s="44">
        <v>2601</v>
      </c>
      <c r="E297" s="58">
        <v>10000</v>
      </c>
      <c r="F297" s="109" t="s">
        <v>154</v>
      </c>
      <c r="G297" s="98"/>
    </row>
    <row r="298" spans="1:7" ht="12.75">
      <c r="A298" s="97"/>
      <c r="B298" s="75"/>
      <c r="C298" s="49"/>
      <c r="D298" s="49">
        <v>3000</v>
      </c>
      <c r="E298" s="59">
        <f>SUM(E299:E300)</f>
        <v>27000</v>
      </c>
      <c r="F298" s="109"/>
      <c r="G298" s="98"/>
    </row>
    <row r="299" spans="1:7" ht="12.75">
      <c r="A299" s="97"/>
      <c r="B299" s="75"/>
      <c r="C299" s="49"/>
      <c r="D299" s="44">
        <v>3801</v>
      </c>
      <c r="E299" s="58">
        <v>20000</v>
      </c>
      <c r="F299" s="109"/>
      <c r="G299" s="98"/>
    </row>
    <row r="300" spans="1:7" ht="12.75">
      <c r="A300" s="97"/>
      <c r="B300" s="76"/>
      <c r="C300" s="49"/>
      <c r="D300" s="44">
        <v>3904</v>
      </c>
      <c r="E300" s="58">
        <v>7000</v>
      </c>
      <c r="F300" s="109"/>
      <c r="G300" s="98"/>
    </row>
    <row r="301" spans="1:7" ht="38.25">
      <c r="A301" s="97">
        <v>47</v>
      </c>
      <c r="B301" s="75" t="s">
        <v>432</v>
      </c>
      <c r="C301" s="48">
        <f>+E301+E306</f>
        <v>150000</v>
      </c>
      <c r="D301" s="49">
        <v>2000</v>
      </c>
      <c r="E301" s="59">
        <f>SUM(E302:E305)</f>
        <v>60000</v>
      </c>
      <c r="F301" s="109"/>
      <c r="G301" s="98"/>
    </row>
    <row r="302" spans="1:7" ht="12.75">
      <c r="A302" s="97"/>
      <c r="B302" s="75"/>
      <c r="C302" s="49"/>
      <c r="D302" s="44">
        <v>2101</v>
      </c>
      <c r="E302" s="58">
        <v>20000</v>
      </c>
      <c r="F302" s="109"/>
      <c r="G302" s="98"/>
    </row>
    <row r="303" spans="1:7" ht="12.75">
      <c r="A303" s="97"/>
      <c r="B303" s="75"/>
      <c r="C303" s="49"/>
      <c r="D303" s="44">
        <v>2104</v>
      </c>
      <c r="E303" s="58">
        <v>5000</v>
      </c>
      <c r="F303" s="109"/>
      <c r="G303" s="98"/>
    </row>
    <row r="304" spans="1:7" ht="12.75">
      <c r="A304" s="97"/>
      <c r="B304" s="75"/>
      <c r="C304" s="49"/>
      <c r="D304" s="44">
        <v>2201</v>
      </c>
      <c r="E304" s="58">
        <v>25000</v>
      </c>
      <c r="F304" s="109"/>
      <c r="G304" s="98"/>
    </row>
    <row r="305" spans="1:7" ht="12.75">
      <c r="A305" s="97"/>
      <c r="B305" s="75"/>
      <c r="C305" s="49"/>
      <c r="D305" s="44">
        <v>2602</v>
      </c>
      <c r="E305" s="58">
        <v>10000</v>
      </c>
      <c r="F305" s="109"/>
      <c r="G305" s="98"/>
    </row>
    <row r="306" spans="1:7" ht="12.75">
      <c r="A306" s="97"/>
      <c r="B306" s="75"/>
      <c r="C306" s="49"/>
      <c r="D306" s="49">
        <v>3000</v>
      </c>
      <c r="E306" s="59">
        <f>SUM(E307:E307)</f>
        <v>90000</v>
      </c>
      <c r="F306" s="109"/>
      <c r="G306" s="98"/>
    </row>
    <row r="307" spans="1:7" ht="12.75">
      <c r="A307" s="97"/>
      <c r="B307" s="76"/>
      <c r="C307" s="49"/>
      <c r="D307" s="44">
        <v>3602</v>
      </c>
      <c r="E307" s="58">
        <v>90000</v>
      </c>
      <c r="F307" s="109"/>
      <c r="G307" s="98"/>
    </row>
    <row r="308" spans="1:7" ht="12.75">
      <c r="A308" s="97">
        <v>48</v>
      </c>
      <c r="B308" s="75" t="s">
        <v>449</v>
      </c>
      <c r="C308" s="48">
        <f>+E308+E311</f>
        <v>37500</v>
      </c>
      <c r="D308" s="49">
        <v>2000</v>
      </c>
      <c r="E308" s="59">
        <f>SUM(E309:E310)</f>
        <v>12500</v>
      </c>
      <c r="F308" s="109"/>
      <c r="G308" s="98"/>
    </row>
    <row r="309" spans="1:7" ht="12.75">
      <c r="A309" s="97"/>
      <c r="B309" s="75"/>
      <c r="C309" s="49"/>
      <c r="D309" s="44">
        <v>2101</v>
      </c>
      <c r="E309" s="58">
        <v>5000</v>
      </c>
      <c r="F309" s="109"/>
      <c r="G309" s="98"/>
    </row>
    <row r="310" spans="1:7" ht="12.75">
      <c r="A310" s="97"/>
      <c r="B310" s="75"/>
      <c r="C310" s="49"/>
      <c r="D310" s="44">
        <v>2104</v>
      </c>
      <c r="E310" s="58">
        <v>7500</v>
      </c>
      <c r="F310" s="109"/>
      <c r="G310" s="98"/>
    </row>
    <row r="311" spans="1:7" ht="12.75">
      <c r="A311" s="97"/>
      <c r="B311" s="75"/>
      <c r="C311" s="49"/>
      <c r="D311" s="49">
        <v>3000</v>
      </c>
      <c r="E311" s="59">
        <f>+E312</f>
        <v>25000</v>
      </c>
      <c r="F311" s="109"/>
      <c r="G311" s="98"/>
    </row>
    <row r="312" spans="1:7" ht="12.75">
      <c r="A312" s="97"/>
      <c r="B312" s="76"/>
      <c r="C312" s="49"/>
      <c r="D312" s="44">
        <v>3904</v>
      </c>
      <c r="E312" s="58">
        <v>25000</v>
      </c>
      <c r="F312" s="109"/>
      <c r="G312" s="98"/>
    </row>
    <row r="313" spans="1:7" ht="25.5">
      <c r="A313" s="97">
        <v>49</v>
      </c>
      <c r="B313" s="75" t="s">
        <v>433</v>
      </c>
      <c r="C313" s="48">
        <f>+E313+E316</f>
        <v>462000</v>
      </c>
      <c r="D313" s="49">
        <v>2000</v>
      </c>
      <c r="E313" s="59">
        <f>SUM(E314:E315)</f>
        <v>30000</v>
      </c>
      <c r="F313" s="109"/>
      <c r="G313" s="98"/>
    </row>
    <row r="314" spans="1:7" ht="12.75">
      <c r="A314" s="97"/>
      <c r="B314" s="75"/>
      <c r="C314" s="49"/>
      <c r="D314" s="44">
        <v>2101</v>
      </c>
      <c r="E314" s="58">
        <v>15000</v>
      </c>
      <c r="F314" s="109"/>
      <c r="G314" s="98"/>
    </row>
    <row r="315" spans="1:7" ht="12.75">
      <c r="A315" s="97"/>
      <c r="B315" s="75"/>
      <c r="C315" s="49"/>
      <c r="D315" s="44">
        <v>2104</v>
      </c>
      <c r="E315" s="58">
        <v>15000</v>
      </c>
      <c r="F315" s="109"/>
      <c r="G315" s="98"/>
    </row>
    <row r="316" spans="1:7" ht="12.75">
      <c r="A316" s="97"/>
      <c r="B316" s="75"/>
      <c r="C316" s="49"/>
      <c r="D316" s="49">
        <v>3000</v>
      </c>
      <c r="E316" s="59">
        <f>SUM(E317:E319)</f>
        <v>432000</v>
      </c>
      <c r="F316" s="109"/>
      <c r="G316" s="98"/>
    </row>
    <row r="317" spans="1:7" ht="12.75">
      <c r="A317" s="97"/>
      <c r="B317" s="75"/>
      <c r="C317" s="49"/>
      <c r="D317" s="44">
        <v>3103</v>
      </c>
      <c r="E317" s="58">
        <v>20000</v>
      </c>
      <c r="F317" s="109"/>
      <c r="G317" s="98"/>
    </row>
    <row r="318" spans="1:7" ht="12.75">
      <c r="A318" s="97"/>
      <c r="B318" s="75"/>
      <c r="C318" s="49"/>
      <c r="D318" s="44">
        <v>3401</v>
      </c>
      <c r="E318" s="58">
        <v>50000</v>
      </c>
      <c r="F318" s="109"/>
      <c r="G318" s="98"/>
    </row>
    <row r="319" spans="1:7" ht="12.75">
      <c r="A319" s="97"/>
      <c r="B319" s="76"/>
      <c r="C319" s="49"/>
      <c r="D319" s="44">
        <v>3602</v>
      </c>
      <c r="E319" s="58">
        <v>362000</v>
      </c>
      <c r="F319" s="109"/>
      <c r="G319" s="98"/>
    </row>
    <row r="320" spans="1:7" ht="12.75">
      <c r="A320" s="97">
        <v>50</v>
      </c>
      <c r="B320" s="75" t="s">
        <v>434</v>
      </c>
      <c r="C320" s="48">
        <f>+E320+E322</f>
        <v>60000</v>
      </c>
      <c r="D320" s="49">
        <v>2000</v>
      </c>
      <c r="E320" s="59">
        <f>+E321</f>
        <v>10000</v>
      </c>
      <c r="F320" s="109"/>
      <c r="G320" s="98"/>
    </row>
    <row r="321" spans="1:7" ht="12.75">
      <c r="A321" s="97"/>
      <c r="B321" s="75"/>
      <c r="C321" s="49"/>
      <c r="D321" s="44">
        <v>2101</v>
      </c>
      <c r="E321" s="58">
        <v>10000</v>
      </c>
      <c r="F321" s="109"/>
      <c r="G321" s="98"/>
    </row>
    <row r="322" spans="1:7" ht="12.75">
      <c r="A322" s="97"/>
      <c r="B322" s="75"/>
      <c r="C322" s="49"/>
      <c r="D322" s="49">
        <v>3000</v>
      </c>
      <c r="E322" s="59">
        <f>+E323</f>
        <v>50000</v>
      </c>
      <c r="F322" s="109"/>
      <c r="G322" s="98"/>
    </row>
    <row r="323" spans="1:7" ht="12.75">
      <c r="A323" s="97"/>
      <c r="B323" s="76"/>
      <c r="C323" s="58"/>
      <c r="D323" s="44">
        <v>3604</v>
      </c>
      <c r="E323" s="58">
        <v>50000</v>
      </c>
      <c r="F323" s="109"/>
      <c r="G323" s="98"/>
    </row>
    <row r="324" spans="1:7" ht="12.75">
      <c r="A324" s="97">
        <v>51</v>
      </c>
      <c r="B324" s="865" t="s">
        <v>587</v>
      </c>
      <c r="C324" s="59">
        <v>20000</v>
      </c>
      <c r="D324" s="49">
        <v>3000</v>
      </c>
      <c r="E324" s="59">
        <f>+E325</f>
        <v>20000</v>
      </c>
      <c r="F324" s="109"/>
      <c r="G324" s="98"/>
    </row>
    <row r="325" spans="1:7" ht="12.75">
      <c r="A325" s="97"/>
      <c r="B325" s="872"/>
      <c r="C325" s="59"/>
      <c r="D325" s="44">
        <v>3602</v>
      </c>
      <c r="E325" s="58">
        <v>20000</v>
      </c>
      <c r="F325" s="109"/>
      <c r="G325" s="98"/>
    </row>
    <row r="326" spans="1:7" ht="12.75">
      <c r="A326" s="97">
        <v>52</v>
      </c>
      <c r="B326" s="180" t="s">
        <v>589</v>
      </c>
      <c r="C326" s="59">
        <v>80000</v>
      </c>
      <c r="D326" s="49">
        <v>3000</v>
      </c>
      <c r="E326" s="59">
        <f>+E327</f>
        <v>80000</v>
      </c>
      <c r="F326" s="109"/>
      <c r="G326" s="98"/>
    </row>
    <row r="327" spans="1:7" ht="12.75">
      <c r="A327" s="97"/>
      <c r="B327" s="181"/>
      <c r="C327" s="59"/>
      <c r="D327" s="44">
        <v>3602</v>
      </c>
      <c r="E327" s="58">
        <v>80000</v>
      </c>
      <c r="F327" s="109"/>
      <c r="G327" s="98"/>
    </row>
    <row r="328" spans="1:7" ht="12.75">
      <c r="A328" s="97">
        <v>53</v>
      </c>
      <c r="B328" s="180" t="s">
        <v>596</v>
      </c>
      <c r="C328" s="59">
        <v>25000</v>
      </c>
      <c r="D328" s="49">
        <v>3000</v>
      </c>
      <c r="E328" s="59">
        <f>+E329</f>
        <v>25000</v>
      </c>
      <c r="F328" s="109"/>
      <c r="G328" s="98"/>
    </row>
    <row r="329" spans="1:7" ht="12.75">
      <c r="A329" s="97"/>
      <c r="B329" s="181"/>
      <c r="C329" s="59"/>
      <c r="D329" s="44">
        <v>3301</v>
      </c>
      <c r="E329" s="58">
        <v>25000</v>
      </c>
      <c r="F329" s="109"/>
      <c r="G329" s="98"/>
    </row>
    <row r="330" spans="1:7" ht="12.75">
      <c r="A330" s="97">
        <v>54</v>
      </c>
      <c r="B330" s="180" t="s">
        <v>594</v>
      </c>
      <c r="C330" s="59">
        <v>192000</v>
      </c>
      <c r="D330" s="49">
        <v>3000</v>
      </c>
      <c r="E330" s="59">
        <f>+E331</f>
        <v>192000</v>
      </c>
      <c r="F330" s="109"/>
      <c r="G330" s="98"/>
    </row>
    <row r="331" spans="1:7" ht="12.75">
      <c r="A331" s="97"/>
      <c r="B331" s="120"/>
      <c r="C331" s="58"/>
      <c r="D331" s="44">
        <v>3301</v>
      </c>
      <c r="E331" s="58">
        <v>192000</v>
      </c>
      <c r="F331" s="109"/>
      <c r="G331" s="98"/>
    </row>
    <row r="332" spans="1:7" s="129" customFormat="1" ht="12.75">
      <c r="A332" s="130"/>
      <c r="B332" s="134" t="s">
        <v>578</v>
      </c>
      <c r="C332" s="131">
        <f>SUM(C333:C384)</f>
        <v>7064283</v>
      </c>
      <c r="D332" s="132"/>
      <c r="E332" s="131">
        <f>SUM(E333:E384)/2</f>
        <v>7064283</v>
      </c>
      <c r="F332" s="164">
        <f>(5314283-C332)/5314283</f>
        <v>-0.32930124346031253</v>
      </c>
      <c r="G332" s="133"/>
    </row>
    <row r="333" spans="1:39" s="41" customFormat="1" ht="25.5">
      <c r="A333" s="97">
        <v>55</v>
      </c>
      <c r="B333" s="75" t="s">
        <v>402</v>
      </c>
      <c r="C333" s="48">
        <f>+E333+E338</f>
        <v>2030000</v>
      </c>
      <c r="D333" s="49">
        <v>2000</v>
      </c>
      <c r="E333" s="59">
        <f>SUM(E334:E337)</f>
        <v>230000</v>
      </c>
      <c r="F333" s="109"/>
      <c r="G333" s="98"/>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row>
    <row r="334" spans="1:39" s="41" customFormat="1" ht="12.75" customHeight="1">
      <c r="A334" s="97"/>
      <c r="B334" s="75"/>
      <c r="C334" s="48"/>
      <c r="D334" s="44">
        <v>2101</v>
      </c>
      <c r="E334" s="58">
        <v>85000</v>
      </c>
      <c r="F334" s="109"/>
      <c r="G334" s="98"/>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row>
    <row r="335" spans="1:39" s="41" customFormat="1" ht="12.75">
      <c r="A335" s="97"/>
      <c r="B335" s="75"/>
      <c r="C335" s="48"/>
      <c r="D335" s="44">
        <v>2104</v>
      </c>
      <c r="E335" s="58">
        <v>15000</v>
      </c>
      <c r="F335" s="109"/>
      <c r="G335" s="98"/>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row>
    <row r="336" spans="1:39" s="41" customFormat="1" ht="12.75">
      <c r="A336" s="97"/>
      <c r="B336" s="75"/>
      <c r="C336" s="48"/>
      <c r="D336" s="44">
        <v>2105</v>
      </c>
      <c r="E336" s="58">
        <v>115000</v>
      </c>
      <c r="F336" s="109"/>
      <c r="G336" s="98"/>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row>
    <row r="337" spans="1:39" s="41" customFormat="1" ht="12.75">
      <c r="A337" s="97"/>
      <c r="B337" s="76"/>
      <c r="C337" s="48"/>
      <c r="D337" s="44">
        <v>2201</v>
      </c>
      <c r="E337" s="58">
        <v>15000</v>
      </c>
      <c r="F337" s="109"/>
      <c r="G337" s="98"/>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row>
    <row r="338" spans="1:39" s="41" customFormat="1" ht="12.75">
      <c r="A338" s="97"/>
      <c r="B338" s="75"/>
      <c r="C338" s="48"/>
      <c r="D338" s="49">
        <v>3000</v>
      </c>
      <c r="E338" s="59">
        <f>+E339</f>
        <v>1800000</v>
      </c>
      <c r="F338" s="109"/>
      <c r="G338" s="98"/>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row>
    <row r="339" spans="1:39" s="41" customFormat="1" ht="12.75">
      <c r="A339" s="97"/>
      <c r="B339" s="75"/>
      <c r="C339" s="48"/>
      <c r="D339" s="44">
        <v>3907</v>
      </c>
      <c r="E339" s="58">
        <v>1800000</v>
      </c>
      <c r="F339" s="109"/>
      <c r="G339" s="98"/>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row>
    <row r="340" spans="1:7" ht="12.75">
      <c r="A340" s="97">
        <v>56</v>
      </c>
      <c r="B340" s="75" t="s">
        <v>403</v>
      </c>
      <c r="C340" s="48">
        <f>+E340</f>
        <v>20000</v>
      </c>
      <c r="D340" s="49">
        <v>2000</v>
      </c>
      <c r="E340" s="59">
        <f>SUM(E341:E342)</f>
        <v>20000</v>
      </c>
      <c r="F340" s="109"/>
      <c r="G340" s="98"/>
    </row>
    <row r="341" spans="1:7" ht="12.75">
      <c r="A341" s="97"/>
      <c r="B341" s="75"/>
      <c r="C341" s="48"/>
      <c r="D341" s="44">
        <v>2101</v>
      </c>
      <c r="E341" s="58">
        <v>10000</v>
      </c>
      <c r="F341" s="109"/>
      <c r="G341" s="98"/>
    </row>
    <row r="342" spans="1:7" ht="12.75">
      <c r="A342" s="97"/>
      <c r="B342" s="76"/>
      <c r="C342" s="48"/>
      <c r="D342" s="44">
        <v>2104</v>
      </c>
      <c r="E342" s="58">
        <v>10000</v>
      </c>
      <c r="F342" s="109"/>
      <c r="G342" s="98"/>
    </row>
    <row r="343" spans="1:7" ht="12.75">
      <c r="A343" s="97">
        <v>57</v>
      </c>
      <c r="B343" s="75" t="s">
        <v>404</v>
      </c>
      <c r="C343" s="48">
        <f>+E343+E346</f>
        <v>0</v>
      </c>
      <c r="D343" s="49">
        <v>2000</v>
      </c>
      <c r="E343" s="59">
        <f>SUM(E344:E345)</f>
        <v>0</v>
      </c>
      <c r="F343" s="109"/>
      <c r="G343" s="98"/>
    </row>
    <row r="344" spans="1:7" ht="12.75">
      <c r="A344" s="97"/>
      <c r="B344" s="75"/>
      <c r="C344" s="48"/>
      <c r="D344" s="44">
        <v>2101</v>
      </c>
      <c r="E344" s="58"/>
      <c r="F344" s="109"/>
      <c r="G344" s="98"/>
    </row>
    <row r="345" spans="1:7" ht="12.75">
      <c r="A345" s="97"/>
      <c r="B345" s="75"/>
      <c r="C345" s="48"/>
      <c r="D345" s="44">
        <v>2601</v>
      </c>
      <c r="E345" s="58"/>
      <c r="F345" s="109"/>
      <c r="G345" s="98"/>
    </row>
    <row r="346" spans="1:7" ht="12.75">
      <c r="A346" s="97"/>
      <c r="B346" s="75"/>
      <c r="C346" s="48"/>
      <c r="D346" s="49">
        <v>3000</v>
      </c>
      <c r="E346" s="59"/>
      <c r="F346" s="109"/>
      <c r="G346" s="98"/>
    </row>
    <row r="347" spans="1:7" ht="12.75">
      <c r="A347" s="97"/>
      <c r="B347" s="75"/>
      <c r="C347" s="48"/>
      <c r="D347" s="44">
        <v>3701</v>
      </c>
      <c r="E347" s="58"/>
      <c r="F347" s="109" t="s">
        <v>236</v>
      </c>
      <c r="G347" s="98"/>
    </row>
    <row r="348" spans="1:7" ht="12.75">
      <c r="A348" s="97"/>
      <c r="B348" s="75"/>
      <c r="C348" s="48"/>
      <c r="D348" s="44">
        <v>3702</v>
      </c>
      <c r="E348" s="58"/>
      <c r="F348" s="109" t="s">
        <v>315</v>
      </c>
      <c r="G348" s="98"/>
    </row>
    <row r="349" spans="1:7" ht="12.75">
      <c r="A349" s="97"/>
      <c r="B349" s="76"/>
      <c r="C349" s="48"/>
      <c r="D349" s="44">
        <v>3903</v>
      </c>
      <c r="E349" s="58"/>
      <c r="F349" s="109"/>
      <c r="G349" s="98"/>
    </row>
    <row r="350" spans="1:7" ht="12.75">
      <c r="A350" s="97">
        <v>58</v>
      </c>
      <c r="B350" s="75" t="s">
        <v>576</v>
      </c>
      <c r="C350" s="48">
        <f>+E350</f>
        <v>500000</v>
      </c>
      <c r="D350" s="49">
        <v>3000</v>
      </c>
      <c r="E350" s="59">
        <f>SUM(E351)</f>
        <v>500000</v>
      </c>
      <c r="F350" s="109"/>
      <c r="G350" s="98"/>
    </row>
    <row r="351" spans="1:7" ht="12.75">
      <c r="A351" s="97"/>
      <c r="B351" s="76"/>
      <c r="C351" s="48"/>
      <c r="D351" s="44">
        <v>3301</v>
      </c>
      <c r="E351" s="58">
        <v>500000</v>
      </c>
      <c r="F351" s="109"/>
      <c r="G351" s="98"/>
    </row>
    <row r="352" spans="1:7" ht="25.5">
      <c r="A352" s="97">
        <v>59</v>
      </c>
      <c r="B352" s="75" t="s">
        <v>405</v>
      </c>
      <c r="C352" s="48">
        <f>+E352+E357</f>
        <v>552140</v>
      </c>
      <c r="D352" s="49">
        <v>2000</v>
      </c>
      <c r="E352" s="59">
        <f>SUM(E353:E356)</f>
        <v>219000</v>
      </c>
      <c r="F352" s="109"/>
      <c r="G352" s="98"/>
    </row>
    <row r="353" spans="1:7" ht="12.75">
      <c r="A353" s="97"/>
      <c r="B353" s="75"/>
      <c r="C353" s="48"/>
      <c r="D353" s="44">
        <v>2101</v>
      </c>
      <c r="E353" s="58">
        <v>13000</v>
      </c>
      <c r="F353" s="109"/>
      <c r="G353" s="98"/>
    </row>
    <row r="354" spans="1:7" ht="12.75">
      <c r="A354" s="97"/>
      <c r="B354" s="75"/>
      <c r="C354" s="48"/>
      <c r="D354" s="44">
        <v>2104</v>
      </c>
      <c r="E354" s="58">
        <v>3000</v>
      </c>
      <c r="F354" s="109"/>
      <c r="G354" s="98"/>
    </row>
    <row r="355" spans="1:7" ht="12.75">
      <c r="A355" s="97"/>
      <c r="B355" s="75"/>
      <c r="C355" s="48"/>
      <c r="D355" s="44">
        <v>2201</v>
      </c>
      <c r="E355" s="58">
        <v>193000</v>
      </c>
      <c r="F355" s="109"/>
      <c r="G355" s="98"/>
    </row>
    <row r="356" spans="1:7" ht="12.75">
      <c r="A356" s="97"/>
      <c r="B356" s="75"/>
      <c r="C356" s="48"/>
      <c r="D356" s="44">
        <v>2601</v>
      </c>
      <c r="E356" s="58">
        <v>10000</v>
      </c>
      <c r="F356" s="109"/>
      <c r="G356" s="98"/>
    </row>
    <row r="357" spans="1:7" ht="12.75">
      <c r="A357" s="97"/>
      <c r="B357" s="75"/>
      <c r="C357" s="48"/>
      <c r="D357" s="49">
        <v>3000</v>
      </c>
      <c r="E357" s="59">
        <f>SUM(E358:E361)</f>
        <v>333140</v>
      </c>
      <c r="F357" s="109"/>
      <c r="G357" s="98"/>
    </row>
    <row r="358" spans="1:7" ht="12.75">
      <c r="A358" s="97"/>
      <c r="B358" s="75"/>
      <c r="C358" s="48"/>
      <c r="D358" s="44">
        <v>3701</v>
      </c>
      <c r="E358" s="58">
        <v>140000</v>
      </c>
      <c r="F358" s="109" t="s">
        <v>316</v>
      </c>
      <c r="G358" s="98"/>
    </row>
    <row r="359" spans="1:7" ht="12.75">
      <c r="A359" s="97"/>
      <c r="B359" s="75"/>
      <c r="C359" s="48"/>
      <c r="D359" s="44">
        <v>3702</v>
      </c>
      <c r="E359" s="58">
        <v>176000</v>
      </c>
      <c r="F359" s="109"/>
      <c r="G359" s="98"/>
    </row>
    <row r="360" spans="1:7" ht="12.75">
      <c r="A360" s="97"/>
      <c r="B360" s="75"/>
      <c r="C360" s="48"/>
      <c r="D360" s="44">
        <v>3703</v>
      </c>
      <c r="E360" s="58">
        <v>15840</v>
      </c>
      <c r="F360" s="109" t="s">
        <v>316</v>
      </c>
      <c r="G360" s="98"/>
    </row>
    <row r="361" spans="1:7" ht="12.75">
      <c r="A361" s="97"/>
      <c r="B361" s="76"/>
      <c r="C361" s="48"/>
      <c r="D361" s="44">
        <v>3903</v>
      </c>
      <c r="E361" s="58">
        <v>1300</v>
      </c>
      <c r="F361" s="109"/>
      <c r="G361" s="98"/>
    </row>
    <row r="362" spans="1:7" ht="25.5">
      <c r="A362" s="97">
        <v>60</v>
      </c>
      <c r="B362" s="85" t="s">
        <v>409</v>
      </c>
      <c r="C362" s="48">
        <f>+E362</f>
        <v>0</v>
      </c>
      <c r="D362" s="44"/>
      <c r="E362" s="58">
        <v>0</v>
      </c>
      <c r="F362" s="109" t="s">
        <v>317</v>
      </c>
      <c r="G362" s="98"/>
    </row>
    <row r="363" spans="1:7" ht="25.5">
      <c r="A363" s="97">
        <v>61</v>
      </c>
      <c r="B363" s="75" t="s">
        <v>407</v>
      </c>
      <c r="C363" s="48">
        <f>+E363</f>
        <v>56000</v>
      </c>
      <c r="D363" s="49">
        <v>2000</v>
      </c>
      <c r="E363" s="59">
        <f>SUM(E364:E365)</f>
        <v>56000</v>
      </c>
      <c r="F363" s="109"/>
      <c r="G363" s="98"/>
    </row>
    <row r="364" spans="1:7" ht="12.75">
      <c r="A364" s="97"/>
      <c r="B364" s="75"/>
      <c r="C364" s="48"/>
      <c r="D364" s="44">
        <v>2101</v>
      </c>
      <c r="E364" s="58">
        <v>6000</v>
      </c>
      <c r="F364" s="109"/>
      <c r="G364" s="98"/>
    </row>
    <row r="365" spans="1:7" ht="12.75">
      <c r="A365" s="97"/>
      <c r="B365" s="76"/>
      <c r="C365" s="48"/>
      <c r="D365" s="44">
        <v>2105</v>
      </c>
      <c r="E365" s="58">
        <v>50000</v>
      </c>
      <c r="F365" s="109"/>
      <c r="G365" s="98"/>
    </row>
    <row r="366" spans="1:7" ht="25.5">
      <c r="A366" s="97">
        <v>62</v>
      </c>
      <c r="B366" s="75" t="s">
        <v>408</v>
      </c>
      <c r="C366" s="48">
        <f>+E366</f>
        <v>4000</v>
      </c>
      <c r="D366" s="49">
        <v>2000</v>
      </c>
      <c r="E366" s="59">
        <f>SUM(E367:E368)</f>
        <v>4000</v>
      </c>
      <c r="F366" s="109"/>
      <c r="G366" s="98"/>
    </row>
    <row r="367" spans="1:7" ht="12.75">
      <c r="A367" s="97"/>
      <c r="B367" s="75"/>
      <c r="C367" s="48"/>
      <c r="D367" s="44">
        <v>2101</v>
      </c>
      <c r="E367" s="58">
        <v>1000</v>
      </c>
      <c r="F367" s="109"/>
      <c r="G367" s="98"/>
    </row>
    <row r="368" spans="1:7" ht="12.75">
      <c r="A368" s="97"/>
      <c r="B368" s="76"/>
      <c r="C368" s="48"/>
      <c r="D368" s="44">
        <v>2105</v>
      </c>
      <c r="E368" s="58">
        <v>3000</v>
      </c>
      <c r="F368" s="109"/>
      <c r="G368" s="98"/>
    </row>
    <row r="369" spans="1:7" ht="12.75">
      <c r="A369" s="97">
        <v>63</v>
      </c>
      <c r="B369" s="75" t="s">
        <v>410</v>
      </c>
      <c r="C369" s="48">
        <f>+E369</f>
        <v>4000</v>
      </c>
      <c r="D369" s="49">
        <v>2000</v>
      </c>
      <c r="E369" s="59">
        <f>SUM(E370:E371)</f>
        <v>4000</v>
      </c>
      <c r="F369" s="109"/>
      <c r="G369" s="98"/>
    </row>
    <row r="370" spans="1:7" ht="12.75">
      <c r="A370" s="97"/>
      <c r="B370" s="75"/>
      <c r="C370" s="48"/>
      <c r="D370" s="44">
        <v>2101</v>
      </c>
      <c r="E370" s="58">
        <v>1000</v>
      </c>
      <c r="F370" s="109"/>
      <c r="G370" s="98"/>
    </row>
    <row r="371" spans="1:7" ht="12.75">
      <c r="A371" s="97"/>
      <c r="B371" s="76"/>
      <c r="C371" s="48"/>
      <c r="D371" s="44">
        <v>2105</v>
      </c>
      <c r="E371" s="58">
        <v>3000</v>
      </c>
      <c r="F371" s="109"/>
      <c r="G371" s="98"/>
    </row>
    <row r="372" spans="1:7" ht="12.75">
      <c r="A372" s="97">
        <v>64</v>
      </c>
      <c r="B372" s="75" t="s">
        <v>411</v>
      </c>
      <c r="C372" s="48">
        <f>+E372</f>
        <v>5000</v>
      </c>
      <c r="D372" s="49">
        <v>2000</v>
      </c>
      <c r="E372" s="59">
        <f>SUM(E373:E374)</f>
        <v>5000</v>
      </c>
      <c r="F372" s="109"/>
      <c r="G372" s="98"/>
    </row>
    <row r="373" spans="1:7" ht="12.75">
      <c r="A373" s="97"/>
      <c r="B373" s="75"/>
      <c r="C373" s="48"/>
      <c r="D373" s="44">
        <v>2101</v>
      </c>
      <c r="E373" s="58">
        <v>1000</v>
      </c>
      <c r="F373" s="109"/>
      <c r="G373" s="98"/>
    </row>
    <row r="374" spans="1:7" ht="12.75">
      <c r="A374" s="97"/>
      <c r="B374" s="76"/>
      <c r="C374" s="48"/>
      <c r="D374" s="44">
        <v>2105</v>
      </c>
      <c r="E374" s="58">
        <v>4000</v>
      </c>
      <c r="F374" s="109"/>
      <c r="G374" s="98"/>
    </row>
    <row r="375" spans="1:7" ht="12.75">
      <c r="A375" s="97">
        <v>65</v>
      </c>
      <c r="B375" s="75" t="s">
        <v>412</v>
      </c>
      <c r="C375" s="48">
        <f>+E375</f>
        <v>6000</v>
      </c>
      <c r="D375" s="49">
        <v>2000</v>
      </c>
      <c r="E375" s="59">
        <f>SUM(E376:E377)</f>
        <v>6000</v>
      </c>
      <c r="F375" s="109"/>
      <c r="G375" s="98"/>
    </row>
    <row r="376" spans="1:7" ht="12.75">
      <c r="A376" s="97"/>
      <c r="B376" s="75"/>
      <c r="C376" s="48"/>
      <c r="D376" s="44">
        <v>2101</v>
      </c>
      <c r="E376" s="58">
        <v>2000</v>
      </c>
      <c r="F376" s="109"/>
      <c r="G376" s="98"/>
    </row>
    <row r="377" spans="1:7" ht="12.75">
      <c r="A377" s="97"/>
      <c r="B377" s="76"/>
      <c r="C377" s="48"/>
      <c r="D377" s="44">
        <v>2105</v>
      </c>
      <c r="E377" s="58">
        <v>4000</v>
      </c>
      <c r="F377" s="109"/>
      <c r="G377" s="98"/>
    </row>
    <row r="378" spans="1:7" ht="25.5">
      <c r="A378" s="97">
        <v>66</v>
      </c>
      <c r="B378" s="75" t="s">
        <v>413</v>
      </c>
      <c r="C378" s="48">
        <f>+E378+E380+E383</f>
        <v>3887143</v>
      </c>
      <c r="D378" s="49">
        <v>1000</v>
      </c>
      <c r="E378" s="59">
        <f>+E379</f>
        <v>3012370</v>
      </c>
      <c r="F378" s="109"/>
      <c r="G378" s="98"/>
    </row>
    <row r="379" spans="1:7" ht="12.75">
      <c r="A379" s="97"/>
      <c r="B379" s="75"/>
      <c r="C379" s="48"/>
      <c r="D379" s="44">
        <v>1311</v>
      </c>
      <c r="E379" s="58">
        <v>3012370</v>
      </c>
      <c r="F379" s="109"/>
      <c r="G379" s="98"/>
    </row>
    <row r="380" spans="1:7" ht="12.75">
      <c r="A380" s="97"/>
      <c r="B380" s="75"/>
      <c r="C380" s="48"/>
      <c r="D380" s="49">
        <v>3000</v>
      </c>
      <c r="E380" s="59">
        <f>SUM(E381:E382)</f>
        <v>619473</v>
      </c>
      <c r="F380" s="109"/>
      <c r="G380" s="98"/>
    </row>
    <row r="381" spans="1:7" ht="12.75">
      <c r="A381" s="97"/>
      <c r="B381" s="75"/>
      <c r="C381" s="48"/>
      <c r="D381" s="44">
        <v>3301</v>
      </c>
      <c r="E381" s="58">
        <v>291863</v>
      </c>
      <c r="F381" s="109"/>
      <c r="G381" s="98"/>
    </row>
    <row r="382" spans="1:7" ht="12.75">
      <c r="A382" s="97"/>
      <c r="B382" s="75"/>
      <c r="C382" s="48"/>
      <c r="D382" s="44">
        <v>3402</v>
      </c>
      <c r="E382" s="58">
        <v>327610</v>
      </c>
      <c r="F382" s="163"/>
      <c r="G382" s="98"/>
    </row>
    <row r="383" spans="1:7" ht="12.75">
      <c r="A383" s="97"/>
      <c r="B383" s="75"/>
      <c r="C383" s="48"/>
      <c r="D383" s="49">
        <v>5000</v>
      </c>
      <c r="E383" s="59">
        <f>SUM(E384)</f>
        <v>255300</v>
      </c>
      <c r="F383" s="109"/>
      <c r="G383" s="98"/>
    </row>
    <row r="384" spans="1:7" ht="12.75">
      <c r="A384" s="97"/>
      <c r="B384" s="76"/>
      <c r="C384" s="48"/>
      <c r="D384" s="44">
        <v>5701</v>
      </c>
      <c r="E384" s="58">
        <v>255300</v>
      </c>
      <c r="F384" s="109"/>
      <c r="G384" s="98"/>
    </row>
    <row r="385" spans="1:7" s="144" customFormat="1" ht="12.75">
      <c r="A385" s="130"/>
      <c r="B385" s="134" t="s">
        <v>580</v>
      </c>
      <c r="C385" s="168">
        <f>SUM(C386:C451)</f>
        <v>608058.1</v>
      </c>
      <c r="D385" s="169"/>
      <c r="E385" s="168">
        <f>SUM(E386:E450)/2</f>
        <v>608058.1</v>
      </c>
      <c r="F385" s="165">
        <f>(834694.6-C385)/834694.6</f>
        <v>0.2715202662147329</v>
      </c>
      <c r="G385" s="137"/>
    </row>
    <row r="386" spans="1:7" ht="25.5">
      <c r="A386" s="97">
        <v>67</v>
      </c>
      <c r="B386" s="75" t="s">
        <v>150</v>
      </c>
      <c r="C386" s="48">
        <f>+E386+E391</f>
        <v>169944</v>
      </c>
      <c r="D386" s="49">
        <v>2000</v>
      </c>
      <c r="E386" s="59">
        <f>SUM(E387:E390)</f>
        <v>123944</v>
      </c>
      <c r="F386" s="109"/>
      <c r="G386" s="96"/>
    </row>
    <row r="387" spans="1:7" ht="12.75">
      <c r="A387" s="97"/>
      <c r="B387" s="75"/>
      <c r="C387" s="49"/>
      <c r="D387" s="44">
        <v>2101</v>
      </c>
      <c r="E387" s="58">
        <v>6400</v>
      </c>
      <c r="F387" s="109"/>
      <c r="G387" s="96"/>
    </row>
    <row r="388" spans="1:7" ht="12.75">
      <c r="A388" s="97"/>
      <c r="B388" s="75"/>
      <c r="C388" s="48"/>
      <c r="D388" s="44">
        <v>2104</v>
      </c>
      <c r="E388" s="58">
        <v>111044</v>
      </c>
      <c r="F388" s="109"/>
      <c r="G388" s="96"/>
    </row>
    <row r="389" spans="1:7" ht="12.75">
      <c r="A389" s="97"/>
      <c r="B389" s="75"/>
      <c r="C389" s="49"/>
      <c r="D389" s="44">
        <v>2201</v>
      </c>
      <c r="E389" s="58">
        <v>2500</v>
      </c>
      <c r="F389" s="109"/>
      <c r="G389" s="96"/>
    </row>
    <row r="390" spans="1:7" ht="12.75">
      <c r="A390" s="97"/>
      <c r="B390" s="75"/>
      <c r="C390" s="49"/>
      <c r="D390" s="44">
        <v>2601</v>
      </c>
      <c r="E390" s="58">
        <v>4000</v>
      </c>
      <c r="F390" s="109"/>
      <c r="G390" s="96"/>
    </row>
    <row r="391" spans="1:7" ht="12.75">
      <c r="A391" s="97"/>
      <c r="B391" s="75"/>
      <c r="C391" s="49"/>
      <c r="D391" s="49">
        <v>3000</v>
      </c>
      <c r="E391" s="59">
        <f>SUM(E392:E394)</f>
        <v>46000</v>
      </c>
      <c r="F391" s="109"/>
      <c r="G391" s="96"/>
    </row>
    <row r="392" spans="1:7" ht="12.75">
      <c r="A392" s="97"/>
      <c r="B392" s="75"/>
      <c r="C392" s="49"/>
      <c r="D392" s="44">
        <v>3702</v>
      </c>
      <c r="E392" s="58">
        <f>50000-4500-10000</f>
        <v>35500</v>
      </c>
      <c r="F392" s="109" t="s">
        <v>232</v>
      </c>
      <c r="G392" s="96"/>
    </row>
    <row r="393" spans="1:7" ht="12.75">
      <c r="A393" s="97"/>
      <c r="B393" s="75"/>
      <c r="C393" s="49"/>
      <c r="D393" s="44">
        <v>3703</v>
      </c>
      <c r="E393" s="58">
        <v>10000</v>
      </c>
      <c r="F393" s="109"/>
      <c r="G393" s="96"/>
    </row>
    <row r="394" spans="1:7" ht="12.75">
      <c r="A394" s="97"/>
      <c r="B394" s="76"/>
      <c r="C394" s="49"/>
      <c r="D394" s="44">
        <v>3903</v>
      </c>
      <c r="E394" s="58">
        <v>500</v>
      </c>
      <c r="F394" s="109" t="s">
        <v>232</v>
      </c>
      <c r="G394" s="96"/>
    </row>
    <row r="395" spans="1:7" ht="38.25">
      <c r="A395" s="97">
        <v>68</v>
      </c>
      <c r="B395" s="75" t="s">
        <v>359</v>
      </c>
      <c r="C395" s="48">
        <f>+E395</f>
        <v>3000</v>
      </c>
      <c r="D395" s="49">
        <v>2000</v>
      </c>
      <c r="E395" s="59">
        <f>+E396</f>
        <v>3000</v>
      </c>
      <c r="F395" s="109"/>
      <c r="G395" s="96"/>
    </row>
    <row r="396" spans="1:7" ht="12.75">
      <c r="A396" s="97"/>
      <c r="B396" s="76"/>
      <c r="C396" s="48"/>
      <c r="D396" s="44">
        <v>2101</v>
      </c>
      <c r="E396" s="58">
        <v>3000</v>
      </c>
      <c r="F396" s="109"/>
      <c r="G396" s="96"/>
    </row>
    <row r="397" spans="1:7" ht="25.5">
      <c r="A397" s="97">
        <v>69</v>
      </c>
      <c r="B397" s="75" t="s">
        <v>151</v>
      </c>
      <c r="C397" s="48">
        <f>+E397</f>
        <v>12815</v>
      </c>
      <c r="D397" s="49">
        <v>2000</v>
      </c>
      <c r="E397" s="59">
        <f>+E398</f>
        <v>12815</v>
      </c>
      <c r="F397" s="109"/>
      <c r="G397" s="96"/>
    </row>
    <row r="398" spans="1:7" ht="12.75">
      <c r="A398" s="97"/>
      <c r="B398" s="76"/>
      <c r="C398" s="48"/>
      <c r="D398" s="44">
        <v>2101</v>
      </c>
      <c r="E398" s="58">
        <v>12815</v>
      </c>
      <c r="F398" s="109"/>
      <c r="G398" s="96"/>
    </row>
    <row r="399" spans="1:39" s="41" customFormat="1" ht="38.25">
      <c r="A399" s="97">
        <v>70</v>
      </c>
      <c r="B399" s="75" t="s">
        <v>121</v>
      </c>
      <c r="C399" s="48">
        <f>+E399+E403</f>
        <v>6553</v>
      </c>
      <c r="D399" s="50">
        <v>2000</v>
      </c>
      <c r="E399" s="60">
        <f>SUM(E400:E402)</f>
        <v>6553</v>
      </c>
      <c r="F399" s="109"/>
      <c r="G399" s="98"/>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row>
    <row r="400" spans="1:39" s="41" customFormat="1" ht="12.75">
      <c r="A400" s="97"/>
      <c r="B400" s="75"/>
      <c r="C400" s="48"/>
      <c r="D400" s="45">
        <v>2101</v>
      </c>
      <c r="E400" s="61">
        <v>2618</v>
      </c>
      <c r="F400" s="109"/>
      <c r="G400" s="98"/>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row>
    <row r="401" spans="1:39" s="41" customFormat="1" ht="12.75">
      <c r="A401" s="97"/>
      <c r="B401" s="75"/>
      <c r="C401" s="50"/>
      <c r="D401" s="45">
        <v>2105</v>
      </c>
      <c r="E401" s="61">
        <v>2222</v>
      </c>
      <c r="F401" s="109"/>
      <c r="G401" s="98"/>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row>
    <row r="402" spans="1:39" s="41" customFormat="1" ht="12.75">
      <c r="A402" s="97"/>
      <c r="B402" s="75"/>
      <c r="C402" s="50"/>
      <c r="D402" s="45">
        <v>2601</v>
      </c>
      <c r="E402" s="61">
        <v>1713</v>
      </c>
      <c r="F402" s="109"/>
      <c r="G402" s="98"/>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row>
    <row r="403" spans="1:39" s="41" customFormat="1" ht="12.75">
      <c r="A403" s="97"/>
      <c r="B403" s="75"/>
      <c r="C403" s="50"/>
      <c r="D403" s="50">
        <v>3000</v>
      </c>
      <c r="E403" s="60">
        <f>SUM(E404:E405)</f>
        <v>0</v>
      </c>
      <c r="F403" s="109"/>
      <c r="G403" s="98"/>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row>
    <row r="404" spans="1:39" s="41" customFormat="1" ht="12.75">
      <c r="A404" s="97"/>
      <c r="B404" s="75"/>
      <c r="C404" s="50"/>
      <c r="D404" s="45"/>
      <c r="E404" s="61">
        <v>0</v>
      </c>
      <c r="F404" s="108" t="s">
        <v>232</v>
      </c>
      <c r="G404" s="98"/>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row>
    <row r="405" spans="1:39" s="41" customFormat="1" ht="12.75">
      <c r="A405" s="97"/>
      <c r="B405" s="76"/>
      <c r="C405" s="50"/>
      <c r="D405" s="45"/>
      <c r="E405" s="61">
        <v>0</v>
      </c>
      <c r="F405" s="108" t="s">
        <v>232</v>
      </c>
      <c r="G405" s="98"/>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row>
    <row r="406" spans="1:39" s="41" customFormat="1" ht="25.5">
      <c r="A406" s="97">
        <v>71</v>
      </c>
      <c r="B406" s="75" t="s">
        <v>122</v>
      </c>
      <c r="C406" s="63">
        <f>+E406+E410</f>
        <v>116276</v>
      </c>
      <c r="D406" s="50">
        <v>2000</v>
      </c>
      <c r="E406" s="60">
        <f>SUM(E407:E409)</f>
        <v>3276</v>
      </c>
      <c r="F406" s="109"/>
      <c r="G406" s="98"/>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row>
    <row r="407" spans="1:39" s="41" customFormat="1" ht="12.75">
      <c r="A407" s="97"/>
      <c r="B407" s="75"/>
      <c r="C407" s="52"/>
      <c r="D407" s="45">
        <v>2101</v>
      </c>
      <c r="E407" s="61">
        <v>1309</v>
      </c>
      <c r="F407" s="109"/>
      <c r="G407" s="98"/>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row>
    <row r="408" spans="1:39" s="41" customFormat="1" ht="12.75">
      <c r="A408" s="97"/>
      <c r="B408" s="75"/>
      <c r="C408" s="50"/>
      <c r="D408" s="45">
        <v>2105</v>
      </c>
      <c r="E408" s="61">
        <v>1111</v>
      </c>
      <c r="F408" s="109"/>
      <c r="G408" s="98"/>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row>
    <row r="409" spans="1:39" s="41" customFormat="1" ht="12.75">
      <c r="A409" s="97"/>
      <c r="B409" s="75"/>
      <c r="C409" s="50"/>
      <c r="D409" s="45">
        <v>2601</v>
      </c>
      <c r="E409" s="61">
        <v>856</v>
      </c>
      <c r="F409" s="109"/>
      <c r="G409" s="98"/>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row>
    <row r="410" spans="1:39" s="41" customFormat="1" ht="12.75">
      <c r="A410" s="97"/>
      <c r="B410" s="75"/>
      <c r="C410" s="50"/>
      <c r="D410" s="50">
        <v>3000</v>
      </c>
      <c r="E410" s="60">
        <f>+E411</f>
        <v>113000</v>
      </c>
      <c r="F410" s="109"/>
      <c r="G410" s="98"/>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row>
    <row r="411" spans="1:39" s="41" customFormat="1" ht="12.75">
      <c r="A411" s="97"/>
      <c r="B411" s="76"/>
      <c r="C411" s="50"/>
      <c r="D411" s="45">
        <v>3301</v>
      </c>
      <c r="E411" s="61">
        <v>113000</v>
      </c>
      <c r="F411" s="109"/>
      <c r="G411" s="98"/>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row>
    <row r="412" spans="1:39" s="41" customFormat="1" ht="25.5">
      <c r="A412" s="97">
        <v>72</v>
      </c>
      <c r="B412" s="75" t="s">
        <v>152</v>
      </c>
      <c r="C412" s="64">
        <f>+E412</f>
        <v>6553</v>
      </c>
      <c r="D412" s="50">
        <v>2000</v>
      </c>
      <c r="E412" s="60">
        <f>SUM(E413:E415)</f>
        <v>6553</v>
      </c>
      <c r="F412" s="109"/>
      <c r="G412" s="98"/>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row>
    <row r="413" spans="1:39" s="41" customFormat="1" ht="12.75">
      <c r="A413" s="97"/>
      <c r="B413" s="75"/>
      <c r="C413" s="50"/>
      <c r="D413" s="45">
        <v>2101</v>
      </c>
      <c r="E413" s="61">
        <v>2618</v>
      </c>
      <c r="F413" s="109"/>
      <c r="G413" s="98"/>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row>
    <row r="414" spans="1:39" s="41" customFormat="1" ht="12.75">
      <c r="A414" s="97"/>
      <c r="B414" s="75"/>
      <c r="C414" s="50"/>
      <c r="D414" s="45">
        <v>2105</v>
      </c>
      <c r="E414" s="61">
        <v>2222</v>
      </c>
      <c r="F414" s="109"/>
      <c r="G414" s="98"/>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row>
    <row r="415" spans="1:39" s="41" customFormat="1" ht="12.75">
      <c r="A415" s="97"/>
      <c r="B415" s="76"/>
      <c r="C415" s="50"/>
      <c r="D415" s="45">
        <v>2601</v>
      </c>
      <c r="E415" s="61">
        <v>1713</v>
      </c>
      <c r="F415" s="109"/>
      <c r="G415" s="98"/>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row>
    <row r="416" spans="1:39" s="41" customFormat="1" ht="25.5">
      <c r="A416" s="97">
        <v>73</v>
      </c>
      <c r="B416" s="75" t="s">
        <v>157</v>
      </c>
      <c r="C416" s="62">
        <f>+E416+E421</f>
        <v>83414</v>
      </c>
      <c r="D416" s="50">
        <v>2000</v>
      </c>
      <c r="E416" s="60">
        <f>SUM(E417:E420)</f>
        <v>27030</v>
      </c>
      <c r="F416" s="109"/>
      <c r="G416" s="98"/>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row>
    <row r="417" spans="1:39" s="41" customFormat="1" ht="12.75" customHeight="1">
      <c r="A417" s="97"/>
      <c r="B417" s="75"/>
      <c r="C417" s="50"/>
      <c r="D417" s="45">
        <v>2101</v>
      </c>
      <c r="E417" s="61">
        <v>5423</v>
      </c>
      <c r="F417" s="109"/>
      <c r="G417" s="98"/>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row>
    <row r="418" spans="1:39" s="41" customFormat="1" ht="12.75">
      <c r="A418" s="97"/>
      <c r="B418" s="75"/>
      <c r="C418" s="50"/>
      <c r="D418" s="45">
        <v>2105</v>
      </c>
      <c r="E418" s="61">
        <v>6666</v>
      </c>
      <c r="F418" s="109"/>
      <c r="G418" s="98"/>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row>
    <row r="419" spans="1:39" s="41" customFormat="1" ht="12.75">
      <c r="A419" s="97"/>
      <c r="B419" s="75"/>
      <c r="C419" s="50"/>
      <c r="D419" s="45">
        <v>2201</v>
      </c>
      <c r="E419" s="61">
        <v>6802</v>
      </c>
      <c r="F419" s="109"/>
      <c r="G419" s="98"/>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row>
    <row r="420" spans="1:39" s="41" customFormat="1" ht="12.75">
      <c r="A420" s="97"/>
      <c r="B420" s="75"/>
      <c r="C420" s="50"/>
      <c r="D420" s="45">
        <v>2601</v>
      </c>
      <c r="E420" s="61">
        <f>5139+3000</f>
        <v>8139</v>
      </c>
      <c r="F420" s="109"/>
      <c r="G420" s="98"/>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row>
    <row r="421" spans="1:39" s="41" customFormat="1" ht="12.75">
      <c r="A421" s="97"/>
      <c r="B421" s="75"/>
      <c r="C421" s="51"/>
      <c r="D421" s="50">
        <v>3000</v>
      </c>
      <c r="E421" s="60">
        <f>SUM(E422:E424)</f>
        <v>56384</v>
      </c>
      <c r="F421" s="109"/>
      <c r="G421" s="98"/>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row>
    <row r="422" spans="1:39" s="41" customFormat="1" ht="12.75">
      <c r="A422" s="97"/>
      <c r="B422" s="75"/>
      <c r="C422" s="50"/>
      <c r="D422" s="45">
        <v>3702</v>
      </c>
      <c r="E422" s="61">
        <f>21193+12100+5000</f>
        <v>38293</v>
      </c>
      <c r="F422" s="108" t="s">
        <v>232</v>
      </c>
      <c r="G422" s="98"/>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row>
    <row r="423" spans="1:39" s="41" customFormat="1" ht="22.5">
      <c r="A423" s="97"/>
      <c r="B423" s="75"/>
      <c r="C423" s="37"/>
      <c r="D423" s="45">
        <v>3703</v>
      </c>
      <c r="E423" s="61">
        <f>14091+2000</f>
        <v>16091</v>
      </c>
      <c r="F423" s="108" t="s">
        <v>233</v>
      </c>
      <c r="G423" s="98"/>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row>
    <row r="424" spans="1:39" s="41" customFormat="1" ht="12.75">
      <c r="A424" s="97"/>
      <c r="B424" s="76"/>
      <c r="C424" s="51"/>
      <c r="D424" s="45">
        <v>3903</v>
      </c>
      <c r="E424" s="61">
        <v>2000</v>
      </c>
      <c r="F424" s="109"/>
      <c r="G424" s="98"/>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row>
    <row r="425" spans="1:39" s="41" customFormat="1" ht="12.75">
      <c r="A425" s="97">
        <v>74</v>
      </c>
      <c r="B425" s="75" t="s">
        <v>447</v>
      </c>
      <c r="C425" s="65">
        <f>+E425+E429</f>
        <v>12931</v>
      </c>
      <c r="D425" s="50">
        <v>2000</v>
      </c>
      <c r="E425" s="60">
        <f>SUM(E426:E428)</f>
        <v>12931</v>
      </c>
      <c r="F425" s="109"/>
      <c r="G425" s="98"/>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row>
    <row r="426" spans="1:39" s="41" customFormat="1" ht="12.75">
      <c r="A426" s="97"/>
      <c r="B426" s="75"/>
      <c r="C426" s="51"/>
      <c r="D426" s="45">
        <v>2101</v>
      </c>
      <c r="E426" s="61">
        <v>3945</v>
      </c>
      <c r="F426" s="109"/>
      <c r="G426" s="98"/>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row>
    <row r="427" spans="1:39" s="41" customFormat="1" ht="12.75">
      <c r="A427" s="97"/>
      <c r="B427" s="75"/>
      <c r="C427" s="51"/>
      <c r="D427" s="45">
        <v>2105</v>
      </c>
      <c r="E427" s="61">
        <v>6486</v>
      </c>
      <c r="F427" s="109"/>
      <c r="G427" s="98"/>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row>
    <row r="428" spans="1:39" s="41" customFormat="1" ht="12.75">
      <c r="A428" s="97"/>
      <c r="B428" s="75"/>
      <c r="C428" s="51"/>
      <c r="D428" s="45">
        <v>2601</v>
      </c>
      <c r="E428" s="61">
        <v>2500</v>
      </c>
      <c r="F428" s="109"/>
      <c r="G428" s="98"/>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row>
    <row r="429" spans="1:39" s="41" customFormat="1" ht="12.75">
      <c r="A429" s="97"/>
      <c r="B429" s="75"/>
      <c r="C429" s="51"/>
      <c r="D429" s="50">
        <v>3000</v>
      </c>
      <c r="E429" s="60">
        <f>SUM(E430:E432)</f>
        <v>0</v>
      </c>
      <c r="F429" s="109"/>
      <c r="G429" s="98"/>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row>
    <row r="430" spans="1:39" s="41" customFormat="1" ht="12.75">
      <c r="A430" s="97"/>
      <c r="B430" s="75"/>
      <c r="C430" s="51"/>
      <c r="D430" s="45"/>
      <c r="E430" s="61">
        <v>0</v>
      </c>
      <c r="F430" s="109"/>
      <c r="G430" s="98"/>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row>
    <row r="431" spans="1:39" s="41" customFormat="1" ht="12.75">
      <c r="A431" s="97"/>
      <c r="B431" s="75"/>
      <c r="C431" s="51"/>
      <c r="D431" s="45"/>
      <c r="E431" s="61">
        <v>0</v>
      </c>
      <c r="F431" s="108" t="s">
        <v>232</v>
      </c>
      <c r="G431" s="98"/>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row>
    <row r="432" spans="1:39" s="41" customFormat="1" ht="12.75">
      <c r="A432" s="97"/>
      <c r="B432" s="76"/>
      <c r="C432" s="51"/>
      <c r="D432" s="45"/>
      <c r="E432" s="61">
        <v>0</v>
      </c>
      <c r="F432" s="109"/>
      <c r="G432" s="98"/>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row>
    <row r="433" spans="1:39" s="41" customFormat="1" ht="12.75">
      <c r="A433" s="97">
        <v>75</v>
      </c>
      <c r="B433" s="75" t="s">
        <v>158</v>
      </c>
      <c r="C433" s="66">
        <f>+E433</f>
        <v>1638.1</v>
      </c>
      <c r="D433" s="50">
        <v>2000</v>
      </c>
      <c r="E433" s="60">
        <f>SUM(E434:E435)</f>
        <v>1638.1</v>
      </c>
      <c r="F433" s="109"/>
      <c r="G433" s="98"/>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row>
    <row r="434" spans="1:39" s="41" customFormat="1" ht="12.75">
      <c r="A434" s="97"/>
      <c r="B434" s="75"/>
      <c r="C434" s="51"/>
      <c r="D434" s="45">
        <v>2101</v>
      </c>
      <c r="E434" s="61">
        <v>1457.5</v>
      </c>
      <c r="F434" s="109"/>
      <c r="G434" s="98"/>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row>
    <row r="435" spans="1:39" s="41" customFormat="1" ht="12.75">
      <c r="A435" s="97"/>
      <c r="B435" s="76"/>
      <c r="C435" s="51"/>
      <c r="D435" s="45">
        <v>2105</v>
      </c>
      <c r="E435" s="61">
        <v>180.6</v>
      </c>
      <c r="F435" s="109"/>
      <c r="G435" s="98"/>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row>
    <row r="436" spans="1:39" s="41" customFormat="1" ht="12.75">
      <c r="A436" s="97">
        <v>76</v>
      </c>
      <c r="B436" s="75" t="s">
        <v>159</v>
      </c>
      <c r="C436" s="66">
        <f>+E436</f>
        <v>2420</v>
      </c>
      <c r="D436" s="50">
        <v>2000</v>
      </c>
      <c r="E436" s="60">
        <f>SUM(E437:E438)</f>
        <v>2420</v>
      </c>
      <c r="F436" s="109"/>
      <c r="G436" s="98"/>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row>
    <row r="437" spans="1:39" s="41" customFormat="1" ht="12.75">
      <c r="A437" s="97"/>
      <c r="B437" s="75"/>
      <c r="C437" s="51"/>
      <c r="D437" s="45">
        <v>2101</v>
      </c>
      <c r="E437" s="61">
        <v>1309</v>
      </c>
      <c r="F437" s="109"/>
      <c r="G437" s="98"/>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row>
    <row r="438" spans="1:39" s="41" customFormat="1" ht="12.75">
      <c r="A438" s="97"/>
      <c r="B438" s="76"/>
      <c r="C438" s="51"/>
      <c r="D438" s="45">
        <v>2105</v>
      </c>
      <c r="E438" s="61">
        <v>1111</v>
      </c>
      <c r="F438" s="109"/>
      <c r="G438" s="98"/>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row>
    <row r="439" spans="1:39" s="41" customFormat="1" ht="12.75" customHeight="1">
      <c r="A439" s="97">
        <v>77</v>
      </c>
      <c r="B439" s="75" t="s">
        <v>161</v>
      </c>
      <c r="C439" s="66">
        <f>+E439</f>
        <v>30280</v>
      </c>
      <c r="D439" s="50">
        <v>2000</v>
      </c>
      <c r="E439" s="60">
        <f>SUM(E440:E441)</f>
        <v>30280</v>
      </c>
      <c r="F439" s="109"/>
      <c r="G439" s="98"/>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row>
    <row r="440" spans="1:39" s="41" customFormat="1" ht="12.75" customHeight="1">
      <c r="A440" s="97"/>
      <c r="B440" s="75"/>
      <c r="C440" s="51"/>
      <c r="D440" s="45">
        <v>2101</v>
      </c>
      <c r="E440" s="61">
        <v>5280</v>
      </c>
      <c r="F440" s="109"/>
      <c r="G440" s="98"/>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row>
    <row r="441" spans="1:39" s="41" customFormat="1" ht="12.75">
      <c r="A441" s="97"/>
      <c r="B441" s="76"/>
      <c r="C441" s="51"/>
      <c r="D441" s="45">
        <v>2105</v>
      </c>
      <c r="E441" s="61">
        <v>25000</v>
      </c>
      <c r="F441" s="109"/>
      <c r="G441" s="98"/>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row>
    <row r="442" spans="1:39" s="41" customFormat="1" ht="12.75">
      <c r="A442" s="97">
        <v>78</v>
      </c>
      <c r="B442" s="75" t="s">
        <v>160</v>
      </c>
      <c r="C442" s="66">
        <f>+E442</f>
        <v>15734</v>
      </c>
      <c r="D442" s="50">
        <v>2000</v>
      </c>
      <c r="E442" s="60">
        <f>SUM(E443:E446)</f>
        <v>15734</v>
      </c>
      <c r="F442" s="109"/>
      <c r="G442" s="98"/>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row>
    <row r="443" spans="1:39" s="41" customFormat="1" ht="12.75">
      <c r="A443" s="97"/>
      <c r="B443" s="75"/>
      <c r="C443" s="51"/>
      <c r="D443" s="45">
        <v>2101</v>
      </c>
      <c r="E443" s="61">
        <v>5068</v>
      </c>
      <c r="F443" s="109"/>
      <c r="G443" s="98"/>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row>
    <row r="444" spans="1:39" s="41" customFormat="1" ht="12.75">
      <c r="A444" s="97"/>
      <c r="B444" s="75"/>
      <c r="C444" s="51"/>
      <c r="D444" s="45">
        <v>2105</v>
      </c>
      <c r="E444" s="61">
        <v>6666</v>
      </c>
      <c r="F444" s="109"/>
      <c r="G444" s="98"/>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row>
    <row r="445" spans="1:39" s="41" customFormat="1" ht="12.75">
      <c r="A445" s="97"/>
      <c r="B445" s="75"/>
      <c r="C445" s="51"/>
      <c r="D445" s="45">
        <v>2201</v>
      </c>
      <c r="E445" s="61">
        <v>1500</v>
      </c>
      <c r="F445" s="109"/>
      <c r="G445" s="98"/>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row>
    <row r="446" spans="1:39" s="41" customFormat="1" ht="12.75">
      <c r="A446" s="97"/>
      <c r="B446" s="76"/>
      <c r="C446" s="50"/>
      <c r="D446" s="45">
        <v>2601</v>
      </c>
      <c r="E446" s="61">
        <v>2500</v>
      </c>
      <c r="F446" s="109"/>
      <c r="G446" s="98"/>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row>
    <row r="447" spans="1:39" s="41" customFormat="1" ht="26.25" customHeight="1">
      <c r="A447" s="97">
        <v>79</v>
      </c>
      <c r="B447" s="75" t="s">
        <v>606</v>
      </c>
      <c r="C447" s="73">
        <f>+E447+E449</f>
        <v>146500</v>
      </c>
      <c r="D447" s="50">
        <v>2000</v>
      </c>
      <c r="E447" s="60">
        <f>SUM(E448)</f>
        <v>1500</v>
      </c>
      <c r="F447" s="107"/>
      <c r="G447" s="98"/>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row>
    <row r="448" spans="1:39" s="41" customFormat="1" ht="12.75">
      <c r="A448" s="97"/>
      <c r="B448" s="75"/>
      <c r="C448" s="37"/>
      <c r="D448" s="45">
        <v>2101</v>
      </c>
      <c r="E448" s="61">
        <v>1500</v>
      </c>
      <c r="F448" s="107"/>
      <c r="G448" s="98"/>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row>
    <row r="449" spans="1:39" s="41" customFormat="1" ht="12.75">
      <c r="A449" s="97"/>
      <c r="B449" s="75"/>
      <c r="C449" s="37"/>
      <c r="D449" s="50">
        <v>3000</v>
      </c>
      <c r="E449" s="60">
        <f>SUM(E450)</f>
        <v>145000</v>
      </c>
      <c r="F449" s="107"/>
      <c r="G449" s="98"/>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row>
    <row r="450" spans="1:39" s="41" customFormat="1" ht="12.75">
      <c r="A450" s="97"/>
      <c r="B450" s="75"/>
      <c r="C450" s="37"/>
      <c r="D450" s="45">
        <v>3301</v>
      </c>
      <c r="E450" s="61">
        <v>145000</v>
      </c>
      <c r="F450" s="107"/>
      <c r="G450" s="98"/>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row>
    <row r="451" spans="1:39" s="41" customFormat="1" ht="12.75">
      <c r="A451" s="97"/>
      <c r="B451" s="75"/>
      <c r="C451" s="37"/>
      <c r="D451" s="38"/>
      <c r="E451" s="179"/>
      <c r="F451" s="107"/>
      <c r="G451" s="98"/>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row>
    <row r="452" spans="1:7" s="144" customFormat="1" ht="12.75">
      <c r="A452" s="130"/>
      <c r="B452" s="134" t="s">
        <v>577</v>
      </c>
      <c r="C452" s="135">
        <f>SUM(C453:C469)</f>
        <v>161100</v>
      </c>
      <c r="D452" s="162"/>
      <c r="E452" s="135">
        <f>SUM(E453:E469)/2</f>
        <v>161100</v>
      </c>
      <c r="F452" s="164">
        <f>+(242040-C452)/242040</f>
        <v>0.334407535944472</v>
      </c>
      <c r="G452" s="137"/>
    </row>
    <row r="453" spans="1:39" s="41" customFormat="1" ht="36.75" customHeight="1">
      <c r="A453" s="97">
        <v>80</v>
      </c>
      <c r="B453" s="75" t="s">
        <v>400</v>
      </c>
      <c r="C453" s="48">
        <f>+E453+E460</f>
        <v>91560</v>
      </c>
      <c r="D453" s="49">
        <v>2000</v>
      </c>
      <c r="E453" s="59">
        <f>SUM(E454:E459)</f>
        <v>42560</v>
      </c>
      <c r="F453" s="109"/>
      <c r="G453" s="98"/>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row>
    <row r="454" spans="1:39" s="41" customFormat="1" ht="12.75" customHeight="1">
      <c r="A454" s="97"/>
      <c r="B454" s="75"/>
      <c r="C454" s="48"/>
      <c r="D454" s="44">
        <v>2101</v>
      </c>
      <c r="E454" s="58">
        <v>20000</v>
      </c>
      <c r="F454" s="109"/>
      <c r="G454" s="98"/>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row>
    <row r="455" spans="1:39" s="41" customFormat="1" ht="12.75">
      <c r="A455" s="97"/>
      <c r="B455" s="75"/>
      <c r="C455" s="48"/>
      <c r="D455" s="44">
        <v>2103</v>
      </c>
      <c r="E455" s="58">
        <v>1000</v>
      </c>
      <c r="F455" s="109"/>
      <c r="G455" s="98"/>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row>
    <row r="456" spans="1:39" s="41" customFormat="1" ht="12.75">
      <c r="A456" s="97"/>
      <c r="B456" s="75"/>
      <c r="C456" s="48"/>
      <c r="D456" s="44">
        <v>2104</v>
      </c>
      <c r="E456" s="58">
        <v>5000</v>
      </c>
      <c r="F456" s="109"/>
      <c r="G456" s="98"/>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row>
    <row r="457" spans="1:39" s="41" customFormat="1" ht="12.75">
      <c r="A457" s="97"/>
      <c r="B457" s="75"/>
      <c r="C457" s="48"/>
      <c r="D457" s="44">
        <v>2201</v>
      </c>
      <c r="E457" s="58">
        <v>5000</v>
      </c>
      <c r="F457" s="109"/>
      <c r="G457" s="98"/>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row>
    <row r="458" spans="1:39" s="41" customFormat="1" ht="12.75">
      <c r="A458" s="97"/>
      <c r="B458" s="75"/>
      <c r="C458" s="48"/>
      <c r="D458" s="44">
        <v>2601</v>
      </c>
      <c r="E458" s="58">
        <v>10560</v>
      </c>
      <c r="F458" s="109" t="s">
        <v>154</v>
      </c>
      <c r="G458" s="98"/>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row>
    <row r="459" spans="1:39" s="41" customFormat="1" ht="12.75">
      <c r="A459" s="97"/>
      <c r="B459" s="75"/>
      <c r="C459" s="48"/>
      <c r="D459" s="44">
        <v>2602</v>
      </c>
      <c r="E459" s="58">
        <v>1000</v>
      </c>
      <c r="F459" s="109"/>
      <c r="G459" s="98"/>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row>
    <row r="460" spans="1:39" s="41" customFormat="1" ht="12.75">
      <c r="A460" s="97"/>
      <c r="B460" s="75"/>
      <c r="C460" s="48"/>
      <c r="D460" s="49">
        <v>3000</v>
      </c>
      <c r="E460" s="59">
        <f>SUM(E461:E464)</f>
        <v>49000</v>
      </c>
      <c r="F460" s="109"/>
      <c r="G460" s="98"/>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row>
    <row r="461" spans="1:39" s="41" customFormat="1" ht="12.75">
      <c r="A461" s="97"/>
      <c r="B461" s="75"/>
      <c r="C461" s="48"/>
      <c r="D461" s="44">
        <v>3301</v>
      </c>
      <c r="E461" s="58">
        <v>5000</v>
      </c>
      <c r="F461" s="109"/>
      <c r="G461" s="98"/>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row>
    <row r="462" spans="1:39" s="41" customFormat="1" ht="12.75">
      <c r="A462" s="97"/>
      <c r="B462" s="75"/>
      <c r="C462" s="48"/>
      <c r="D462" s="44">
        <v>3701</v>
      </c>
      <c r="E462" s="58">
        <v>8000</v>
      </c>
      <c r="F462" s="109" t="s">
        <v>232</v>
      </c>
      <c r="G462" s="98"/>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row>
    <row r="463" spans="1:39" s="41" customFormat="1" ht="12.75">
      <c r="A463" s="97"/>
      <c r="B463" s="75"/>
      <c r="C463" s="48"/>
      <c r="D463" s="44">
        <v>3702</v>
      </c>
      <c r="E463" s="58">
        <v>30000</v>
      </c>
      <c r="F463" s="109" t="s">
        <v>232</v>
      </c>
      <c r="G463" s="98"/>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row>
    <row r="464" spans="1:39" s="41" customFormat="1" ht="12.75">
      <c r="A464" s="97"/>
      <c r="B464" s="76"/>
      <c r="C464" s="48"/>
      <c r="D464" s="44">
        <v>3703</v>
      </c>
      <c r="E464" s="58">
        <v>6000</v>
      </c>
      <c r="F464" s="109"/>
      <c r="G464" s="98"/>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row>
    <row r="465" spans="1:39" s="41" customFormat="1" ht="39.75" customHeight="1">
      <c r="A465" s="97">
        <v>81</v>
      </c>
      <c r="B465" s="75" t="s">
        <v>401</v>
      </c>
      <c r="C465" s="48">
        <f>+E465+E467</f>
        <v>69540</v>
      </c>
      <c r="D465" s="49">
        <v>2000</v>
      </c>
      <c r="E465" s="59">
        <f>+E466</f>
        <v>29040</v>
      </c>
      <c r="F465" s="109" t="s">
        <v>154</v>
      </c>
      <c r="G465" s="98"/>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row>
    <row r="466" spans="1:39" s="41" customFormat="1" ht="12.75" customHeight="1">
      <c r="A466" s="97"/>
      <c r="B466" s="75"/>
      <c r="C466" s="48"/>
      <c r="D466" s="44">
        <v>2601</v>
      </c>
      <c r="E466" s="58">
        <v>29040</v>
      </c>
      <c r="F466" s="109"/>
      <c r="G466" s="98"/>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row>
    <row r="467" spans="1:39" s="41" customFormat="1" ht="12.75" customHeight="1">
      <c r="A467" s="97"/>
      <c r="B467" s="75"/>
      <c r="C467" s="48"/>
      <c r="D467" s="49">
        <v>3000</v>
      </c>
      <c r="E467" s="59">
        <f>SUM(E468:E469)</f>
        <v>40500</v>
      </c>
      <c r="F467" s="109"/>
      <c r="G467" s="98"/>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row>
    <row r="468" spans="1:39" s="41" customFormat="1" ht="12.75">
      <c r="A468" s="97"/>
      <c r="B468" s="75"/>
      <c r="C468" s="48"/>
      <c r="D468" s="44">
        <v>3702</v>
      </c>
      <c r="E468" s="58">
        <v>32500</v>
      </c>
      <c r="F468" s="109" t="s">
        <v>232</v>
      </c>
      <c r="G468" s="98"/>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row>
    <row r="469" spans="1:39" s="41" customFormat="1" ht="12.75">
      <c r="A469" s="97"/>
      <c r="B469" s="76"/>
      <c r="C469" s="48"/>
      <c r="D469" s="44">
        <v>3703</v>
      </c>
      <c r="E469" s="58">
        <v>8000</v>
      </c>
      <c r="F469" s="109">
        <v>64061598.55</v>
      </c>
      <c r="G469" s="98"/>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row>
    <row r="470" spans="1:7" s="144" customFormat="1" ht="12.75">
      <c r="A470" s="130"/>
      <c r="B470" s="134" t="s">
        <v>597</v>
      </c>
      <c r="C470" s="135">
        <f>SUM(C471:C565)</f>
        <v>22161484.17</v>
      </c>
      <c r="D470" s="162"/>
      <c r="E470" s="135">
        <f>SUM(E471:E565)/2</f>
        <v>22161484.17</v>
      </c>
      <c r="F470" s="164">
        <f>(F469-C470)/F469</f>
        <v>0.6540597694779191</v>
      </c>
      <c r="G470" s="137"/>
    </row>
    <row r="471" spans="1:7" ht="25.5">
      <c r="A471" s="97">
        <v>82</v>
      </c>
      <c r="B471" s="75" t="s">
        <v>414</v>
      </c>
      <c r="C471" s="48">
        <f>+E471</f>
        <v>3500</v>
      </c>
      <c r="D471" s="49">
        <v>2000</v>
      </c>
      <c r="E471" s="59">
        <f>SUM(E472:E473)</f>
        <v>3500</v>
      </c>
      <c r="F471" s="107"/>
      <c r="G471" s="96"/>
    </row>
    <row r="472" spans="1:7" ht="12.75">
      <c r="A472" s="97"/>
      <c r="B472" s="75"/>
      <c r="C472" s="48"/>
      <c r="D472" s="44">
        <v>2101</v>
      </c>
      <c r="E472" s="58">
        <v>2000</v>
      </c>
      <c r="F472" s="107"/>
      <c r="G472" s="96"/>
    </row>
    <row r="473" spans="1:7" ht="12.75">
      <c r="A473" s="97"/>
      <c r="B473" s="76"/>
      <c r="C473" s="48"/>
      <c r="D473" s="44">
        <v>2105</v>
      </c>
      <c r="E473" s="58">
        <v>1500</v>
      </c>
      <c r="F473" s="107"/>
      <c r="G473" s="96"/>
    </row>
    <row r="474" spans="1:7" ht="25.5">
      <c r="A474" s="97">
        <v>83</v>
      </c>
      <c r="B474" s="75" t="s">
        <v>415</v>
      </c>
      <c r="C474" s="48">
        <f>+E474</f>
        <v>3300</v>
      </c>
      <c r="D474" s="49">
        <v>2000</v>
      </c>
      <c r="E474" s="59">
        <f>SUM(E475:E476)</f>
        <v>3300</v>
      </c>
      <c r="F474" s="107"/>
      <c r="G474" s="96"/>
    </row>
    <row r="475" spans="1:7" ht="12.75">
      <c r="A475" s="97"/>
      <c r="B475" s="75"/>
      <c r="C475" s="48"/>
      <c r="D475" s="44">
        <v>2101</v>
      </c>
      <c r="E475" s="58">
        <v>1500</v>
      </c>
      <c r="F475" s="107"/>
      <c r="G475" s="96"/>
    </row>
    <row r="476" spans="1:7" ht="12.75">
      <c r="A476" s="97"/>
      <c r="B476" s="76"/>
      <c r="C476" s="48"/>
      <c r="D476" s="44">
        <v>2105</v>
      </c>
      <c r="E476" s="58">
        <v>1800</v>
      </c>
      <c r="F476" s="107"/>
      <c r="G476" s="96"/>
    </row>
    <row r="477" spans="1:7" ht="25.5">
      <c r="A477" s="97">
        <v>84</v>
      </c>
      <c r="B477" s="75" t="s">
        <v>416</v>
      </c>
      <c r="C477" s="48">
        <f>+E477</f>
        <v>3500</v>
      </c>
      <c r="D477" s="49">
        <v>2000</v>
      </c>
      <c r="E477" s="59">
        <f>SUM(E478:E479)</f>
        <v>3500</v>
      </c>
      <c r="F477" s="107"/>
      <c r="G477" s="96"/>
    </row>
    <row r="478" spans="1:7" ht="12.75">
      <c r="A478" s="97"/>
      <c r="B478" s="75"/>
      <c r="C478" s="48"/>
      <c r="D478" s="44">
        <v>2101</v>
      </c>
      <c r="E478" s="58">
        <v>2000</v>
      </c>
      <c r="F478" s="107"/>
      <c r="G478" s="96"/>
    </row>
    <row r="479" spans="1:7" ht="12.75">
      <c r="A479" s="97"/>
      <c r="B479" s="76"/>
      <c r="C479" s="48"/>
      <c r="D479" s="44">
        <v>2105</v>
      </c>
      <c r="E479" s="58">
        <v>1500</v>
      </c>
      <c r="F479" s="107"/>
      <c r="G479" s="96"/>
    </row>
    <row r="480" spans="1:7" ht="12.75">
      <c r="A480" s="172">
        <v>85</v>
      </c>
      <c r="B480" s="178" t="s">
        <v>417</v>
      </c>
      <c r="C480" s="171">
        <f>+E480</f>
        <v>4925000</v>
      </c>
      <c r="D480" s="49">
        <v>5000</v>
      </c>
      <c r="E480" s="188">
        <f>SUM(E481:E489)</f>
        <v>4925000</v>
      </c>
      <c r="F480" s="107"/>
      <c r="G480" s="96"/>
    </row>
    <row r="481" spans="1:7" ht="12.75">
      <c r="A481" s="172"/>
      <c r="B481" s="75"/>
      <c r="C481" s="177"/>
      <c r="D481" s="189">
        <v>5101</v>
      </c>
      <c r="E481" s="193">
        <v>3000000</v>
      </c>
      <c r="F481" s="173"/>
      <c r="G481" s="96"/>
    </row>
    <row r="482" spans="1:7" ht="12.75">
      <c r="A482" s="172"/>
      <c r="B482" s="75"/>
      <c r="C482" s="177"/>
      <c r="D482" s="189">
        <v>5104</v>
      </c>
      <c r="E482" s="193">
        <v>0</v>
      </c>
      <c r="F482" s="173"/>
      <c r="G482" s="96"/>
    </row>
    <row r="483" spans="1:7" ht="12.75">
      <c r="A483" s="172"/>
      <c r="B483" s="75"/>
      <c r="C483" s="177"/>
      <c r="D483" s="189">
        <v>5105</v>
      </c>
      <c r="E483" s="193">
        <v>0</v>
      </c>
      <c r="F483" s="173"/>
      <c r="G483" s="96"/>
    </row>
    <row r="484" spans="1:7" ht="12.75">
      <c r="A484" s="172"/>
      <c r="B484" s="75"/>
      <c r="C484" s="177"/>
      <c r="D484" s="189">
        <v>5202</v>
      </c>
      <c r="E484" s="193">
        <v>5000</v>
      </c>
      <c r="F484" s="173"/>
      <c r="G484" s="96"/>
    </row>
    <row r="485" spans="1:7" ht="12.75">
      <c r="A485" s="172"/>
      <c r="B485" s="75"/>
      <c r="C485" s="177"/>
      <c r="D485" s="189">
        <v>5204</v>
      </c>
      <c r="E485" s="193">
        <v>120000</v>
      </c>
      <c r="F485" s="173"/>
      <c r="G485" s="96"/>
    </row>
    <row r="486" spans="1:7" ht="12.75">
      <c r="A486" s="172"/>
      <c r="B486" s="75"/>
      <c r="C486" s="177"/>
      <c r="D486" s="189">
        <v>5205</v>
      </c>
      <c r="E486" s="193">
        <v>200000</v>
      </c>
      <c r="F486" s="173"/>
      <c r="G486" s="96"/>
    </row>
    <row r="487" spans="1:7" ht="12.75">
      <c r="A487" s="172"/>
      <c r="B487" s="75"/>
      <c r="C487" s="177"/>
      <c r="D487" s="189">
        <v>5206</v>
      </c>
      <c r="E487" s="192">
        <v>900000</v>
      </c>
      <c r="F487" s="173"/>
      <c r="G487" s="96"/>
    </row>
    <row r="488" spans="1:7" ht="12.75">
      <c r="A488" s="172"/>
      <c r="B488" s="75"/>
      <c r="C488" s="177"/>
      <c r="D488" s="189">
        <v>5301</v>
      </c>
      <c r="E488" s="193">
        <v>350000</v>
      </c>
      <c r="F488" s="173"/>
      <c r="G488" s="96"/>
    </row>
    <row r="489" spans="1:7" ht="12.75">
      <c r="A489" s="172"/>
      <c r="B489" s="76"/>
      <c r="C489" s="177"/>
      <c r="D489" s="189">
        <v>5702</v>
      </c>
      <c r="E489" s="194">
        <v>350000</v>
      </c>
      <c r="F489" s="173"/>
      <c r="G489" s="96"/>
    </row>
    <row r="490" spans="1:7" ht="12.75">
      <c r="A490" s="97">
        <v>86</v>
      </c>
      <c r="B490" s="75" t="s">
        <v>425</v>
      </c>
      <c r="C490" s="48">
        <f>+E490+E494</f>
        <v>108600</v>
      </c>
      <c r="D490" s="174">
        <v>2000</v>
      </c>
      <c r="E490" s="79">
        <f>SUM(E491:E493)</f>
        <v>66800</v>
      </c>
      <c r="F490" s="173"/>
      <c r="G490" s="96"/>
    </row>
    <row r="491" spans="1:7" ht="12.75">
      <c r="A491" s="97"/>
      <c r="B491" s="75"/>
      <c r="C491" s="48"/>
      <c r="D491" s="175">
        <v>2101</v>
      </c>
      <c r="E491" s="58">
        <v>2000</v>
      </c>
      <c r="F491" s="173"/>
      <c r="G491" s="96"/>
    </row>
    <row r="492" spans="1:7" ht="12.75">
      <c r="A492" s="97"/>
      <c r="B492" s="75"/>
      <c r="C492" s="48"/>
      <c r="D492" s="175">
        <v>2105</v>
      </c>
      <c r="E492" s="58">
        <v>4000</v>
      </c>
      <c r="F492" s="173"/>
      <c r="G492" s="96"/>
    </row>
    <row r="493" spans="1:7" ht="12.75">
      <c r="A493" s="97"/>
      <c r="B493" s="75"/>
      <c r="C493" s="48"/>
      <c r="D493" s="175">
        <v>2601</v>
      </c>
      <c r="E493" s="58">
        <v>60800</v>
      </c>
      <c r="F493" s="173"/>
      <c r="G493" s="96"/>
    </row>
    <row r="494" spans="1:7" ht="12.75">
      <c r="A494" s="97"/>
      <c r="B494" s="75"/>
      <c r="C494" s="48"/>
      <c r="D494" s="176">
        <v>3000</v>
      </c>
      <c r="E494" s="59">
        <f>+E495</f>
        <v>41800</v>
      </c>
      <c r="F494" s="173"/>
      <c r="G494" s="96"/>
    </row>
    <row r="495" spans="1:7" ht="12.75">
      <c r="A495" s="97"/>
      <c r="B495" s="76"/>
      <c r="C495" s="48"/>
      <c r="D495" s="175">
        <v>3702</v>
      </c>
      <c r="E495" s="58">
        <v>41800</v>
      </c>
      <c r="F495" s="173"/>
      <c r="G495" s="96"/>
    </row>
    <row r="496" spans="1:7" ht="38.25">
      <c r="A496" s="97">
        <v>87</v>
      </c>
      <c r="B496" s="75" t="s">
        <v>418</v>
      </c>
      <c r="C496" s="48">
        <f>+E496+E503</f>
        <v>210153.1</v>
      </c>
      <c r="D496" s="176">
        <v>2000</v>
      </c>
      <c r="E496" s="59">
        <f>SUM(E497:E502)</f>
        <v>109963.1</v>
      </c>
      <c r="F496" s="173"/>
      <c r="G496" s="96"/>
    </row>
    <row r="497" spans="1:7" ht="12.75">
      <c r="A497" s="97"/>
      <c r="B497" s="75"/>
      <c r="C497" s="48"/>
      <c r="D497" s="175">
        <v>2101</v>
      </c>
      <c r="E497" s="58">
        <v>5229.9</v>
      </c>
      <c r="F497" s="173"/>
      <c r="G497" s="96"/>
    </row>
    <row r="498" spans="1:7" ht="12.75">
      <c r="A498" s="97"/>
      <c r="B498" s="75"/>
      <c r="C498" s="48"/>
      <c r="D498" s="175">
        <v>2105</v>
      </c>
      <c r="E498" s="58">
        <v>10584.7</v>
      </c>
      <c r="F498" s="173"/>
      <c r="G498" s="96"/>
    </row>
    <row r="499" spans="1:7" ht="12.75">
      <c r="A499" s="97"/>
      <c r="B499" s="75"/>
      <c r="C499" s="48"/>
      <c r="D499" s="175">
        <v>2201</v>
      </c>
      <c r="E499" s="58">
        <v>2500</v>
      </c>
      <c r="F499" s="107"/>
      <c r="G499" s="96"/>
    </row>
    <row r="500" spans="1:7" ht="12.75">
      <c r="A500" s="97"/>
      <c r="B500" s="75"/>
      <c r="C500" s="48"/>
      <c r="D500" s="44">
        <v>2302</v>
      </c>
      <c r="E500" s="58">
        <v>9200</v>
      </c>
      <c r="F500" s="107"/>
      <c r="G500" s="96"/>
    </row>
    <row r="501" spans="1:7" ht="12.75">
      <c r="A501" s="97"/>
      <c r="B501" s="75"/>
      <c r="C501" s="48"/>
      <c r="D501" s="44">
        <v>2304</v>
      </c>
      <c r="E501" s="58">
        <v>67827.5</v>
      </c>
      <c r="F501" s="107"/>
      <c r="G501" s="96"/>
    </row>
    <row r="502" spans="1:7" ht="12.75">
      <c r="A502" s="97"/>
      <c r="B502" s="75"/>
      <c r="C502" s="48"/>
      <c r="D502" s="44">
        <v>2601</v>
      </c>
      <c r="E502" s="58">
        <v>14621</v>
      </c>
      <c r="F502" s="107"/>
      <c r="G502" s="96"/>
    </row>
    <row r="503" spans="1:7" ht="12.75">
      <c r="A503" s="97"/>
      <c r="B503" s="75"/>
      <c r="C503" s="48"/>
      <c r="D503" s="49">
        <v>3000</v>
      </c>
      <c r="E503" s="59">
        <f>SUM(E504:E506)</f>
        <v>100190</v>
      </c>
      <c r="F503" s="107"/>
      <c r="G503" s="96"/>
    </row>
    <row r="504" spans="1:7" ht="12.75">
      <c r="A504" s="97"/>
      <c r="B504" s="75"/>
      <c r="C504" s="48"/>
      <c r="D504" s="44">
        <v>3702</v>
      </c>
      <c r="E504" s="58">
        <v>81750</v>
      </c>
      <c r="F504" s="107"/>
      <c r="G504" s="96"/>
    </row>
    <row r="505" spans="1:7" ht="12.75">
      <c r="A505" s="97"/>
      <c r="B505" s="75"/>
      <c r="C505" s="48"/>
      <c r="D505" s="44">
        <v>3703</v>
      </c>
      <c r="E505" s="58">
        <v>15240</v>
      </c>
      <c r="F505" s="107"/>
      <c r="G505" s="96"/>
    </row>
    <row r="506" spans="1:7" ht="12.75">
      <c r="A506" s="97"/>
      <c r="B506" s="76"/>
      <c r="C506" s="48"/>
      <c r="D506" s="44">
        <v>3903</v>
      </c>
      <c r="E506" s="58">
        <v>3200</v>
      </c>
      <c r="F506" s="107"/>
      <c r="G506" s="96"/>
    </row>
    <row r="507" spans="1:7" ht="25.5">
      <c r="A507" s="97">
        <v>88</v>
      </c>
      <c r="B507" s="75" t="s">
        <v>601</v>
      </c>
      <c r="C507" s="48">
        <f>+E507+E511</f>
        <v>294630</v>
      </c>
      <c r="D507" s="49">
        <v>2000</v>
      </c>
      <c r="E507" s="59">
        <f>SUM(E508:E510)</f>
        <v>116130</v>
      </c>
      <c r="F507" s="107"/>
      <c r="G507" s="96"/>
    </row>
    <row r="508" spans="1:7" ht="12.75">
      <c r="A508" s="97"/>
      <c r="B508" s="75"/>
      <c r="C508" s="48"/>
      <c r="D508" s="44">
        <v>2101</v>
      </c>
      <c r="E508" s="58">
        <v>30000</v>
      </c>
      <c r="F508" s="107"/>
      <c r="G508" s="96"/>
    </row>
    <row r="509" spans="1:7" ht="12.75">
      <c r="A509" s="97"/>
      <c r="B509" s="75"/>
      <c r="C509" s="48"/>
      <c r="D509" s="44">
        <v>2201</v>
      </c>
      <c r="E509" s="58">
        <v>51950</v>
      </c>
      <c r="F509" s="107"/>
      <c r="G509" s="96"/>
    </row>
    <row r="510" spans="1:7" ht="12.75">
      <c r="A510" s="97"/>
      <c r="B510" s="75"/>
      <c r="C510" s="48"/>
      <c r="D510" s="44">
        <v>2304</v>
      </c>
      <c r="E510" s="58">
        <v>34180</v>
      </c>
      <c r="F510" s="107"/>
      <c r="G510" s="96"/>
    </row>
    <row r="511" spans="1:7" ht="12.75">
      <c r="A511" s="97"/>
      <c r="B511" s="75"/>
      <c r="C511" s="48"/>
      <c r="D511" s="49">
        <v>3000</v>
      </c>
      <c r="E511" s="59">
        <f>SUM(E512:E515)</f>
        <v>178500</v>
      </c>
      <c r="F511" s="107"/>
      <c r="G511" s="96"/>
    </row>
    <row r="512" spans="1:7" ht="12.75">
      <c r="A512" s="97"/>
      <c r="B512" s="75"/>
      <c r="C512" s="48"/>
      <c r="D512" s="44">
        <v>3301</v>
      </c>
      <c r="E512" s="58">
        <v>65000</v>
      </c>
      <c r="F512" s="107"/>
      <c r="G512" s="96"/>
    </row>
    <row r="513" spans="1:7" ht="12.75">
      <c r="A513" s="97"/>
      <c r="B513" s="75"/>
      <c r="C513" s="48"/>
      <c r="D513" s="44">
        <v>3303</v>
      </c>
      <c r="E513" s="58">
        <v>25000</v>
      </c>
      <c r="F513" s="107"/>
      <c r="G513" s="96"/>
    </row>
    <row r="514" spans="1:7" ht="12.75">
      <c r="A514" s="97"/>
      <c r="B514" s="75"/>
      <c r="C514" s="48"/>
      <c r="D514" s="44">
        <v>3701</v>
      </c>
      <c r="E514" s="58">
        <v>63000</v>
      </c>
      <c r="F514" s="107"/>
      <c r="G514" s="96"/>
    </row>
    <row r="515" spans="1:7" ht="12.75">
      <c r="A515" s="97"/>
      <c r="B515" s="76"/>
      <c r="C515" s="48"/>
      <c r="D515" s="44">
        <v>3702</v>
      </c>
      <c r="E515" s="58">
        <v>25500</v>
      </c>
      <c r="F515" s="107"/>
      <c r="G515" s="96"/>
    </row>
    <row r="516" spans="1:7" ht="25.5">
      <c r="A516" s="97">
        <v>89</v>
      </c>
      <c r="B516" s="75" t="s">
        <v>422</v>
      </c>
      <c r="C516" s="48">
        <f>+E516+E519</f>
        <v>5737066.07</v>
      </c>
      <c r="D516" s="49">
        <v>2000</v>
      </c>
      <c r="E516" s="59">
        <f>E517+E518</f>
        <v>105200</v>
      </c>
      <c r="F516" s="107"/>
      <c r="G516" s="96"/>
    </row>
    <row r="517" spans="1:7" ht="12.75">
      <c r="A517" s="97"/>
      <c r="B517" s="75"/>
      <c r="C517" s="48"/>
      <c r="D517" s="44">
        <v>2104</v>
      </c>
      <c r="E517" s="58">
        <v>90000</v>
      </c>
      <c r="F517" s="107"/>
      <c r="G517" s="96"/>
    </row>
    <row r="518" spans="1:7" ht="12.75">
      <c r="A518" s="97"/>
      <c r="B518" s="75"/>
      <c r="C518" s="48"/>
      <c r="D518" s="44">
        <v>2207</v>
      </c>
      <c r="E518" s="58">
        <v>15200</v>
      </c>
      <c r="F518" s="107"/>
      <c r="G518" s="96"/>
    </row>
    <row r="519" spans="1:7" ht="12.75">
      <c r="A519" s="97"/>
      <c r="B519" s="75"/>
      <c r="C519" s="48"/>
      <c r="D519" s="49">
        <v>3000</v>
      </c>
      <c r="E519" s="59">
        <f>SUM(E520:E539)</f>
        <v>5631866.07</v>
      </c>
      <c r="F519" s="107"/>
      <c r="G519" s="96"/>
    </row>
    <row r="520" spans="1:7" ht="12.75">
      <c r="A520" s="97"/>
      <c r="B520" s="75"/>
      <c r="C520" s="48"/>
      <c r="D520" s="44">
        <v>3103</v>
      </c>
      <c r="E520" s="58">
        <v>328866.07</v>
      </c>
      <c r="F520" s="107"/>
      <c r="G520" s="96"/>
    </row>
    <row r="521" spans="1:7" ht="12.75">
      <c r="A521" s="97"/>
      <c r="B521" s="75"/>
      <c r="C521" s="48"/>
      <c r="D521" s="44">
        <v>3104</v>
      </c>
      <c r="E521" s="58">
        <v>550000</v>
      </c>
      <c r="F521" s="107"/>
      <c r="G521" s="96"/>
    </row>
    <row r="522" spans="1:7" ht="12.75">
      <c r="A522" s="97"/>
      <c r="B522" s="75"/>
      <c r="C522" s="48"/>
      <c r="D522" s="44">
        <v>3106</v>
      </c>
      <c r="E522" s="58">
        <v>25000</v>
      </c>
      <c r="F522" s="107"/>
      <c r="G522" s="96"/>
    </row>
    <row r="523" spans="1:7" ht="12.75">
      <c r="A523" s="97"/>
      <c r="B523" s="75"/>
      <c r="C523" s="48"/>
      <c r="D523" s="44">
        <v>3107</v>
      </c>
      <c r="E523" s="58">
        <v>0</v>
      </c>
      <c r="F523" s="107"/>
      <c r="G523" s="96"/>
    </row>
    <row r="524" spans="1:7" ht="12.75">
      <c r="A524" s="97"/>
      <c r="B524" s="75"/>
      <c r="C524" s="48"/>
      <c r="D524" s="44">
        <v>3108</v>
      </c>
      <c r="E524" s="58">
        <v>0</v>
      </c>
      <c r="F524" s="107"/>
      <c r="G524" s="96"/>
    </row>
    <row r="525" spans="1:7" ht="12.75">
      <c r="A525" s="97"/>
      <c r="B525" s="75"/>
      <c r="C525" s="48"/>
      <c r="D525" s="44">
        <v>3109</v>
      </c>
      <c r="E525" s="58">
        <v>0</v>
      </c>
      <c r="F525" s="107"/>
      <c r="G525" s="96"/>
    </row>
    <row r="526" spans="1:7" ht="12.75">
      <c r="A526" s="97"/>
      <c r="B526" s="75"/>
      <c r="C526" s="48"/>
      <c r="D526" s="44">
        <v>3201</v>
      </c>
      <c r="E526" s="58">
        <v>1809000</v>
      </c>
      <c r="F526" s="107"/>
      <c r="G526" s="96"/>
    </row>
    <row r="527" spans="1:7" ht="12.75">
      <c r="A527" s="97"/>
      <c r="B527" s="75"/>
      <c r="C527" s="48"/>
      <c r="D527" s="44">
        <v>3202</v>
      </c>
      <c r="E527" s="58">
        <v>130000</v>
      </c>
      <c r="F527" s="107"/>
      <c r="G527" s="96"/>
    </row>
    <row r="528" spans="1:7" ht="12.75">
      <c r="A528" s="97"/>
      <c r="B528" s="75"/>
      <c r="C528" s="48"/>
      <c r="D528" s="44">
        <v>3203</v>
      </c>
      <c r="E528" s="58">
        <v>97500</v>
      </c>
      <c r="F528" s="107"/>
      <c r="G528" s="96"/>
    </row>
    <row r="529" spans="1:7" ht="12.75">
      <c r="A529" s="97"/>
      <c r="B529" s="75"/>
      <c r="C529" s="48"/>
      <c r="D529" s="44">
        <v>3204</v>
      </c>
      <c r="E529" s="58">
        <v>63000</v>
      </c>
      <c r="F529" s="107"/>
      <c r="G529" s="96"/>
    </row>
    <row r="530" spans="1:7" ht="12.75">
      <c r="A530" s="97"/>
      <c r="B530" s="75"/>
      <c r="C530" s="48"/>
      <c r="D530" s="44">
        <v>3205</v>
      </c>
      <c r="E530" s="58">
        <v>15000</v>
      </c>
      <c r="F530" s="107"/>
      <c r="G530" s="96"/>
    </row>
    <row r="531" spans="1:7" ht="12.75">
      <c r="A531" s="97"/>
      <c r="B531" s="75"/>
      <c r="C531" s="48"/>
      <c r="D531" s="44">
        <v>3301</v>
      </c>
      <c r="E531" s="58">
        <v>100000</v>
      </c>
      <c r="F531" s="107"/>
      <c r="G531" s="96"/>
    </row>
    <row r="532" spans="1:7" ht="12.75">
      <c r="A532" s="97"/>
      <c r="B532" s="75"/>
      <c r="C532" s="48"/>
      <c r="D532" s="44">
        <v>3303</v>
      </c>
      <c r="E532" s="58">
        <v>1147500</v>
      </c>
      <c r="F532" s="107"/>
      <c r="G532" s="96"/>
    </row>
    <row r="533" spans="1:7" ht="12.75">
      <c r="A533" s="97"/>
      <c r="B533" s="75"/>
      <c r="C533" s="48"/>
      <c r="D533" s="44">
        <v>3304</v>
      </c>
      <c r="E533" s="58">
        <v>15000</v>
      </c>
      <c r="F533" s="107"/>
      <c r="G533" s="96"/>
    </row>
    <row r="534" spans="1:7" ht="12.75">
      <c r="A534" s="97"/>
      <c r="B534" s="75"/>
      <c r="C534" s="48"/>
      <c r="D534" s="44">
        <v>3401</v>
      </c>
      <c r="E534" s="58">
        <v>112500</v>
      </c>
      <c r="F534" s="107"/>
      <c r="G534" s="96"/>
    </row>
    <row r="535" spans="1:7" ht="12.75">
      <c r="A535" s="97"/>
      <c r="B535" s="75"/>
      <c r="C535" s="48"/>
      <c r="D535" s="44">
        <v>3407</v>
      </c>
      <c r="E535" s="58">
        <v>900000</v>
      </c>
      <c r="F535" s="107"/>
      <c r="G535" s="96"/>
    </row>
    <row r="536" spans="1:7" ht="12.75">
      <c r="A536" s="97"/>
      <c r="B536" s="75"/>
      <c r="C536" s="48"/>
      <c r="D536" s="44">
        <v>3504</v>
      </c>
      <c r="E536" s="58">
        <v>60000</v>
      </c>
      <c r="F536" s="107"/>
      <c r="G536" s="96"/>
    </row>
    <row r="537" spans="1:7" ht="12.75">
      <c r="A537" s="97"/>
      <c r="B537" s="75"/>
      <c r="C537" s="48"/>
      <c r="D537" s="44">
        <v>3606</v>
      </c>
      <c r="E537" s="58">
        <v>28500</v>
      </c>
      <c r="F537" s="107"/>
      <c r="G537" s="96"/>
    </row>
    <row r="538" spans="1:7" ht="12.75">
      <c r="A538" s="97"/>
      <c r="B538" s="75"/>
      <c r="C538" s="48"/>
      <c r="D538" s="44">
        <v>3608</v>
      </c>
      <c r="E538" s="58">
        <v>150000</v>
      </c>
      <c r="F538" s="107"/>
      <c r="G538" s="96"/>
    </row>
    <row r="539" spans="1:7" ht="12.75">
      <c r="A539" s="172"/>
      <c r="B539" s="76"/>
      <c r="C539" s="171"/>
      <c r="D539" s="44">
        <v>3702</v>
      </c>
      <c r="E539" s="58">
        <v>100000</v>
      </c>
      <c r="F539" s="107"/>
      <c r="G539" s="96"/>
    </row>
    <row r="540" spans="1:7" ht="25.5">
      <c r="A540" s="172">
        <v>90</v>
      </c>
      <c r="B540" s="75" t="s">
        <v>427</v>
      </c>
      <c r="C540" s="171">
        <f>SUM(E540+E542)</f>
        <v>3030000</v>
      </c>
      <c r="D540" s="49">
        <v>2000</v>
      </c>
      <c r="E540" s="59">
        <v>1000000</v>
      </c>
      <c r="F540" s="107"/>
      <c r="G540" s="96"/>
    </row>
    <row r="541" spans="1:7" ht="12.75">
      <c r="A541" s="172"/>
      <c r="B541" s="75"/>
      <c r="C541" s="171"/>
      <c r="D541" s="44">
        <v>2601</v>
      </c>
      <c r="E541" s="58">
        <v>1000000</v>
      </c>
      <c r="F541" s="107"/>
      <c r="G541" s="96"/>
    </row>
    <row r="542" spans="1:7" ht="12.75">
      <c r="A542" s="172"/>
      <c r="B542" s="75"/>
      <c r="C542" s="171"/>
      <c r="D542" s="49">
        <v>3000</v>
      </c>
      <c r="E542" s="59">
        <f>SUM(E543:E550)</f>
        <v>2030000</v>
      </c>
      <c r="F542" s="107"/>
      <c r="G542" s="96"/>
    </row>
    <row r="543" spans="1:7" ht="12.75">
      <c r="A543" s="172"/>
      <c r="B543" s="75"/>
      <c r="C543" s="171"/>
      <c r="D543" s="44">
        <v>3501</v>
      </c>
      <c r="E543" s="58">
        <v>60000</v>
      </c>
      <c r="F543" s="107"/>
      <c r="G543" s="96"/>
    </row>
    <row r="544" spans="1:7" ht="12.75">
      <c r="A544" s="172"/>
      <c r="B544" s="75"/>
      <c r="C544" s="171"/>
      <c r="D544" s="44">
        <v>3502</v>
      </c>
      <c r="E544" s="58">
        <v>550000</v>
      </c>
      <c r="F544" s="107"/>
      <c r="G544" s="96"/>
    </row>
    <row r="545" spans="1:7" ht="12.75">
      <c r="A545" s="172"/>
      <c r="B545" s="75"/>
      <c r="C545" s="171"/>
      <c r="D545" s="44">
        <v>3505</v>
      </c>
      <c r="E545" s="58">
        <v>1000000</v>
      </c>
      <c r="F545" s="107"/>
      <c r="G545" s="96"/>
    </row>
    <row r="546" spans="1:7" ht="12.75">
      <c r="A546" s="172"/>
      <c r="B546" s="75"/>
      <c r="C546" s="171"/>
      <c r="D546" s="44">
        <v>3506</v>
      </c>
      <c r="E546" s="58">
        <v>10000</v>
      </c>
      <c r="F546" s="107"/>
      <c r="G546" s="96"/>
    </row>
    <row r="547" spans="1:7" ht="12.75">
      <c r="A547" s="172"/>
      <c r="B547" s="75"/>
      <c r="C547" s="171"/>
      <c r="D547" s="44">
        <v>3507</v>
      </c>
      <c r="E547" s="58">
        <v>200000</v>
      </c>
      <c r="F547" s="107"/>
      <c r="G547" s="96"/>
    </row>
    <row r="548" spans="1:7" ht="12.75">
      <c r="A548" s="172"/>
      <c r="B548" s="75"/>
      <c r="C548" s="171"/>
      <c r="D548" s="44">
        <v>3515</v>
      </c>
      <c r="E548" s="58">
        <v>100000</v>
      </c>
      <c r="F548" s="107"/>
      <c r="G548" s="96"/>
    </row>
    <row r="549" spans="1:7" ht="12.75">
      <c r="A549" s="172"/>
      <c r="B549" s="75"/>
      <c r="C549" s="171"/>
      <c r="D549" s="44">
        <v>3516</v>
      </c>
      <c r="E549" s="58">
        <v>10000</v>
      </c>
      <c r="F549" s="107"/>
      <c r="G549" s="96"/>
    </row>
    <row r="550" spans="1:7" ht="12.75">
      <c r="A550" s="172"/>
      <c r="B550" s="76"/>
      <c r="C550" s="171"/>
      <c r="D550" s="44">
        <v>3702</v>
      </c>
      <c r="E550" s="58">
        <v>100000</v>
      </c>
      <c r="F550" s="107"/>
      <c r="G550" s="96"/>
    </row>
    <row r="551" spans="1:7" ht="25.5">
      <c r="A551" s="97">
        <v>91</v>
      </c>
      <c r="B551" s="75" t="s">
        <v>426</v>
      </c>
      <c r="C551" s="48">
        <f>+E551</f>
        <v>5288290</v>
      </c>
      <c r="D551" s="49">
        <v>3000</v>
      </c>
      <c r="E551" s="59">
        <f>SUM(E552:E556)</f>
        <v>5288290</v>
      </c>
      <c r="F551" s="107"/>
      <c r="G551" s="96"/>
    </row>
    <row r="552" spans="1:7" ht="12.75">
      <c r="A552" s="97"/>
      <c r="B552" s="75"/>
      <c r="C552" s="48"/>
      <c r="D552" s="44">
        <v>3406</v>
      </c>
      <c r="E552" s="58">
        <v>120000</v>
      </c>
      <c r="F552" s="107"/>
      <c r="G552" s="96"/>
    </row>
    <row r="553" spans="1:7" ht="12.75">
      <c r="A553" s="97"/>
      <c r="B553" s="75"/>
      <c r="C553" s="48"/>
      <c r="D553" s="44">
        <v>3503</v>
      </c>
      <c r="E553" s="58">
        <v>3568290</v>
      </c>
      <c r="F553" s="107"/>
      <c r="G553" s="96"/>
    </row>
    <row r="554" spans="1:7" ht="12.75">
      <c r="A554" s="97"/>
      <c r="B554" s="75"/>
      <c r="C554" s="48"/>
      <c r="D554" s="44">
        <v>3509</v>
      </c>
      <c r="E554" s="58">
        <v>700000</v>
      </c>
      <c r="F554" s="107"/>
      <c r="G554" s="96"/>
    </row>
    <row r="555" spans="1:7" ht="12.75">
      <c r="A555" s="97"/>
      <c r="B555" s="75"/>
      <c r="C555" s="48"/>
      <c r="D555" s="44">
        <v>3512</v>
      </c>
      <c r="E555" s="58">
        <v>200000</v>
      </c>
      <c r="F555" s="107"/>
      <c r="G555" s="96"/>
    </row>
    <row r="556" spans="1:7" ht="12.75">
      <c r="A556" s="97"/>
      <c r="B556" s="76"/>
      <c r="C556" s="48"/>
      <c r="D556" s="44">
        <v>3514</v>
      </c>
      <c r="E556" s="58">
        <v>700000</v>
      </c>
      <c r="F556" s="107"/>
      <c r="G556" s="96"/>
    </row>
    <row r="557" spans="1:7" ht="25.5">
      <c r="A557" s="97">
        <v>92</v>
      </c>
      <c r="B557" s="75" t="s">
        <v>156</v>
      </c>
      <c r="C557" s="53">
        <f>+E557</f>
        <v>2370245</v>
      </c>
      <c r="D557" s="49">
        <v>3000</v>
      </c>
      <c r="E557" s="59">
        <f>+E558</f>
        <v>2370245</v>
      </c>
      <c r="F557" s="107"/>
      <c r="G557" s="96"/>
    </row>
    <row r="558" spans="1:7" ht="12.75">
      <c r="A558" s="97"/>
      <c r="B558" s="76"/>
      <c r="C558" s="48"/>
      <c r="D558" s="44">
        <v>3403</v>
      </c>
      <c r="E558" s="58">
        <v>2370245</v>
      </c>
      <c r="F558" s="107"/>
      <c r="G558" s="96"/>
    </row>
    <row r="559" spans="1:7" ht="12.75">
      <c r="A559" s="97">
        <v>93</v>
      </c>
      <c r="B559" s="75" t="s">
        <v>435</v>
      </c>
      <c r="C559" s="71">
        <f>+E559</f>
        <v>3600</v>
      </c>
      <c r="D559" s="52">
        <v>2000</v>
      </c>
      <c r="E559" s="70">
        <f>+E560</f>
        <v>3600</v>
      </c>
      <c r="F559" s="107"/>
      <c r="G559" s="96"/>
    </row>
    <row r="560" spans="1:7" ht="12.75">
      <c r="A560" s="97"/>
      <c r="B560" s="76"/>
      <c r="C560" s="52"/>
      <c r="D560" s="38">
        <v>2101</v>
      </c>
      <c r="E560" s="69">
        <v>3600</v>
      </c>
      <c r="F560" s="107"/>
      <c r="G560" s="96"/>
    </row>
    <row r="561" spans="1:7" ht="38.25">
      <c r="A561" s="97">
        <v>94</v>
      </c>
      <c r="B561" s="75" t="s">
        <v>436</v>
      </c>
      <c r="C561" s="71">
        <f>+E561+E564</f>
        <v>183600</v>
      </c>
      <c r="D561" s="52">
        <v>2000</v>
      </c>
      <c r="E561" s="70">
        <f>SUM(E562:E563)</f>
        <v>3800</v>
      </c>
      <c r="F561" s="107"/>
      <c r="G561" s="96"/>
    </row>
    <row r="562" spans="1:7" ht="12.75">
      <c r="A562" s="97"/>
      <c r="B562" s="75"/>
      <c r="C562" s="37"/>
      <c r="D562" s="38">
        <v>2101</v>
      </c>
      <c r="E562" s="69">
        <v>1400</v>
      </c>
      <c r="F562" s="107"/>
      <c r="G562" s="96"/>
    </row>
    <row r="563" spans="1:7" ht="12.75">
      <c r="A563" s="97"/>
      <c r="B563" s="75"/>
      <c r="C563" s="37"/>
      <c r="D563" s="38">
        <v>2105</v>
      </c>
      <c r="E563" s="69">
        <v>2400</v>
      </c>
      <c r="F563" s="107"/>
      <c r="G563" s="96"/>
    </row>
    <row r="564" spans="1:7" ht="12.75">
      <c r="A564" s="97"/>
      <c r="B564" s="75"/>
      <c r="C564" s="37"/>
      <c r="D564" s="52">
        <v>3000</v>
      </c>
      <c r="E564" s="70">
        <f>+E565</f>
        <v>179800</v>
      </c>
      <c r="F564" s="107"/>
      <c r="G564" s="96"/>
    </row>
    <row r="565" spans="1:7" ht="12.75">
      <c r="A565" s="97"/>
      <c r="B565" s="76"/>
      <c r="C565" s="72"/>
      <c r="D565" s="38">
        <v>3301</v>
      </c>
      <c r="E565" s="69">
        <v>179800</v>
      </c>
      <c r="F565" s="107"/>
      <c r="G565" s="96"/>
    </row>
    <row r="566" spans="1:7" s="144" customFormat="1" ht="12.75">
      <c r="A566" s="130"/>
      <c r="B566" s="134" t="s">
        <v>599</v>
      </c>
      <c r="C566" s="135">
        <f>SUM(C567:C631)</f>
        <v>3202750.8</v>
      </c>
      <c r="D566" s="162"/>
      <c r="E566" s="135">
        <f>SUM(E567:E631)/2</f>
        <v>3202750.7999999993</v>
      </c>
      <c r="F566" s="164"/>
      <c r="G566" s="137"/>
    </row>
    <row r="567" spans="1:39" s="41" customFormat="1" ht="25.5">
      <c r="A567" s="97">
        <v>95</v>
      </c>
      <c r="B567" s="75" t="s">
        <v>406</v>
      </c>
      <c r="C567" s="48">
        <f>+E567+E570</f>
        <v>930000</v>
      </c>
      <c r="D567" s="49">
        <v>2000</v>
      </c>
      <c r="E567" s="59">
        <f>SUM(E568:E569)</f>
        <v>300000</v>
      </c>
      <c r="F567" s="109"/>
      <c r="G567" s="98"/>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row>
    <row r="568" spans="1:39" s="41" customFormat="1" ht="12.75">
      <c r="A568" s="97"/>
      <c r="B568" s="75"/>
      <c r="C568" s="49"/>
      <c r="D568" s="44">
        <v>2702</v>
      </c>
      <c r="E568" s="58">
        <v>150000</v>
      </c>
      <c r="F568" s="109"/>
      <c r="G568" s="98"/>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row>
    <row r="569" spans="1:39" s="41" customFormat="1" ht="12.75">
      <c r="A569" s="97"/>
      <c r="B569" s="75"/>
      <c r="C569" s="49"/>
      <c r="D569" s="44">
        <v>2703</v>
      </c>
      <c r="E569" s="58">
        <v>150000</v>
      </c>
      <c r="F569" s="109">
        <f>7286793+10804922+10509070+4925000+5737067</f>
        <v>39262852</v>
      </c>
      <c r="G569" s="98"/>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row>
    <row r="570" spans="1:39" s="41" customFormat="1" ht="12.75">
      <c r="A570" s="97"/>
      <c r="B570" s="75"/>
      <c r="C570" s="49"/>
      <c r="D570" s="49">
        <v>3000</v>
      </c>
      <c r="E570" s="59">
        <f>SUM(E571)</f>
        <v>630000</v>
      </c>
      <c r="F570" s="109"/>
      <c r="G570" s="98"/>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row>
    <row r="571" spans="1:39" s="41" customFormat="1" ht="12.75">
      <c r="A571" s="97"/>
      <c r="B571" s="76"/>
      <c r="C571" s="54"/>
      <c r="D571" s="43">
        <v>3802</v>
      </c>
      <c r="E571" s="55">
        <v>630000</v>
      </c>
      <c r="F571" s="112"/>
      <c r="G571" s="98"/>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row>
    <row r="572" spans="1:39" s="41" customFormat="1" ht="25.5">
      <c r="A572" s="97">
        <v>96</v>
      </c>
      <c r="B572" s="75" t="s">
        <v>423</v>
      </c>
      <c r="C572" s="48">
        <f>+E572+E582</f>
        <v>586362</v>
      </c>
      <c r="D572" s="49">
        <v>2000</v>
      </c>
      <c r="E572" s="59">
        <f>SUM(E573:E581)</f>
        <v>268764.39999999997</v>
      </c>
      <c r="F572" s="109"/>
      <c r="G572" s="98"/>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row>
    <row r="573" spans="1:39" s="41" customFormat="1" ht="12.75">
      <c r="A573" s="97"/>
      <c r="B573" s="75"/>
      <c r="C573" s="48"/>
      <c r="D573" s="44">
        <v>2101</v>
      </c>
      <c r="E573" s="58">
        <v>87955.9</v>
      </c>
      <c r="F573" s="109"/>
      <c r="G573" s="98"/>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row>
    <row r="574" spans="1:39" s="41" customFormat="1" ht="12.75">
      <c r="A574" s="97"/>
      <c r="B574" s="75"/>
      <c r="C574" s="48"/>
      <c r="D574" s="44">
        <v>2104</v>
      </c>
      <c r="E574" s="58">
        <v>20160.6</v>
      </c>
      <c r="F574" s="109"/>
      <c r="G574" s="98"/>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row>
    <row r="575" spans="1:39" s="41" customFormat="1" ht="12.75">
      <c r="A575" s="97"/>
      <c r="B575" s="75"/>
      <c r="C575" s="48"/>
      <c r="D575" s="44">
        <v>2105</v>
      </c>
      <c r="E575" s="58">
        <v>21076.4</v>
      </c>
      <c r="F575" s="109"/>
      <c r="G575" s="98"/>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row>
    <row r="576" spans="1:39" s="41" customFormat="1" ht="12.75">
      <c r="A576" s="97"/>
      <c r="B576" s="75"/>
      <c r="C576" s="48"/>
      <c r="D576" s="44">
        <v>2106</v>
      </c>
      <c r="E576" s="58">
        <v>16199.3</v>
      </c>
      <c r="F576" s="109"/>
      <c r="G576" s="98"/>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row>
    <row r="577" spans="1:39" s="41" customFormat="1" ht="12.75">
      <c r="A577" s="97"/>
      <c r="B577" s="75"/>
      <c r="C577" s="48"/>
      <c r="D577" s="44">
        <v>2201</v>
      </c>
      <c r="E577" s="58">
        <v>66042.1</v>
      </c>
      <c r="F577" s="109"/>
      <c r="G577" s="98"/>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row>
    <row r="578" spans="1:39" s="41" customFormat="1" ht="12.75">
      <c r="A578" s="97"/>
      <c r="B578" s="75"/>
      <c r="C578" s="48"/>
      <c r="D578" s="44">
        <v>2206</v>
      </c>
      <c r="E578" s="58">
        <v>411.8</v>
      </c>
      <c r="F578" s="109"/>
      <c r="G578" s="98"/>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row>
    <row r="579" spans="1:39" s="41" customFormat="1" ht="12.75">
      <c r="A579" s="97"/>
      <c r="B579" s="75"/>
      <c r="C579" s="48"/>
      <c r="D579" s="44">
        <v>2304</v>
      </c>
      <c r="E579" s="58">
        <v>1141.5</v>
      </c>
      <c r="F579" s="109"/>
      <c r="G579" s="98"/>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row>
    <row r="580" spans="1:39" s="41" customFormat="1" ht="12.75">
      <c r="A580" s="97"/>
      <c r="B580" s="75"/>
      <c r="C580" s="48"/>
      <c r="D580" s="44">
        <v>2403</v>
      </c>
      <c r="E580" s="58">
        <v>11776.8</v>
      </c>
      <c r="F580" s="109"/>
      <c r="G580" s="98"/>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row>
    <row r="581" spans="1:39" s="41" customFormat="1" ht="12.75">
      <c r="A581" s="97"/>
      <c r="B581" s="75"/>
      <c r="C581" s="48"/>
      <c r="D581" s="44">
        <v>2601</v>
      </c>
      <c r="E581" s="58">
        <v>44000</v>
      </c>
      <c r="F581" s="109"/>
      <c r="G581" s="98"/>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row>
    <row r="582" spans="1:39" s="41" customFormat="1" ht="12.75">
      <c r="A582" s="97"/>
      <c r="B582" s="75"/>
      <c r="C582" s="48"/>
      <c r="D582" s="49">
        <v>3000</v>
      </c>
      <c r="E582" s="59">
        <f>SUM(E583:E588)</f>
        <v>317597.6</v>
      </c>
      <c r="F582" s="109"/>
      <c r="G582" s="98"/>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row>
    <row r="583" spans="1:39" s="41" customFormat="1" ht="12.75">
      <c r="A583" s="97"/>
      <c r="B583" s="75"/>
      <c r="C583" s="48"/>
      <c r="D583" s="44">
        <v>3205</v>
      </c>
      <c r="E583" s="58">
        <v>15270.9</v>
      </c>
      <c r="F583" s="109"/>
      <c r="G583" s="98"/>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row>
    <row r="584" spans="1:39" s="41" customFormat="1" ht="12.75">
      <c r="A584" s="97"/>
      <c r="B584" s="75"/>
      <c r="C584" s="48"/>
      <c r="D584" s="44">
        <v>3401</v>
      </c>
      <c r="E584" s="58">
        <v>1942.6</v>
      </c>
      <c r="F584" s="109"/>
      <c r="G584" s="98"/>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row>
    <row r="585" spans="1:39" s="41" customFormat="1" ht="12.75">
      <c r="A585" s="97"/>
      <c r="B585" s="75"/>
      <c r="C585" s="48"/>
      <c r="D585" s="44">
        <v>3701</v>
      </c>
      <c r="E585" s="58">
        <v>99000</v>
      </c>
      <c r="F585" s="109"/>
      <c r="G585" s="98"/>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row>
    <row r="586" spans="1:39" s="41" customFormat="1" ht="12.75">
      <c r="A586" s="97"/>
      <c r="B586" s="75"/>
      <c r="C586" s="48"/>
      <c r="D586" s="44">
        <v>3702</v>
      </c>
      <c r="E586" s="58">
        <v>52800</v>
      </c>
      <c r="F586" s="109"/>
      <c r="G586" s="98"/>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row>
    <row r="587" spans="1:39" s="41" customFormat="1" ht="12.75">
      <c r="A587" s="97"/>
      <c r="B587" s="75"/>
      <c r="C587" s="48"/>
      <c r="D587" s="44">
        <v>3801</v>
      </c>
      <c r="E587" s="58">
        <v>146587.6</v>
      </c>
      <c r="F587" s="109"/>
      <c r="G587" s="98"/>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row>
    <row r="588" spans="1:39" s="41" customFormat="1" ht="12.75">
      <c r="A588" s="97"/>
      <c r="B588" s="76"/>
      <c r="C588" s="48"/>
      <c r="D588" s="44">
        <v>3903</v>
      </c>
      <c r="E588" s="58">
        <v>1996.5</v>
      </c>
      <c r="F588" s="109"/>
      <c r="G588" s="98"/>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row>
    <row r="589" spans="1:39" s="41" customFormat="1" ht="25.5">
      <c r="A589" s="97">
        <v>97</v>
      </c>
      <c r="B589" s="86" t="s">
        <v>119</v>
      </c>
      <c r="C589" s="48">
        <f>+E589+E599</f>
        <v>444310.80000000005</v>
      </c>
      <c r="D589" s="49">
        <v>2000</v>
      </c>
      <c r="E589" s="59">
        <f>SUM(E590:E598)</f>
        <v>107921.40000000001</v>
      </c>
      <c r="F589" s="109"/>
      <c r="G589" s="98"/>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row>
    <row r="590" spans="1:39" s="41" customFormat="1" ht="12.75" customHeight="1">
      <c r="A590" s="97"/>
      <c r="B590" s="75"/>
      <c r="C590" s="48"/>
      <c r="D590" s="44">
        <v>2101</v>
      </c>
      <c r="E590" s="58">
        <v>29318.6</v>
      </c>
      <c r="F590" s="109"/>
      <c r="G590" s="98"/>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row>
    <row r="591" spans="1:39" s="41" customFormat="1" ht="12.75">
      <c r="A591" s="97"/>
      <c r="B591" s="75"/>
      <c r="C591" s="48"/>
      <c r="D591" s="44">
        <v>2104</v>
      </c>
      <c r="E591" s="58">
        <v>6720.2</v>
      </c>
      <c r="F591" s="109"/>
      <c r="G591" s="98"/>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row>
    <row r="592" spans="1:39" s="41" customFormat="1" ht="12.75">
      <c r="A592" s="97"/>
      <c r="B592" s="75"/>
      <c r="C592" s="48"/>
      <c r="D592" s="44">
        <v>2105</v>
      </c>
      <c r="E592" s="58">
        <v>7025.5</v>
      </c>
      <c r="F592" s="109"/>
      <c r="G592" s="98"/>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row>
    <row r="593" spans="1:39" s="41" customFormat="1" ht="12.75">
      <c r="A593" s="97"/>
      <c r="B593" s="75"/>
      <c r="C593" s="48"/>
      <c r="D593" s="44">
        <v>2106</v>
      </c>
      <c r="E593" s="58">
        <v>5399.7</v>
      </c>
      <c r="F593" s="109"/>
      <c r="G593" s="98"/>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row>
    <row r="594" spans="1:39" s="41" customFormat="1" ht="12.75">
      <c r="A594" s="97"/>
      <c r="B594" s="75"/>
      <c r="C594" s="48"/>
      <c r="D594" s="44">
        <v>2201</v>
      </c>
      <c r="E594" s="58">
        <v>22014</v>
      </c>
      <c r="F594" s="109"/>
      <c r="G594" s="98"/>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row>
    <row r="595" spans="1:39" s="41" customFormat="1" ht="12.75">
      <c r="A595" s="97"/>
      <c r="B595" s="75"/>
      <c r="C595" s="48"/>
      <c r="D595" s="44">
        <v>2206</v>
      </c>
      <c r="E595" s="58">
        <v>137.3</v>
      </c>
      <c r="F595" s="109"/>
      <c r="G595" s="98"/>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row>
    <row r="596" spans="1:39" s="41" customFormat="1" ht="12.75">
      <c r="A596" s="97"/>
      <c r="B596" s="75"/>
      <c r="C596" s="48"/>
      <c r="D596" s="44">
        <v>2304</v>
      </c>
      <c r="E596" s="58">
        <v>380.5</v>
      </c>
      <c r="F596" s="109"/>
      <c r="G596" s="98"/>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row>
    <row r="597" spans="1:39" s="41" customFormat="1" ht="12.75">
      <c r="A597" s="97"/>
      <c r="B597" s="75"/>
      <c r="C597" s="48"/>
      <c r="D597" s="44">
        <v>2403</v>
      </c>
      <c r="E597" s="58">
        <v>3925.6</v>
      </c>
      <c r="F597" s="109"/>
      <c r="G597" s="98"/>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row>
    <row r="598" spans="1:39" s="41" customFormat="1" ht="12.75">
      <c r="A598" s="97"/>
      <c r="B598" s="75"/>
      <c r="C598" s="48"/>
      <c r="D598" s="44">
        <v>2601</v>
      </c>
      <c r="E598" s="58">
        <v>33000</v>
      </c>
      <c r="F598" s="109"/>
      <c r="G598" s="98"/>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row>
    <row r="599" spans="1:39" s="41" customFormat="1" ht="12.75">
      <c r="A599" s="97"/>
      <c r="B599" s="75"/>
      <c r="C599" s="48"/>
      <c r="D599" s="49">
        <v>3000</v>
      </c>
      <c r="E599" s="59">
        <f>SUM(E600:E604)</f>
        <v>336389.4</v>
      </c>
      <c r="F599" s="109"/>
      <c r="G599" s="98"/>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row>
    <row r="600" spans="1:39" s="41" customFormat="1" ht="12.75">
      <c r="A600" s="97"/>
      <c r="B600" s="75"/>
      <c r="C600" s="48"/>
      <c r="D600" s="44">
        <v>3205</v>
      </c>
      <c r="E600" s="58">
        <v>5090.3</v>
      </c>
      <c r="F600" s="109"/>
      <c r="G600" s="98"/>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row>
    <row r="601" spans="1:39" s="41" customFormat="1" ht="12.75">
      <c r="A601" s="97"/>
      <c r="B601" s="75"/>
      <c r="C601" s="48"/>
      <c r="D601" s="44">
        <v>3301</v>
      </c>
      <c r="E601" s="58">
        <v>111526.8</v>
      </c>
      <c r="F601" s="109"/>
      <c r="G601" s="98"/>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row>
    <row r="602" spans="1:39" s="41" customFormat="1" ht="12.75">
      <c r="A602" s="97"/>
      <c r="B602" s="75"/>
      <c r="C602" s="48"/>
      <c r="D602" s="44">
        <v>3401</v>
      </c>
      <c r="E602" s="58">
        <v>646.8</v>
      </c>
      <c r="F602" s="109"/>
      <c r="G602" s="98"/>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row>
    <row r="603" spans="1:39" s="41" customFormat="1" ht="12.75">
      <c r="A603" s="97"/>
      <c r="B603" s="75"/>
      <c r="C603" s="48"/>
      <c r="D603" s="44">
        <v>3702</v>
      </c>
      <c r="E603" s="58">
        <v>184582.2</v>
      </c>
      <c r="F603" s="109"/>
      <c r="G603" s="98"/>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row>
    <row r="604" spans="1:39" s="41" customFormat="1" ht="12.75">
      <c r="A604" s="97"/>
      <c r="B604" s="76"/>
      <c r="C604" s="48"/>
      <c r="D604" s="44">
        <v>3903</v>
      </c>
      <c r="E604" s="58">
        <v>34543.3</v>
      </c>
      <c r="F604" s="109"/>
      <c r="G604" s="98"/>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row>
    <row r="605" spans="1:39" s="41" customFormat="1" ht="25.5">
      <c r="A605" s="97">
        <v>98</v>
      </c>
      <c r="B605" s="75" t="s">
        <v>120</v>
      </c>
      <c r="C605" s="48">
        <f>+E605+E615</f>
        <v>540878</v>
      </c>
      <c r="D605" s="49">
        <v>2000</v>
      </c>
      <c r="E605" s="59">
        <f>SUM(E606:E614)</f>
        <v>96921.40000000001</v>
      </c>
      <c r="F605" s="109"/>
      <c r="G605" s="98"/>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row>
    <row r="606" spans="1:39" s="41" customFormat="1" ht="12.75">
      <c r="A606" s="97"/>
      <c r="B606" s="75"/>
      <c r="C606" s="48"/>
      <c r="D606" s="44">
        <v>2101</v>
      </c>
      <c r="E606" s="58">
        <v>29318.6</v>
      </c>
      <c r="F606" s="109"/>
      <c r="G606" s="98"/>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row>
    <row r="607" spans="1:39" s="41" customFormat="1" ht="12.75">
      <c r="A607" s="97"/>
      <c r="B607" s="75"/>
      <c r="C607" s="48"/>
      <c r="D607" s="44">
        <v>2104</v>
      </c>
      <c r="E607" s="58">
        <v>6720.2</v>
      </c>
      <c r="F607" s="109"/>
      <c r="G607" s="98"/>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row>
    <row r="608" spans="1:39" s="41" customFormat="1" ht="12.75">
      <c r="A608" s="97"/>
      <c r="B608" s="75"/>
      <c r="C608" s="48"/>
      <c r="D608" s="44">
        <v>2105</v>
      </c>
      <c r="E608" s="58">
        <v>7025.5</v>
      </c>
      <c r="F608" s="109"/>
      <c r="G608" s="98"/>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row>
    <row r="609" spans="1:39" s="41" customFormat="1" ht="12.75">
      <c r="A609" s="97"/>
      <c r="B609" s="75"/>
      <c r="C609" s="48"/>
      <c r="D609" s="44">
        <v>2106</v>
      </c>
      <c r="E609" s="58">
        <v>5399.7</v>
      </c>
      <c r="F609" s="109"/>
      <c r="G609" s="98"/>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row>
    <row r="610" spans="1:39" s="41" customFormat="1" ht="12.75">
      <c r="A610" s="97"/>
      <c r="B610" s="75"/>
      <c r="C610" s="48"/>
      <c r="D610" s="44">
        <v>2201</v>
      </c>
      <c r="E610" s="58">
        <v>22014</v>
      </c>
      <c r="F610" s="109"/>
      <c r="G610" s="98"/>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row>
    <row r="611" spans="1:39" s="41" customFormat="1" ht="12.75">
      <c r="A611" s="97"/>
      <c r="B611" s="75"/>
      <c r="C611" s="48"/>
      <c r="D611" s="44">
        <v>2206</v>
      </c>
      <c r="E611" s="58">
        <v>137.3</v>
      </c>
      <c r="F611" s="109"/>
      <c r="G611" s="98"/>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row>
    <row r="612" spans="1:39" s="41" customFormat="1" ht="12.75">
      <c r="A612" s="97"/>
      <c r="B612" s="75"/>
      <c r="C612" s="48"/>
      <c r="D612" s="44">
        <v>2304</v>
      </c>
      <c r="E612" s="58">
        <v>380.5</v>
      </c>
      <c r="F612" s="109"/>
      <c r="G612" s="98"/>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row>
    <row r="613" spans="1:39" s="41" customFormat="1" ht="12.75">
      <c r="A613" s="97"/>
      <c r="B613" s="75"/>
      <c r="C613" s="48"/>
      <c r="D613" s="44">
        <v>2403</v>
      </c>
      <c r="E613" s="58">
        <v>3925.6</v>
      </c>
      <c r="F613" s="109"/>
      <c r="G613" s="98"/>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row>
    <row r="614" spans="1:39" s="41" customFormat="1" ht="12.75">
      <c r="A614" s="97"/>
      <c r="B614" s="75"/>
      <c r="C614" s="48"/>
      <c r="D614" s="44">
        <v>2601</v>
      </c>
      <c r="E614" s="58">
        <v>22000</v>
      </c>
      <c r="F614" s="109"/>
      <c r="G614" s="98"/>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row>
    <row r="615" spans="1:39" s="41" customFormat="1" ht="12.75">
      <c r="A615" s="97"/>
      <c r="B615" s="75"/>
      <c r="C615" s="48"/>
      <c r="D615" s="49">
        <v>3000</v>
      </c>
      <c r="E615" s="59">
        <f>SUM(E616:E620)</f>
        <v>443956.6</v>
      </c>
      <c r="F615" s="109"/>
      <c r="G615" s="98"/>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row>
    <row r="616" spans="1:39" s="41" customFormat="1" ht="12.75">
      <c r="A616" s="97"/>
      <c r="B616" s="75"/>
      <c r="C616" s="48"/>
      <c r="D616" s="44">
        <v>3205</v>
      </c>
      <c r="E616" s="58">
        <v>5090.3</v>
      </c>
      <c r="F616" s="109"/>
      <c r="G616" s="98"/>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row>
    <row r="617" spans="1:39" s="41" customFormat="1" ht="12.75">
      <c r="A617" s="97"/>
      <c r="B617" s="75"/>
      <c r="C617" s="48"/>
      <c r="D617" s="44">
        <v>3301</v>
      </c>
      <c r="E617" s="58">
        <v>167284</v>
      </c>
      <c r="F617" s="109"/>
      <c r="G617" s="98"/>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row>
    <row r="618" spans="1:39" s="41" customFormat="1" ht="12.75">
      <c r="A618" s="97"/>
      <c r="B618" s="75"/>
      <c r="C618" s="48"/>
      <c r="D618" s="44">
        <v>3401</v>
      </c>
      <c r="E618" s="58">
        <v>646.8</v>
      </c>
      <c r="F618" s="109"/>
      <c r="G618" s="98"/>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row>
    <row r="619" spans="1:39" s="41" customFormat="1" ht="12.75">
      <c r="A619" s="97"/>
      <c r="B619" s="75"/>
      <c r="C619" s="48"/>
      <c r="D619" s="44">
        <v>3702</v>
      </c>
      <c r="E619" s="58">
        <v>267520</v>
      </c>
      <c r="F619" s="109"/>
      <c r="G619" s="98"/>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row>
    <row r="620" spans="1:39" s="41" customFormat="1" ht="12.75">
      <c r="A620" s="97"/>
      <c r="B620" s="76"/>
      <c r="C620" s="48"/>
      <c r="D620" s="44">
        <v>3903</v>
      </c>
      <c r="E620" s="58">
        <v>3415.5</v>
      </c>
      <c r="F620" s="109"/>
      <c r="G620" s="98"/>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row>
    <row r="621" spans="1:39" s="41" customFormat="1" ht="12.75" customHeight="1">
      <c r="A621" s="97">
        <v>99</v>
      </c>
      <c r="B621" s="75" t="s">
        <v>424</v>
      </c>
      <c r="C621" s="48">
        <f>+E621</f>
        <v>651200</v>
      </c>
      <c r="D621" s="49">
        <v>3000</v>
      </c>
      <c r="E621" s="59">
        <f>SUM(E622:E624)</f>
        <v>651200</v>
      </c>
      <c r="F621" s="109"/>
      <c r="G621" s="98"/>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row>
    <row r="622" spans="1:39" s="41" customFormat="1" ht="12.75" customHeight="1">
      <c r="A622" s="97"/>
      <c r="B622" s="75"/>
      <c r="C622" s="48"/>
      <c r="D622" s="44">
        <v>3301</v>
      </c>
      <c r="E622" s="58">
        <v>202400</v>
      </c>
      <c r="F622" s="109"/>
      <c r="G622" s="98"/>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row>
    <row r="623" spans="1:39" s="41" customFormat="1" ht="12.75">
      <c r="A623" s="97"/>
      <c r="B623" s="75"/>
      <c r="C623" s="48"/>
      <c r="D623" s="44">
        <v>3701</v>
      </c>
      <c r="E623" s="58">
        <v>206800</v>
      </c>
      <c r="F623" s="109"/>
      <c r="G623" s="98"/>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row>
    <row r="624" spans="1:39" s="41" customFormat="1" ht="12.75">
      <c r="A624" s="97"/>
      <c r="B624" s="76"/>
      <c r="C624" s="57"/>
      <c r="D624" s="42">
        <v>3702</v>
      </c>
      <c r="E624" s="55">
        <v>242000</v>
      </c>
      <c r="F624" s="112"/>
      <c r="G624" s="98"/>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row>
    <row r="625" spans="1:39" s="41" customFormat="1" ht="12.75">
      <c r="A625" s="97">
        <v>100</v>
      </c>
      <c r="B625" s="75" t="s">
        <v>448</v>
      </c>
      <c r="C625" s="48">
        <f>+E625+E628</f>
        <v>50000</v>
      </c>
      <c r="D625" s="49">
        <v>2000</v>
      </c>
      <c r="E625" s="59">
        <f>SUM(E626:E627)</f>
        <v>17000</v>
      </c>
      <c r="F625" s="109"/>
      <c r="G625" s="98"/>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row>
    <row r="626" spans="1:39" s="41" customFormat="1" ht="12.75">
      <c r="A626" s="97"/>
      <c r="B626" s="75"/>
      <c r="C626" s="49"/>
      <c r="D626" s="44">
        <v>2101</v>
      </c>
      <c r="E626" s="58">
        <v>7000</v>
      </c>
      <c r="F626" s="109"/>
      <c r="G626" s="98"/>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row>
    <row r="627" spans="1:39" s="41" customFormat="1" ht="12.75">
      <c r="A627" s="97"/>
      <c r="B627" s="75"/>
      <c r="C627" s="49"/>
      <c r="D627" s="44">
        <v>2601</v>
      </c>
      <c r="E627" s="58">
        <v>10000</v>
      </c>
      <c r="F627" s="109" t="s">
        <v>154</v>
      </c>
      <c r="G627" s="98"/>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row>
    <row r="628" spans="1:39" s="41" customFormat="1" ht="12.75">
      <c r="A628" s="97"/>
      <c r="B628" s="75"/>
      <c r="C628" s="49"/>
      <c r="D628" s="49">
        <v>3000</v>
      </c>
      <c r="E628" s="59">
        <f>SUM(E629:E631)</f>
        <v>33000</v>
      </c>
      <c r="F628" s="109"/>
      <c r="G628" s="98"/>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row>
    <row r="629" spans="1:39" s="41" customFormat="1" ht="12.75">
      <c r="A629" s="97"/>
      <c r="B629" s="75"/>
      <c r="C629" s="49"/>
      <c r="D629" s="44">
        <v>3702</v>
      </c>
      <c r="E629" s="58">
        <v>25000</v>
      </c>
      <c r="F629" s="109"/>
      <c r="G629" s="98"/>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row>
    <row r="630" spans="1:39" s="41" customFormat="1" ht="12.75">
      <c r="A630" s="97"/>
      <c r="B630" s="75"/>
      <c r="C630" s="49"/>
      <c r="D630" s="44">
        <v>3703</v>
      </c>
      <c r="E630" s="58">
        <v>5000</v>
      </c>
      <c r="F630" s="109"/>
      <c r="G630" s="98"/>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row>
    <row r="631" spans="1:39" s="41" customFormat="1" ht="22.5">
      <c r="A631" s="97"/>
      <c r="B631" s="76"/>
      <c r="C631" s="49"/>
      <c r="D631" s="44">
        <v>3902</v>
      </c>
      <c r="E631" s="58">
        <v>3000</v>
      </c>
      <c r="F631" s="109" t="s">
        <v>235</v>
      </c>
      <c r="G631" s="98"/>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row>
    <row r="632" spans="1:7" s="144" customFormat="1" ht="12.75">
      <c r="A632" s="130"/>
      <c r="B632" s="134" t="s">
        <v>602</v>
      </c>
      <c r="C632" s="135">
        <f>SUM(C633:C678)</f>
        <v>28600784.71</v>
      </c>
      <c r="D632" s="162"/>
      <c r="E632" s="135">
        <f>SUM(E633:E678)/2</f>
        <v>28600784.71</v>
      </c>
      <c r="F632" s="164"/>
      <c r="G632" s="137"/>
    </row>
    <row r="633" spans="1:39" s="41" customFormat="1" ht="25.5">
      <c r="A633" s="97">
        <v>101</v>
      </c>
      <c r="B633" s="75" t="s">
        <v>453</v>
      </c>
      <c r="C633" s="48">
        <f>+E633+E652+E671</f>
        <v>28600784.71</v>
      </c>
      <c r="D633" s="49">
        <v>2000</v>
      </c>
      <c r="E633" s="59">
        <f>SUM(E634:E651)</f>
        <v>7286792.640000001</v>
      </c>
      <c r="F633" s="108"/>
      <c r="G633" s="98"/>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row>
    <row r="634" spans="1:39" s="41" customFormat="1" ht="12.75">
      <c r="A634" s="97"/>
      <c r="B634" s="75"/>
      <c r="D634" s="189">
        <v>2101</v>
      </c>
      <c r="E634" s="190">
        <v>1260056.6</v>
      </c>
      <c r="F634" s="108"/>
      <c r="G634" s="98"/>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row>
    <row r="635" spans="1:39" s="41" customFormat="1" ht="12.75">
      <c r="A635" s="97"/>
      <c r="B635" s="75"/>
      <c r="D635" s="189">
        <v>2102</v>
      </c>
      <c r="E635" s="191">
        <v>678379.8</v>
      </c>
      <c r="F635" s="108"/>
      <c r="G635" s="98"/>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row>
    <row r="636" spans="1:39" s="41" customFormat="1" ht="12.75">
      <c r="A636" s="97"/>
      <c r="B636" s="75"/>
      <c r="D636" s="189">
        <v>2103</v>
      </c>
      <c r="E636" s="192">
        <v>535841.24</v>
      </c>
      <c r="F636" s="108"/>
      <c r="G636" s="98"/>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row>
    <row r="637" spans="1:39" s="41" customFormat="1" ht="12.75">
      <c r="A637" s="97"/>
      <c r="B637" s="75"/>
      <c r="D637" s="189">
        <v>2104</v>
      </c>
      <c r="E637" s="193">
        <f>180000+225000+135000</f>
        <v>540000</v>
      </c>
      <c r="F637" s="108"/>
      <c r="G637" s="98"/>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row>
    <row r="638" spans="1:39" s="41" customFormat="1" ht="12.75">
      <c r="A638" s="97"/>
      <c r="B638" s="75"/>
      <c r="D638" s="189">
        <v>2105</v>
      </c>
      <c r="E638" s="193">
        <v>1600000</v>
      </c>
      <c r="F638" s="195"/>
      <c r="G638" s="98"/>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row>
    <row r="639" spans="1:39" s="41" customFormat="1" ht="12.75">
      <c r="A639" s="97"/>
      <c r="B639" s="75"/>
      <c r="D639" s="189">
        <v>2207</v>
      </c>
      <c r="E639" s="193">
        <f>49600+15200</f>
        <v>64800</v>
      </c>
      <c r="F639" s="108"/>
      <c r="G639" s="98"/>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row>
    <row r="640" spans="1:39" s="41" customFormat="1" ht="12.75">
      <c r="A640" s="97"/>
      <c r="B640" s="75"/>
      <c r="D640" s="189">
        <v>2304</v>
      </c>
      <c r="E640" s="193">
        <v>250000</v>
      </c>
      <c r="F640" s="108"/>
      <c r="G640" s="98"/>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row>
    <row r="641" spans="1:39" s="41" customFormat="1" ht="12.75">
      <c r="A641" s="97"/>
      <c r="B641" s="75"/>
      <c r="D641" s="189">
        <v>2401</v>
      </c>
      <c r="E641" s="193">
        <v>250000</v>
      </c>
      <c r="F641" s="108"/>
      <c r="G641" s="98"/>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row>
    <row r="642" spans="1:39" s="41" customFormat="1" ht="12.75">
      <c r="A642" s="97"/>
      <c r="B642" s="75"/>
      <c r="D642" s="189">
        <v>2404</v>
      </c>
      <c r="E642" s="193">
        <v>150000</v>
      </c>
      <c r="F642" s="195"/>
      <c r="G642" s="98"/>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row>
    <row r="643" spans="1:39" s="41" customFormat="1" ht="12.75">
      <c r="A643" s="97"/>
      <c r="B643" s="75"/>
      <c r="D643" s="189">
        <v>2703</v>
      </c>
      <c r="E643" s="193">
        <v>200000</v>
      </c>
      <c r="F643" s="195"/>
      <c r="G643" s="98"/>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row>
    <row r="644" spans="1:39" s="41" customFormat="1" ht="12.75">
      <c r="A644" s="97"/>
      <c r="B644" s="75"/>
      <c r="D644" s="189">
        <v>2302</v>
      </c>
      <c r="E644" s="193">
        <v>600000</v>
      </c>
      <c r="F644" s="108"/>
      <c r="G644" s="98"/>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row>
    <row r="645" spans="1:39" s="41" customFormat="1" ht="12.75">
      <c r="A645" s="97"/>
      <c r="B645" s="75"/>
      <c r="D645" s="189">
        <v>2701</v>
      </c>
      <c r="E645" s="193">
        <v>707715</v>
      </c>
      <c r="F645" s="108"/>
      <c r="G645" s="98"/>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row>
    <row r="646" spans="1:39" s="41" customFormat="1" ht="12.75">
      <c r="A646" s="97"/>
      <c r="B646" s="75"/>
      <c r="D646" s="189">
        <v>2501</v>
      </c>
      <c r="E646" s="193">
        <v>80000</v>
      </c>
      <c r="F646" s="108"/>
      <c r="G646" s="98"/>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row>
    <row r="647" spans="1:39" s="41" customFormat="1" ht="12.75">
      <c r="A647" s="97"/>
      <c r="B647" s="75"/>
      <c r="D647" s="189">
        <v>2505</v>
      </c>
      <c r="E647" s="193">
        <v>120000</v>
      </c>
      <c r="F647" s="108"/>
      <c r="G647" s="98"/>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row>
    <row r="648" spans="1:39" s="41" customFormat="1" ht="12.75">
      <c r="A648" s="97"/>
      <c r="B648" s="75"/>
      <c r="D648" s="189">
        <v>2402</v>
      </c>
      <c r="E648" s="193">
        <v>150000</v>
      </c>
      <c r="F648" s="108"/>
      <c r="G648" s="98"/>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row>
    <row r="649" spans="1:39" s="41" customFormat="1" ht="12.75">
      <c r="A649" s="97"/>
      <c r="B649" s="75"/>
      <c r="D649" s="189">
        <v>2403</v>
      </c>
      <c r="E649" s="193">
        <v>50000</v>
      </c>
      <c r="F649" s="108"/>
      <c r="G649" s="98"/>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row>
    <row r="650" spans="1:39" s="41" customFormat="1" ht="12.75">
      <c r="A650" s="97"/>
      <c r="B650" s="75"/>
      <c r="D650" s="189">
        <v>2502</v>
      </c>
      <c r="E650" s="193">
        <v>5000</v>
      </c>
      <c r="F650" s="108"/>
      <c r="G650" s="98"/>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row>
    <row r="651" spans="1:39" s="41" customFormat="1" ht="12.75">
      <c r="A651" s="97"/>
      <c r="B651" s="75"/>
      <c r="D651" s="189">
        <v>2503</v>
      </c>
      <c r="E651" s="193">
        <v>45000</v>
      </c>
      <c r="F651" s="108"/>
      <c r="G651" s="98"/>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row>
    <row r="652" spans="1:39" s="41" customFormat="1" ht="12.75">
      <c r="A652" s="97"/>
      <c r="B652" s="75"/>
      <c r="C652" s="48"/>
      <c r="D652" s="49">
        <v>3000</v>
      </c>
      <c r="E652" s="59">
        <f>SUM(E653:E670)</f>
        <v>10804922.32</v>
      </c>
      <c r="F652" s="118"/>
      <c r="G652" s="98"/>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row>
    <row r="653" spans="1:39" s="41" customFormat="1" ht="12.75">
      <c r="A653" s="97"/>
      <c r="B653" s="75"/>
      <c r="C653" s="48"/>
      <c r="D653" s="44">
        <v>3103</v>
      </c>
      <c r="E653" s="58">
        <f>657732.15+328866.07</f>
        <v>986598.22</v>
      </c>
      <c r="F653" s="108"/>
      <c r="G653" s="98"/>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row>
    <row r="654" spans="1:39" s="41" customFormat="1" ht="12.75">
      <c r="A654" s="97"/>
      <c r="B654" s="75"/>
      <c r="C654" s="48"/>
      <c r="D654" s="44">
        <v>3104</v>
      </c>
      <c r="E654" s="58">
        <v>0</v>
      </c>
      <c r="F654" s="108"/>
      <c r="G654" s="98"/>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row>
    <row r="655" spans="1:39" s="41" customFormat="1" ht="12.75">
      <c r="A655" s="97"/>
      <c r="B655" s="75"/>
      <c r="C655" s="48"/>
      <c r="D655" s="44">
        <v>3106</v>
      </c>
      <c r="E655" s="58">
        <f>309237.5+165762.5</f>
        <v>475000</v>
      </c>
      <c r="F655" s="108"/>
      <c r="G655" s="98"/>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row>
    <row r="656" spans="1:39" s="41" customFormat="1" ht="12.75">
      <c r="A656" s="97"/>
      <c r="B656" s="75"/>
      <c r="C656" s="48"/>
      <c r="D656" s="44">
        <v>3107</v>
      </c>
      <c r="E656" s="58">
        <f>2470000+1330000</f>
        <v>3800000</v>
      </c>
      <c r="F656" s="108"/>
      <c r="G656" s="98"/>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row>
    <row r="657" spans="1:39" s="41" customFormat="1" ht="12.75">
      <c r="A657" s="97"/>
      <c r="B657" s="75"/>
      <c r="C657" s="48"/>
      <c r="D657" s="44">
        <v>3108</v>
      </c>
      <c r="E657" s="58">
        <v>441324.1</v>
      </c>
      <c r="F657" s="108"/>
      <c r="G657" s="98"/>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row>
    <row r="658" spans="1:39" s="41" customFormat="1" ht="12.75">
      <c r="A658" s="97"/>
      <c r="B658" s="75"/>
      <c r="C658" s="48"/>
      <c r="D658" s="44">
        <v>3109</v>
      </c>
      <c r="E658" s="58">
        <f>450000+550000</f>
        <v>1000000</v>
      </c>
      <c r="F658" s="108"/>
      <c r="G658" s="98"/>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row>
    <row r="659" spans="1:39" s="41" customFormat="1" ht="12.75">
      <c r="A659" s="97"/>
      <c r="B659" s="75"/>
      <c r="C659" s="48"/>
      <c r="D659" s="44">
        <v>3201</v>
      </c>
      <c r="E659" s="58">
        <f>810000+81000</f>
        <v>891000</v>
      </c>
      <c r="F659" s="108"/>
      <c r="G659" s="98"/>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row>
    <row r="660" spans="1:39" s="41" customFormat="1" ht="12.75">
      <c r="A660" s="97"/>
      <c r="B660" s="75"/>
      <c r="C660" s="48"/>
      <c r="D660" s="44">
        <v>3202</v>
      </c>
      <c r="E660" s="58">
        <f>494000+26000</f>
        <v>520000</v>
      </c>
      <c r="F660" s="108"/>
      <c r="G660" s="98"/>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row>
    <row r="661" spans="1:39" s="41" customFormat="1" ht="12.75">
      <c r="A661" s="97"/>
      <c r="B661" s="75"/>
      <c r="C661" s="48"/>
      <c r="D661" s="44">
        <v>3203</v>
      </c>
      <c r="E661" s="58">
        <v>52500</v>
      </c>
      <c r="F661" s="108"/>
      <c r="G661" s="98"/>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row>
    <row r="662" spans="1:39" s="41" customFormat="1" ht="12.75">
      <c r="A662" s="97"/>
      <c r="B662" s="75"/>
      <c r="C662" s="48"/>
      <c r="D662" s="44">
        <v>3204</v>
      </c>
      <c r="E662" s="58">
        <f>19000+18000</f>
        <v>37000</v>
      </c>
      <c r="F662" s="108"/>
      <c r="G662" s="98"/>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row>
    <row r="663" spans="1:39" s="41" customFormat="1" ht="12.75">
      <c r="A663" s="97"/>
      <c r="B663" s="75"/>
      <c r="C663" s="48"/>
      <c r="D663" s="44">
        <v>3303</v>
      </c>
      <c r="E663" s="58">
        <f>918000+484500</f>
        <v>1402500</v>
      </c>
      <c r="F663" s="108"/>
      <c r="G663" s="98"/>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row>
    <row r="664" spans="1:39" s="41" customFormat="1" ht="12.75">
      <c r="A664" s="97"/>
      <c r="B664" s="75"/>
      <c r="C664" s="48"/>
      <c r="D664" s="44">
        <v>3401</v>
      </c>
      <c r="E664" s="58">
        <f>189000+148500</f>
        <v>337500</v>
      </c>
      <c r="F664" s="108"/>
      <c r="G664" s="98"/>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row>
    <row r="665" spans="1:39" s="41" customFormat="1" ht="12.75">
      <c r="A665" s="97"/>
      <c r="B665" s="75"/>
      <c r="C665" s="48"/>
      <c r="D665" s="44">
        <v>3406</v>
      </c>
      <c r="E665" s="58">
        <v>0</v>
      </c>
      <c r="F665" s="108"/>
      <c r="G665" s="98"/>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row>
    <row r="666" spans="1:39" s="41" customFormat="1" ht="12.75">
      <c r="A666" s="97"/>
      <c r="B666" s="75"/>
      <c r="C666" s="48"/>
      <c r="D666" s="44">
        <v>3407</v>
      </c>
      <c r="E666" s="58">
        <f>288000+12000</f>
        <v>300000</v>
      </c>
      <c r="F666" s="108"/>
      <c r="G666" s="98"/>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row>
    <row r="667" spans="1:39" s="41" customFormat="1" ht="12.75">
      <c r="A667" s="97"/>
      <c r="B667" s="75"/>
      <c r="C667" s="48"/>
      <c r="D667" s="44">
        <v>3504</v>
      </c>
      <c r="E667" s="58">
        <f>290000+150000</f>
        <v>440000</v>
      </c>
      <c r="F667" s="108"/>
      <c r="G667" s="98"/>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row>
    <row r="668" spans="1:39" s="41" customFormat="1" ht="12.75">
      <c r="A668" s="97"/>
      <c r="B668" s="75"/>
      <c r="C668" s="48"/>
      <c r="D668" s="44">
        <v>3514</v>
      </c>
      <c r="E668" s="58">
        <v>0</v>
      </c>
      <c r="F668" s="108"/>
      <c r="G668" s="98"/>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row>
    <row r="669" spans="1:39" s="41" customFormat="1" ht="12.75">
      <c r="A669" s="97"/>
      <c r="B669" s="870"/>
      <c r="C669" s="48"/>
      <c r="D669" s="44">
        <v>3606</v>
      </c>
      <c r="E669" s="58">
        <f>88500+33000</f>
        <v>121500</v>
      </c>
      <c r="F669" s="108"/>
      <c r="G669" s="98"/>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row>
    <row r="670" spans="1:39" s="41" customFormat="1" ht="12.75">
      <c r="A670" s="97"/>
      <c r="B670" s="870"/>
      <c r="C670" s="48"/>
      <c r="D670" s="44">
        <v>3608</v>
      </c>
      <c r="E670" s="58">
        <v>0</v>
      </c>
      <c r="F670" s="108"/>
      <c r="G670" s="98"/>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row>
    <row r="671" spans="1:39" s="41" customFormat="1" ht="12.75">
      <c r="A671" s="97"/>
      <c r="B671" s="870"/>
      <c r="C671" s="48"/>
      <c r="D671" s="49">
        <v>5000</v>
      </c>
      <c r="E671" s="59">
        <f>SUM(E672:E678)</f>
        <v>10509069.75</v>
      </c>
      <c r="F671" s="108"/>
      <c r="G671" s="98"/>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row>
    <row r="672" spans="1:39" s="41" customFormat="1" ht="12.75">
      <c r="A672" s="97"/>
      <c r="B672" s="870"/>
      <c r="C672" s="48"/>
      <c r="D672" s="44">
        <v>5101</v>
      </c>
      <c r="E672" s="58">
        <v>1207715</v>
      </c>
      <c r="F672" s="108"/>
      <c r="G672" s="98"/>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row>
    <row r="673" spans="1:39" s="41" customFormat="1" ht="12.75">
      <c r="A673" s="97"/>
      <c r="B673" s="870"/>
      <c r="C673" s="48"/>
      <c r="D673" s="44">
        <v>5104</v>
      </c>
      <c r="E673" s="58">
        <v>603500</v>
      </c>
      <c r="F673" s="108"/>
      <c r="G673" s="98"/>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row>
    <row r="674" spans="1:39" s="41" customFormat="1" ht="12.75">
      <c r="A674" s="97"/>
      <c r="B674" s="870"/>
      <c r="C674" s="48"/>
      <c r="D674" s="44">
        <v>5105</v>
      </c>
      <c r="E674" s="58">
        <v>2046914</v>
      </c>
      <c r="F674" s="108"/>
      <c r="G674" s="98"/>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row>
    <row r="675" spans="1:39" s="41" customFormat="1" ht="12.75">
      <c r="A675" s="97"/>
      <c r="B675" s="870"/>
      <c r="C675" s="48"/>
      <c r="D675" s="44">
        <v>5202</v>
      </c>
      <c r="E675" s="58">
        <v>35000</v>
      </c>
      <c r="F675" s="108"/>
      <c r="G675" s="98"/>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row>
    <row r="676" spans="1:39" s="41" customFormat="1" ht="12.75">
      <c r="A676" s="97"/>
      <c r="B676" s="870"/>
      <c r="C676" s="48"/>
      <c r="D676" s="44">
        <v>5204</v>
      </c>
      <c r="E676" s="58">
        <v>330672</v>
      </c>
      <c r="F676" s="108"/>
      <c r="G676" s="98"/>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row>
    <row r="677" spans="1:39" s="41" customFormat="1" ht="12.75">
      <c r="A677" s="97"/>
      <c r="B677" s="870"/>
      <c r="C677" s="48"/>
      <c r="D677" s="44">
        <v>5205</v>
      </c>
      <c r="E677" s="58">
        <v>923340</v>
      </c>
      <c r="F677" s="108"/>
      <c r="G677" s="98"/>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row>
    <row r="678" spans="1:39" s="41" customFormat="1" ht="12.75">
      <c r="A678" s="97"/>
      <c r="B678" s="871"/>
      <c r="C678" s="48"/>
      <c r="D678" s="44">
        <v>5206</v>
      </c>
      <c r="E678" s="58">
        <v>5361928.75</v>
      </c>
      <c r="F678" s="108"/>
      <c r="G678" s="98"/>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row>
    <row r="679" spans="1:7" s="144" customFormat="1" ht="12.75">
      <c r="A679" s="130"/>
      <c r="B679" s="134" t="s">
        <v>603</v>
      </c>
      <c r="C679" s="135">
        <f>SUM(C680:C686)</f>
        <v>138000</v>
      </c>
      <c r="D679" s="162"/>
      <c r="E679" s="135">
        <f>SUM(E680:E686)/2</f>
        <v>138000</v>
      </c>
      <c r="F679" s="164"/>
      <c r="G679" s="137"/>
    </row>
    <row r="680" spans="1:39" s="41" customFormat="1" ht="25.5">
      <c r="A680" s="97">
        <v>102</v>
      </c>
      <c r="B680" s="75" t="s">
        <v>604</v>
      </c>
      <c r="C680" s="48">
        <f>+E680+E683</f>
        <v>138000</v>
      </c>
      <c r="D680" s="49">
        <v>2000</v>
      </c>
      <c r="E680" s="59">
        <f>SUM(E681:E682)</f>
        <v>55140</v>
      </c>
      <c r="F680" s="108"/>
      <c r="G680" s="98"/>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row>
    <row r="681" spans="1:39" s="41" customFormat="1" ht="12.75">
      <c r="A681" s="97"/>
      <c r="B681" s="75"/>
      <c r="D681" s="44">
        <v>2101</v>
      </c>
      <c r="E681" s="58">
        <f>3000*12</f>
        <v>36000</v>
      </c>
      <c r="F681" s="108"/>
      <c r="G681" s="98"/>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row>
    <row r="682" spans="1:39" s="41" customFormat="1" ht="12.75">
      <c r="A682" s="97"/>
      <c r="B682" s="75"/>
      <c r="D682" s="44">
        <v>2601</v>
      </c>
      <c r="E682" s="58">
        <f>1595*12</f>
        <v>19140</v>
      </c>
      <c r="F682" s="108"/>
      <c r="G682" s="98"/>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row>
    <row r="683" spans="1:39" s="41" customFormat="1" ht="12.75">
      <c r="A683" s="97"/>
      <c r="B683" s="75"/>
      <c r="D683" s="49">
        <v>3000</v>
      </c>
      <c r="E683" s="59">
        <f>SUM(E684:E686)</f>
        <v>82860</v>
      </c>
      <c r="F683" s="108"/>
      <c r="G683" s="98"/>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row>
    <row r="684" spans="1:39" s="41" customFormat="1" ht="12.75">
      <c r="A684" s="97"/>
      <c r="B684" s="75"/>
      <c r="D684" s="44">
        <v>3103</v>
      </c>
      <c r="E684" s="58">
        <f>1905*12</f>
        <v>22860</v>
      </c>
      <c r="F684" s="108"/>
      <c r="G684" s="98"/>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row>
    <row r="685" spans="1:39" s="41" customFormat="1" ht="12.75">
      <c r="A685" s="97"/>
      <c r="B685" s="75"/>
      <c r="D685" s="44">
        <v>3104</v>
      </c>
      <c r="E685" s="58">
        <f>2000*12</f>
        <v>24000</v>
      </c>
      <c r="F685" s="108"/>
      <c r="G685" s="98"/>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row>
    <row r="686" spans="1:39" s="41" customFormat="1" ht="12.75">
      <c r="A686" s="97"/>
      <c r="B686" s="75"/>
      <c r="D686" s="44">
        <v>3201</v>
      </c>
      <c r="E686" s="58">
        <f>3000*12</f>
        <v>36000</v>
      </c>
      <c r="F686" s="108"/>
      <c r="G686" s="98"/>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row>
    <row r="687" spans="1:39" s="41" customFormat="1" ht="18" customHeight="1">
      <c r="A687" s="102"/>
      <c r="B687" s="80" t="s">
        <v>328</v>
      </c>
      <c r="C687" s="88">
        <f>+C566+C470+C452+C385+C332+C6+C232+C679+C632</f>
        <v>78168088.78</v>
      </c>
      <c r="D687" s="88"/>
      <c r="E687" s="88">
        <f>+E566+E470+E452+E385+E332+E6+E232+E679+E632</f>
        <v>78168088.78</v>
      </c>
      <c r="F687" s="113"/>
      <c r="G687" s="81"/>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row>
    <row r="688" spans="3:10" ht="12.75">
      <c r="C688" s="77">
        <f>+C687-'[1]presupuesto oscar mexia'!$C$24</f>
        <v>78168088.78</v>
      </c>
      <c r="F688" s="115"/>
      <c r="I688" s="25">
        <v>2000</v>
      </c>
      <c r="J688" s="116" t="e">
        <f>+E197+E191+#REF!+#REF!+#REF!+#REF!+E625+#REF!+#REF!+#REF!+#REF!+#REF!+#REF!+#REF!+#REF!+E442+E439+E436+E433+E425+E416+E412+E406+E399+E605+E589+E572+#REF!+#REF!+#REF!+#REF!+#REF!+#REF!+#REF!+#REF!+E375+E372+E369+E366+E363+E352+E343+E340+E333+E465+E453+E567+E182+E174+E170+E168+E397+E395+E386+E166+#REF!+#REF!+E159+E153+E146+E138+E133+E119+E109+E107+#REF!+E100+E94+#REF!+E88+#REF!+E79+E74+E70+#REF!+#REF!+E63+#REF!+#REF!+#REF!+#REF!+E471+E29+E20+E14+E7</f>
        <v>#REF!</v>
      </c>
    </row>
    <row r="689" spans="3:9" ht="12.75">
      <c r="C689" s="77"/>
      <c r="F689" s="115"/>
      <c r="I689" s="25">
        <v>3000</v>
      </c>
    </row>
    <row r="690" spans="6:9" ht="12.75">
      <c r="F690" s="115"/>
      <c r="I690" s="25">
        <v>5000</v>
      </c>
    </row>
    <row r="691" ht="12.75">
      <c r="B691" s="89"/>
    </row>
    <row r="692" spans="1:7" ht="20.25" customHeight="1">
      <c r="A692" s="862" t="s">
        <v>147</v>
      </c>
      <c r="B692" s="862"/>
      <c r="C692" s="862"/>
      <c r="D692" s="862"/>
      <c r="E692" s="862"/>
      <c r="F692" s="862"/>
      <c r="G692" s="862"/>
    </row>
    <row r="693" spans="1:7" ht="25.5" customHeight="1">
      <c r="A693" s="862" t="s">
        <v>146</v>
      </c>
      <c r="B693" s="862"/>
      <c r="C693" s="862"/>
      <c r="D693" s="862"/>
      <c r="E693" s="862"/>
      <c r="F693" s="862"/>
      <c r="G693" s="862"/>
    </row>
    <row r="694" ht="15">
      <c r="B694" s="90"/>
    </row>
  </sheetData>
  <sheetProtection/>
  <mergeCells count="7">
    <mergeCell ref="A693:G693"/>
    <mergeCell ref="B1:F2"/>
    <mergeCell ref="B3:F3"/>
    <mergeCell ref="D5:E5"/>
    <mergeCell ref="A692:G692"/>
    <mergeCell ref="B669:B678"/>
    <mergeCell ref="B324:B325"/>
  </mergeCells>
  <printOptions/>
  <pageMargins left="0.75" right="0.75" top="0.32" bottom="0.3" header="0" footer="0"/>
  <pageSetup fitToHeight="1" fitToWidth="1" horizontalDpi="600" verticalDpi="600" orientation="portrait" scale="10" r:id="rId1"/>
</worksheet>
</file>

<file path=xl/worksheets/sheet9.xml><?xml version="1.0" encoding="utf-8"?>
<worksheet xmlns="http://schemas.openxmlformats.org/spreadsheetml/2006/main" xmlns:r="http://schemas.openxmlformats.org/officeDocument/2006/relationships">
  <sheetPr>
    <pageSetUpPr fitToPage="1"/>
  </sheetPr>
  <dimension ref="A4:GG43"/>
  <sheetViews>
    <sheetView zoomScalePageLayoutView="0" workbookViewId="0" topLeftCell="A28">
      <selection activeCell="B37" sqref="B37"/>
    </sheetView>
  </sheetViews>
  <sheetFormatPr defaultColWidth="11.421875" defaultRowHeight="12.75"/>
  <cols>
    <col min="1" max="1" width="42.57421875" style="0" bestFit="1" customWidth="1"/>
    <col min="2" max="2" width="25.00390625" style="0" bestFit="1" customWidth="1"/>
    <col min="3" max="3" width="18.7109375" style="0" bestFit="1" customWidth="1"/>
    <col min="4" max="4" width="20.57421875" style="0" bestFit="1" customWidth="1"/>
    <col min="5" max="5" width="32.140625" style="0" customWidth="1"/>
    <col min="6" max="6" width="20.57421875" style="0" bestFit="1" customWidth="1"/>
  </cols>
  <sheetData>
    <row r="1" s="285" customFormat="1" ht="18"/>
    <row r="2" s="285" customFormat="1" ht="18"/>
    <row r="3" s="285" customFormat="1" ht="18"/>
    <row r="4" spans="2:4" s="285" customFormat="1" ht="15" customHeight="1">
      <c r="B4" s="286"/>
      <c r="C4" s="286"/>
      <c r="D4" s="286"/>
    </row>
    <row r="5" spans="1:8" s="285" customFormat="1" ht="26.25">
      <c r="A5" s="873" t="s">
        <v>272</v>
      </c>
      <c r="B5" s="873"/>
      <c r="C5" s="873"/>
      <c r="D5" s="873"/>
      <c r="E5" s="873"/>
      <c r="F5" s="651"/>
      <c r="G5" s="651"/>
      <c r="H5" s="651"/>
    </row>
    <row r="7" ht="12.75">
      <c r="D7" s="296"/>
    </row>
    <row r="8" spans="1:5" s="250" customFormat="1" ht="25.5" customHeight="1">
      <c r="A8" s="874" t="s">
        <v>323</v>
      </c>
      <c r="B8" s="874"/>
      <c r="C8" s="874"/>
      <c r="D8" s="874"/>
      <c r="E8" s="874"/>
    </row>
    <row r="9" spans="1:5" s="251" customFormat="1" ht="27" customHeight="1">
      <c r="A9" s="265" t="s">
        <v>318</v>
      </c>
      <c r="B9" s="265" t="s">
        <v>319</v>
      </c>
      <c r="C9" s="265" t="s">
        <v>320</v>
      </c>
      <c r="D9" s="265" t="s">
        <v>321</v>
      </c>
      <c r="E9" s="265" t="s">
        <v>322</v>
      </c>
    </row>
    <row r="10" spans="1:5" s="250" customFormat="1" ht="26.25" customHeight="1">
      <c r="A10" s="246" t="s">
        <v>274</v>
      </c>
      <c r="B10" s="249">
        <f>+D10</f>
        <v>245681878.32</v>
      </c>
      <c r="C10" s="254">
        <v>1000</v>
      </c>
      <c r="D10" s="249">
        <v>245681878.32</v>
      </c>
      <c r="E10" s="246"/>
    </row>
    <row r="11" spans="1:5" s="250" customFormat="1" ht="26.25" customHeight="1">
      <c r="A11" s="246" t="s">
        <v>275</v>
      </c>
      <c r="B11" s="249">
        <f>+D11</f>
        <v>3500000</v>
      </c>
      <c r="C11" s="245"/>
      <c r="D11" s="249">
        <v>3500000</v>
      </c>
      <c r="E11" s="246"/>
    </row>
    <row r="12" spans="1:5" s="250" customFormat="1" ht="30">
      <c r="A12" s="246" t="s">
        <v>276</v>
      </c>
      <c r="B12" s="249">
        <f>+D12</f>
        <v>10383200.8</v>
      </c>
      <c r="C12" s="245"/>
      <c r="D12" s="249">
        <v>10383200.8</v>
      </c>
      <c r="E12" s="246"/>
    </row>
    <row r="13" spans="1:5" s="250" customFormat="1" ht="37.5" customHeight="1">
      <c r="A13" s="245" t="s">
        <v>622</v>
      </c>
      <c r="B13" s="244">
        <f>SUM(B10:B12)</f>
        <v>259565079.12</v>
      </c>
      <c r="C13" s="252"/>
      <c r="D13" s="244">
        <f>SUM(D10:D12)</f>
        <v>259565079.12</v>
      </c>
      <c r="E13" s="246"/>
    </row>
    <row r="14" spans="1:5" s="250" customFormat="1" ht="15">
      <c r="A14" s="267"/>
      <c r="B14" s="266"/>
      <c r="C14" s="267"/>
      <c r="D14" s="266"/>
      <c r="E14" s="270"/>
    </row>
    <row r="15" spans="1:5" s="250" customFormat="1" ht="15">
      <c r="A15" s="269"/>
      <c r="B15" s="268"/>
      <c r="C15" s="269"/>
      <c r="D15" s="268"/>
      <c r="E15" s="271"/>
    </row>
    <row r="16" spans="1:189" s="254" customFormat="1" ht="18" customHeight="1">
      <c r="A16" s="874" t="s">
        <v>273</v>
      </c>
      <c r="B16" s="874"/>
      <c r="C16" s="874"/>
      <c r="D16" s="874"/>
      <c r="E16" s="874"/>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3"/>
      <c r="FF16" s="253"/>
      <c r="FG16" s="253"/>
      <c r="FH16" s="253"/>
      <c r="FI16" s="253"/>
      <c r="FJ16" s="253"/>
      <c r="FK16" s="253"/>
      <c r="FL16" s="253"/>
      <c r="FM16" s="253"/>
      <c r="FN16" s="253"/>
      <c r="FO16" s="253"/>
      <c r="FP16" s="253"/>
      <c r="FQ16" s="253"/>
      <c r="FR16" s="253"/>
      <c r="FS16" s="253"/>
      <c r="FT16" s="253"/>
      <c r="FU16" s="253"/>
      <c r="FV16" s="253"/>
      <c r="FW16" s="253"/>
      <c r="FX16" s="253"/>
      <c r="FY16" s="253"/>
      <c r="FZ16" s="253"/>
      <c r="GA16" s="253"/>
      <c r="GB16" s="253"/>
      <c r="GC16" s="253"/>
      <c r="GD16" s="253"/>
      <c r="GE16" s="253"/>
      <c r="GF16" s="253"/>
      <c r="GG16" s="253"/>
    </row>
    <row r="17" spans="1:5" s="250" customFormat="1" ht="30.75" customHeight="1">
      <c r="A17" s="246" t="s">
        <v>397</v>
      </c>
      <c r="B17" s="249">
        <f>+D17</f>
        <v>5135313</v>
      </c>
      <c r="C17" s="245"/>
      <c r="D17" s="249">
        <f>+'4. PRESUPUESTO  CECYTES  modif.'!D1076</f>
        <v>5135313</v>
      </c>
      <c r="E17" s="246"/>
    </row>
    <row r="18" spans="1:5" s="250" customFormat="1" ht="30.75" customHeight="1">
      <c r="A18" s="245" t="s">
        <v>622</v>
      </c>
      <c r="B18" s="244">
        <f>SUM(B17:B17)</f>
        <v>5135313</v>
      </c>
      <c r="C18" s="252"/>
      <c r="D18" s="244">
        <f>SUM(D17:D17)</f>
        <v>5135313</v>
      </c>
      <c r="E18" s="246"/>
    </row>
    <row r="19" spans="1:5" s="250" customFormat="1" ht="15">
      <c r="A19" s="267"/>
      <c r="B19" s="266"/>
      <c r="C19" s="267"/>
      <c r="D19" s="266"/>
      <c r="E19" s="270"/>
    </row>
    <row r="20" spans="1:5" s="250" customFormat="1" ht="15">
      <c r="A20" s="269"/>
      <c r="B20" s="268"/>
      <c r="C20" s="269"/>
      <c r="D20" s="268"/>
      <c r="E20" s="271"/>
    </row>
    <row r="21" spans="1:189" s="254" customFormat="1" ht="18" customHeight="1">
      <c r="A21" s="874" t="s">
        <v>621</v>
      </c>
      <c r="B21" s="874"/>
      <c r="C21" s="874"/>
      <c r="D21" s="874"/>
      <c r="E21" s="874"/>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253"/>
      <c r="CM21" s="253"/>
      <c r="CN21" s="253"/>
      <c r="CO21" s="253"/>
      <c r="CP21" s="253"/>
      <c r="CQ21" s="253"/>
      <c r="CR21" s="253"/>
      <c r="CS21" s="253"/>
      <c r="CT21" s="253"/>
      <c r="CU21" s="253"/>
      <c r="CV21" s="253"/>
      <c r="CW21" s="253"/>
      <c r="CX21" s="253"/>
      <c r="CY21" s="253"/>
      <c r="CZ21" s="253"/>
      <c r="DA21" s="253"/>
      <c r="DB21" s="253"/>
      <c r="DC21" s="253"/>
      <c r="DD21" s="253"/>
      <c r="DE21" s="253"/>
      <c r="DF21" s="253"/>
      <c r="DG21" s="253"/>
      <c r="DH21" s="253"/>
      <c r="DI21" s="253"/>
      <c r="DJ21" s="253"/>
      <c r="DK21" s="253"/>
      <c r="DL21" s="253"/>
      <c r="DM21" s="253"/>
      <c r="DN21" s="253"/>
      <c r="DO21" s="253"/>
      <c r="DP21" s="253"/>
      <c r="DQ21" s="253"/>
      <c r="DR21" s="253"/>
      <c r="DS21" s="253"/>
      <c r="DT21" s="253"/>
      <c r="DU21" s="253"/>
      <c r="DV21" s="253"/>
      <c r="DW21" s="253"/>
      <c r="DX21" s="253"/>
      <c r="DY21" s="253"/>
      <c r="DZ21" s="253"/>
      <c r="EA21" s="253"/>
      <c r="EB21" s="253"/>
      <c r="EC21" s="253"/>
      <c r="ED21" s="253"/>
      <c r="EE21" s="253"/>
      <c r="EF21" s="253"/>
      <c r="EG21" s="253"/>
      <c r="EH21" s="253"/>
      <c r="EI21" s="253"/>
      <c r="EJ21" s="253"/>
      <c r="EK21" s="253"/>
      <c r="EL21" s="253"/>
      <c r="EM21" s="253"/>
      <c r="EN21" s="253"/>
      <c r="EO21" s="253"/>
      <c r="EP21" s="253"/>
      <c r="EQ21" s="253"/>
      <c r="ER21" s="253"/>
      <c r="ES21" s="253"/>
      <c r="ET21" s="253"/>
      <c r="EU21" s="253"/>
      <c r="EV21" s="253"/>
      <c r="EW21" s="253"/>
      <c r="EX21" s="253"/>
      <c r="EY21" s="253"/>
      <c r="EZ21" s="253"/>
      <c r="FA21" s="253"/>
      <c r="FB21" s="253"/>
      <c r="FC21" s="253"/>
      <c r="FD21" s="253"/>
      <c r="FE21" s="253"/>
      <c r="FF21" s="253"/>
      <c r="FG21" s="253"/>
      <c r="FH21" s="253"/>
      <c r="FI21" s="253"/>
      <c r="FJ21" s="253"/>
      <c r="FK21" s="253"/>
      <c r="FL21" s="253"/>
      <c r="FM21" s="253"/>
      <c r="FN21" s="253"/>
      <c r="FO21" s="253"/>
      <c r="FP21" s="253"/>
      <c r="FQ21" s="253"/>
      <c r="FR21" s="253"/>
      <c r="FS21" s="253"/>
      <c r="FT21" s="253"/>
      <c r="FU21" s="253"/>
      <c r="FV21" s="253"/>
      <c r="FW21" s="253"/>
      <c r="FX21" s="253"/>
      <c r="FY21" s="253"/>
      <c r="FZ21" s="253"/>
      <c r="GA21" s="253"/>
      <c r="GB21" s="253"/>
      <c r="GC21" s="253"/>
      <c r="GD21" s="253"/>
      <c r="GE21" s="253"/>
      <c r="GF21" s="253"/>
      <c r="GG21" s="253"/>
    </row>
    <row r="22" spans="1:5" s="250" customFormat="1" ht="29.25" customHeight="1">
      <c r="A22" s="246" t="s">
        <v>621</v>
      </c>
      <c r="B22" s="249">
        <f>+D22</f>
        <v>104872256.602</v>
      </c>
      <c r="C22" s="245"/>
      <c r="D22" s="249">
        <f>+'4. PRESUPUESTO  CECYTES  '!D879-D17</f>
        <v>104872256.602</v>
      </c>
      <c r="E22" s="246"/>
    </row>
    <row r="23" spans="1:6" s="250" customFormat="1" ht="37.5" customHeight="1">
      <c r="A23" s="245" t="s">
        <v>622</v>
      </c>
      <c r="B23" s="244">
        <f>SUM(B22:B22)</f>
        <v>104872256.602</v>
      </c>
      <c r="C23" s="252"/>
      <c r="D23" s="244">
        <f>SUM(D22:D22)</f>
        <v>104872256.602</v>
      </c>
      <c r="E23" s="246"/>
      <c r="F23" s="544"/>
    </row>
    <row r="24" spans="1:6" s="250" customFormat="1" ht="15">
      <c r="A24" s="267"/>
      <c r="B24" s="266"/>
      <c r="C24" s="545"/>
      <c r="D24" s="266"/>
      <c r="E24" s="270"/>
      <c r="F24" s="263"/>
    </row>
    <row r="25" spans="1:5" s="250" customFormat="1" ht="15">
      <c r="A25" s="269"/>
      <c r="B25" s="268"/>
      <c r="C25" s="546"/>
      <c r="D25" s="268"/>
      <c r="E25" s="271"/>
    </row>
    <row r="26" spans="1:5" s="250" customFormat="1" ht="39.75" customHeight="1">
      <c r="A26" s="272" t="s">
        <v>628</v>
      </c>
      <c r="B26" s="273">
        <f>+B13+B18+B23</f>
        <v>369572648.722</v>
      </c>
      <c r="C26" s="274"/>
      <c r="D26" s="273">
        <f>+D13+D18+D23</f>
        <v>369572648.722</v>
      </c>
      <c r="E26" s="275"/>
    </row>
    <row r="27" spans="2:4" s="255" customFormat="1" ht="15">
      <c r="B27" s="256"/>
      <c r="D27" s="256"/>
    </row>
    <row r="28" spans="2:4" s="255" customFormat="1" ht="15">
      <c r="B28" s="256"/>
      <c r="D28" s="257"/>
    </row>
    <row r="29" s="255" customFormat="1" ht="15"/>
    <row r="30" s="255" customFormat="1" ht="15.75" thickBot="1"/>
    <row r="31" spans="1:2" s="255" customFormat="1" ht="29.25" customHeight="1">
      <c r="A31" s="875" t="s">
        <v>398</v>
      </c>
      <c r="B31" s="876"/>
    </row>
    <row r="32" spans="1:4" s="255" customFormat="1" ht="29.25" customHeight="1" thickBot="1">
      <c r="A32" s="276" t="s">
        <v>320</v>
      </c>
      <c r="B32" s="277" t="s">
        <v>321</v>
      </c>
      <c r="D32" s="256"/>
    </row>
    <row r="33" spans="1:4" s="255" customFormat="1" ht="29.25" customHeight="1">
      <c r="A33" s="258">
        <v>1000</v>
      </c>
      <c r="B33" s="259">
        <f>+B13</f>
        <v>259565079.12</v>
      </c>
      <c r="D33" s="256"/>
    </row>
    <row r="34" spans="1:4" s="255" customFormat="1" ht="29.25" customHeight="1">
      <c r="A34" s="260">
        <v>2000</v>
      </c>
      <c r="B34" s="259">
        <f>+'[5]TOTAL'!$AE$117</f>
        <v>23502138.3</v>
      </c>
      <c r="D34" s="256"/>
    </row>
    <row r="35" spans="1:4" s="255" customFormat="1" ht="29.25" customHeight="1">
      <c r="A35" s="260">
        <v>3000</v>
      </c>
      <c r="B35" s="259">
        <f>+'[5]TOTAL'!$CN$117</f>
        <v>69094568.63</v>
      </c>
      <c r="C35" s="257"/>
      <c r="D35" s="256"/>
    </row>
    <row r="36" spans="1:4" s="255" customFormat="1" ht="29.25" customHeight="1">
      <c r="A36" s="260">
        <v>5000</v>
      </c>
      <c r="B36" s="259">
        <f>+'[5]TOTAL'!$DD$117</f>
        <v>12275550</v>
      </c>
      <c r="C36" s="257"/>
      <c r="D36" s="256"/>
    </row>
    <row r="37" spans="1:4" s="255" customFormat="1" ht="29.25" customHeight="1">
      <c r="A37" s="261">
        <v>8000</v>
      </c>
      <c r="B37" s="262">
        <f>+'[5]TOTAL'!$DG$117</f>
        <v>5135313</v>
      </c>
      <c r="C37" s="257"/>
      <c r="D37" s="257"/>
    </row>
    <row r="38" spans="1:2" s="255" customFormat="1" ht="29.25" customHeight="1" thickBot="1">
      <c r="A38" s="276" t="s">
        <v>324</v>
      </c>
      <c r="B38" s="278">
        <f>SUM(B33:B37)</f>
        <v>369572649.05</v>
      </c>
    </row>
    <row r="39" spans="1:3" s="255" customFormat="1" ht="15.75">
      <c r="A39" s="247"/>
      <c r="B39" s="263"/>
      <c r="C39" s="257"/>
    </row>
    <row r="40" s="255" customFormat="1" ht="15"/>
    <row r="41" s="255" customFormat="1" ht="15">
      <c r="B41" s="264"/>
    </row>
    <row r="42" s="255" customFormat="1" ht="15"/>
    <row r="43" s="255" customFormat="1" ht="15">
      <c r="B43" s="264"/>
    </row>
    <row r="44" s="255" customFormat="1" ht="15"/>
  </sheetData>
  <sheetProtection/>
  <mergeCells count="5">
    <mergeCell ref="A5:E5"/>
    <mergeCell ref="A8:E8"/>
    <mergeCell ref="A31:B31"/>
    <mergeCell ref="A16:E16"/>
    <mergeCell ref="A21:E21"/>
  </mergeCells>
  <printOptions horizontalCentered="1"/>
  <pageMargins left="0.7480314960629921" right="0.7480314960629921" top="0.53" bottom="0.984251968503937" header="0" footer="0"/>
  <pageSetup fitToHeight="1" fitToWidth="1" horizontalDpi="300" verticalDpi="300" orientation="landscape"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 Guadalupe Rodriguez Gudiño</dc:creator>
  <cp:keywords/>
  <dc:description/>
  <cp:lastModifiedBy>CECYTES</cp:lastModifiedBy>
  <cp:lastPrinted>2008-04-17T16:17:43Z</cp:lastPrinted>
  <dcterms:created xsi:type="dcterms:W3CDTF">2006-09-07T17:29:14Z</dcterms:created>
  <dcterms:modified xsi:type="dcterms:W3CDTF">2008-06-30T18:33:27Z</dcterms:modified>
  <cp:category/>
  <cp:version/>
  <cp:contentType/>
  <cp:contentStatus/>
</cp:coreProperties>
</file>