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Default Extension="emf" ContentType="image/x-emf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3810" windowWidth="20550" windowHeight="3870" tabRatio="898" activeTab="9"/>
  </bookViews>
  <sheets>
    <sheet name="ETCA-I-01" sheetId="2" r:id="rId1"/>
    <sheet name="ETCA-I-02" sheetId="1" r:id="rId2"/>
    <sheet name="ETCA-I-03" sheetId="3" r:id="rId3"/>
    <sheet name="ETCA-I-04" sheetId="5" r:id="rId4"/>
    <sheet name="ETCA-I-05" sheetId="23" r:id="rId5"/>
    <sheet name="ETCA-I-06" sheetId="6" r:id="rId6"/>
    <sheet name="ETCA-I-07" sheetId="7" r:id="rId7"/>
    <sheet name="ETCA-I-08" sheetId="26" r:id="rId8"/>
    <sheet name="ETCA-I-09 Notas" sheetId="13" r:id="rId9"/>
    <sheet name="ETCA-II-10 " sheetId="34" r:id="rId10"/>
    <sheet name="ETCA-II-10-A" sheetId="21" r:id="rId11"/>
    <sheet name="ETCA-II-11 " sheetId="35" r:id="rId12"/>
    <sheet name="ETCA-II-11-A " sheetId="37" r:id="rId13"/>
    <sheet name="ETCA-II-11-B1" sheetId="38" r:id="rId14"/>
    <sheet name="ETCA-II-11-B2" sheetId="44" r:id="rId15"/>
    <sheet name="ETCA-11-B3" sheetId="45" r:id="rId16"/>
    <sheet name="ETCA-II-11-C" sheetId="43" r:id="rId17"/>
    <sheet name="ETCA-II-11-D" sheetId="24" r:id="rId18"/>
    <sheet name="ETCA-II-11-E " sheetId="36" r:id="rId19"/>
    <sheet name="ETCA-II-12" sheetId="16" r:id="rId20"/>
    <sheet name="ETCA-II-13" sheetId="19" r:id="rId21"/>
    <sheet name="ETCA-III-14" sheetId="42" r:id="rId22"/>
    <sheet name="ETCA-III-15" sheetId="46" r:id="rId23"/>
    <sheet name="ETCA-III-16" sheetId="32" r:id="rId24"/>
    <sheet name="ETCA-IV-17" sheetId="20" r:id="rId25"/>
    <sheet name="ETCA-IV-18" sheetId="27" r:id="rId26"/>
    <sheet name="ETCA-IV-19" sheetId="28" r:id="rId27"/>
    <sheet name="ETCA-IV-20" sheetId="33" r:id="rId28"/>
    <sheet name="Lista  FORMATOS" sheetId="39" r:id="rId29"/>
  </sheets>
  <externalReferences>
    <externalReference r:id="rId30"/>
  </externalReferences>
  <definedNames>
    <definedName name="_xlnm._FilterDatabase" localSheetId="0" hidden="1">'ETCA-I-01'!#REF!</definedName>
    <definedName name="_xlnm._FilterDatabase" localSheetId="3" hidden="1">'ETCA-I-04'!$A$1:$C$73</definedName>
    <definedName name="_ftn1" localSheetId="1">'ETCA-I-02'!#REF!</definedName>
    <definedName name="_ftnref1" localSheetId="1">'ETCA-I-02'!#REF!</definedName>
    <definedName name="_xlnm.Print_Area" localSheetId="0">'ETCA-I-01'!$A$1:$F$54</definedName>
    <definedName name="_xlnm.Print_Area" localSheetId="1">'ETCA-I-02'!$A$1:$D$69</definedName>
    <definedName name="_xlnm.Print_Area" localSheetId="2">'ETCA-I-03'!$A$1:$F$37</definedName>
    <definedName name="_xlnm.Print_Area" localSheetId="3">'ETCA-I-04'!$A$1:$C$63</definedName>
    <definedName name="_xlnm.Print_Area" localSheetId="4">'ETCA-I-05'!$A$1:$D$67</definedName>
    <definedName name="_xlnm.Print_Area" localSheetId="5">'ETCA-I-06'!$A$1:$G$30</definedName>
    <definedName name="_xlnm.Print_Area" localSheetId="6">'ETCA-I-07'!$A$1:$F$41</definedName>
    <definedName name="_xlnm.Print_Area" localSheetId="7">'ETCA-I-08'!$A$1:$I$42</definedName>
    <definedName name="_xlnm.Print_Area" localSheetId="8">'ETCA-I-09 Notas'!$A$1:$J$50</definedName>
    <definedName name="_xlnm.Print_Area" localSheetId="9">'ETCA-II-10 '!$A$1:$H$52</definedName>
    <definedName name="_xlnm.Print_Area" localSheetId="10">'ETCA-II-10-A'!$A$1:$D$23</definedName>
    <definedName name="_xlnm.Print_Area" localSheetId="11">'ETCA-II-11 '!$A$1:$G$81</definedName>
    <definedName name="_xlnm.Print_Area" localSheetId="12">'ETCA-II-11-A '!$A$1:$G$16</definedName>
    <definedName name="_xlnm.Print_Area" localSheetId="13">'ETCA-II-11-B1'!$A$1:$G$59</definedName>
    <definedName name="_xlnm.Print_Area" localSheetId="16">'ETCA-II-11-C'!$A$1:$G$45</definedName>
    <definedName name="_xlnm.Print_Area" localSheetId="17">'ETCA-II-11-D'!$A$1:$C$39</definedName>
    <definedName name="_xlnm.Print_Area" localSheetId="18">'ETCA-II-11-E '!$A$1:$I$197</definedName>
    <definedName name="_xlnm.Print_Area" localSheetId="19">'ETCA-II-12'!$A$1:$E$33</definedName>
    <definedName name="_xlnm.Print_Area" localSheetId="20">'ETCA-II-13'!$A$1:$D$34</definedName>
    <definedName name="_xlnm.Print_Area" localSheetId="23">'ETCA-III-16'!$A$1:$E$44</definedName>
    <definedName name="_xlnm.Print_Area" localSheetId="24">'ETCA-IV-17'!$A$1:$E$29</definedName>
    <definedName name="_xlnm.Print_Area" localSheetId="25">'ETCA-IV-18'!$A$1:$D$26</definedName>
    <definedName name="_xlnm.Print_Area" localSheetId="26">'ETCA-IV-19'!$A$1:$D$28</definedName>
    <definedName name="_xlnm.Print_Area" localSheetId="27">'ETCA-IV-20'!$A$1:$E$34</definedName>
    <definedName name="_xlnm.Database" localSheetId="7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7">#REF!</definedName>
    <definedName name="_xlnm.Database" localSheetId="18">#REF!</definedName>
    <definedName name="_xlnm.Database" localSheetId="20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>#REF!</definedName>
    <definedName name="ppto">[1]Hoja2!$B$3:$M$95</definedName>
    <definedName name="qw" localSheetId="22">#REF!</definedName>
    <definedName name="qw">#REF!</definedName>
    <definedName name="_xlnm.Print_Titles" localSheetId="1">'ETCA-I-02'!$2:$5</definedName>
    <definedName name="_xlnm.Print_Titles" localSheetId="3">'ETCA-I-04'!$1:$5</definedName>
    <definedName name="_xlnm.Print_Titles" localSheetId="9">'ETCA-II-10 '!$1:$5</definedName>
    <definedName name="_xlnm.Print_Titles" localSheetId="11">'ETCA-II-11 '!$1:$8</definedName>
  </definedNames>
  <calcPr calcId="125725"/>
</workbook>
</file>

<file path=xl/calcChain.xml><?xml version="1.0" encoding="utf-8"?>
<calcChain xmlns="http://schemas.openxmlformats.org/spreadsheetml/2006/main">
  <c r="B39" i="24"/>
  <c r="D11" i="42"/>
  <c r="G11"/>
  <c r="D36"/>
  <c r="D34"/>
  <c r="D33"/>
  <c r="D32"/>
  <c r="D31"/>
  <c r="D29"/>
  <c r="D28"/>
  <c r="D26"/>
  <c r="D25"/>
  <c r="D24"/>
  <c r="D13"/>
  <c r="D12"/>
  <c r="D16"/>
  <c r="D17"/>
  <c r="D18"/>
  <c r="D19"/>
  <c r="D20"/>
  <c r="D21"/>
  <c r="D22"/>
  <c r="D15"/>
  <c r="F23"/>
  <c r="E23"/>
  <c r="B23"/>
  <c r="C23"/>
  <c r="F14"/>
  <c r="E14"/>
  <c r="C14"/>
  <c r="B14"/>
  <c r="F10"/>
  <c r="E10"/>
  <c r="B10"/>
  <c r="B40"/>
  <c r="C10"/>
  <c r="E196" i="36"/>
  <c r="H196"/>
  <c r="E194"/>
  <c r="H194"/>
  <c r="E192"/>
  <c r="H192"/>
  <c r="E190"/>
  <c r="H190"/>
  <c r="E188"/>
  <c r="H188"/>
  <c r="E186"/>
  <c r="H186"/>
  <c r="E184"/>
  <c r="H184"/>
  <c r="E182"/>
  <c r="H182"/>
  <c r="E180"/>
  <c r="H180"/>
  <c r="E178"/>
  <c r="H178"/>
  <c r="E176"/>
  <c r="H176"/>
  <c r="E174"/>
  <c r="H174"/>
  <c r="E172"/>
  <c r="H172"/>
  <c r="E170"/>
  <c r="H170"/>
  <c r="E168"/>
  <c r="H168"/>
  <c r="E166"/>
  <c r="H166"/>
  <c r="E164"/>
  <c r="H164"/>
  <c r="E162"/>
  <c r="H162"/>
  <c r="E160"/>
  <c r="H160"/>
  <c r="E158"/>
  <c r="H158"/>
  <c r="E156"/>
  <c r="H156"/>
  <c r="E154"/>
  <c r="H154"/>
  <c r="E152"/>
  <c r="H152"/>
  <c r="E150"/>
  <c r="H150"/>
  <c r="E148"/>
  <c r="H148"/>
  <c r="E146"/>
  <c r="H146"/>
  <c r="E144"/>
  <c r="H144"/>
  <c r="E142"/>
  <c r="H142"/>
  <c r="E140"/>
  <c r="H140"/>
  <c r="E138"/>
  <c r="H138"/>
  <c r="E136"/>
  <c r="H136"/>
  <c r="E134"/>
  <c r="H134"/>
  <c r="E132"/>
  <c r="H132"/>
  <c r="E130"/>
  <c r="H130"/>
  <c r="E128"/>
  <c r="H128"/>
  <c r="E126"/>
  <c r="H126"/>
  <c r="E124"/>
  <c r="H124"/>
  <c r="E122"/>
  <c r="H122"/>
  <c r="E120"/>
  <c r="H120"/>
  <c r="E118"/>
  <c r="H118"/>
  <c r="E116"/>
  <c r="H116"/>
  <c r="E114"/>
  <c r="H114"/>
  <c r="E112"/>
  <c r="H112"/>
  <c r="E110"/>
  <c r="H110"/>
  <c r="E108"/>
  <c r="H108"/>
  <c r="E106"/>
  <c r="H106"/>
  <c r="E104"/>
  <c r="H104"/>
  <c r="E102"/>
  <c r="H102"/>
  <c r="E100"/>
  <c r="H100"/>
  <c r="E98"/>
  <c r="H98"/>
  <c r="E96"/>
  <c r="H96"/>
  <c r="E94"/>
  <c r="H94"/>
  <c r="E92"/>
  <c r="H92"/>
  <c r="E90"/>
  <c r="H90"/>
  <c r="E88"/>
  <c r="H88"/>
  <c r="E86"/>
  <c r="H86"/>
  <c r="E84"/>
  <c r="H84"/>
  <c r="E82"/>
  <c r="H82"/>
  <c r="E80"/>
  <c r="H80"/>
  <c r="E78"/>
  <c r="H78"/>
  <c r="E76"/>
  <c r="H76"/>
  <c r="E74"/>
  <c r="H74"/>
  <c r="E72"/>
  <c r="H72"/>
  <c r="E70"/>
  <c r="H70"/>
  <c r="E68"/>
  <c r="H68"/>
  <c r="E66"/>
  <c r="H66"/>
  <c r="E64"/>
  <c r="H64"/>
  <c r="E62"/>
  <c r="H62"/>
  <c r="E60"/>
  <c r="H60"/>
  <c r="E58"/>
  <c r="H58"/>
  <c r="E56"/>
  <c r="H56"/>
  <c r="E54"/>
  <c r="H54"/>
  <c r="E52"/>
  <c r="H52"/>
  <c r="E50"/>
  <c r="H50"/>
  <c r="E48"/>
  <c r="H48"/>
  <c r="E46"/>
  <c r="H46"/>
  <c r="E44"/>
  <c r="H44"/>
  <c r="E42"/>
  <c r="H42"/>
  <c r="E40"/>
  <c r="H40"/>
  <c r="E38"/>
  <c r="H38"/>
  <c r="E36"/>
  <c r="H36"/>
  <c r="E34"/>
  <c r="H34"/>
  <c r="E32"/>
  <c r="H32"/>
  <c r="E30"/>
  <c r="H30"/>
  <c r="E28"/>
  <c r="H28"/>
  <c r="E26"/>
  <c r="H26"/>
  <c r="E24"/>
  <c r="H24"/>
  <c r="E22"/>
  <c r="H22"/>
  <c r="E20"/>
  <c r="H20"/>
  <c r="E18"/>
  <c r="H18"/>
  <c r="E16"/>
  <c r="H16"/>
  <c r="E14"/>
  <c r="H14"/>
  <c r="E12"/>
  <c r="H12"/>
  <c r="E11"/>
  <c r="I11"/>
  <c r="I12"/>
  <c r="E13"/>
  <c r="I13"/>
  <c r="I14"/>
  <c r="E15"/>
  <c r="I15"/>
  <c r="I16"/>
  <c r="E17"/>
  <c r="I17"/>
  <c r="I18"/>
  <c r="E19"/>
  <c r="I19"/>
  <c r="I20"/>
  <c r="E21"/>
  <c r="I21"/>
  <c r="I22"/>
  <c r="E23"/>
  <c r="I23"/>
  <c r="I24"/>
  <c r="E25"/>
  <c r="I25"/>
  <c r="I26"/>
  <c r="E27"/>
  <c r="I27"/>
  <c r="I28"/>
  <c r="E29"/>
  <c r="I29"/>
  <c r="I30"/>
  <c r="E31"/>
  <c r="I31"/>
  <c r="I32"/>
  <c r="E33"/>
  <c r="I33"/>
  <c r="I34"/>
  <c r="E35"/>
  <c r="I35"/>
  <c r="I36"/>
  <c r="E37"/>
  <c r="I37"/>
  <c r="I38"/>
  <c r="E39"/>
  <c r="I39"/>
  <c r="I40"/>
  <c r="E41"/>
  <c r="I41"/>
  <c r="I42"/>
  <c r="E43"/>
  <c r="I43"/>
  <c r="I44"/>
  <c r="E45"/>
  <c r="I45"/>
  <c r="I46"/>
  <c r="E47"/>
  <c r="I47"/>
  <c r="I48"/>
  <c r="E49"/>
  <c r="I49"/>
  <c r="I50"/>
  <c r="E51"/>
  <c r="I51"/>
  <c r="I52"/>
  <c r="E53"/>
  <c r="I53"/>
  <c r="I54"/>
  <c r="E55"/>
  <c r="I55"/>
  <c r="I56"/>
  <c r="E57"/>
  <c r="I57"/>
  <c r="I58"/>
  <c r="E59"/>
  <c r="I60"/>
  <c r="E61"/>
  <c r="I62"/>
  <c r="E63"/>
  <c r="I64"/>
  <c r="E65"/>
  <c r="I66"/>
  <c r="E67"/>
  <c r="I68"/>
  <c r="E69"/>
  <c r="I70"/>
  <c r="E71"/>
  <c r="I72"/>
  <c r="E73"/>
  <c r="I74"/>
  <c r="E75"/>
  <c r="I76"/>
  <c r="E77"/>
  <c r="I78"/>
  <c r="E79"/>
  <c r="I80"/>
  <c r="E81"/>
  <c r="I82"/>
  <c r="E83"/>
  <c r="I84"/>
  <c r="E85"/>
  <c r="I86"/>
  <c r="E87"/>
  <c r="I88"/>
  <c r="E89"/>
  <c r="I90"/>
  <c r="E91"/>
  <c r="I92"/>
  <c r="E93"/>
  <c r="I94"/>
  <c r="E95"/>
  <c r="I96"/>
  <c r="E97"/>
  <c r="I98"/>
  <c r="E99"/>
  <c r="I100"/>
  <c r="E101"/>
  <c r="I102"/>
  <c r="E103"/>
  <c r="I104"/>
  <c r="E105"/>
  <c r="I106"/>
  <c r="E107"/>
  <c r="I108"/>
  <c r="E109"/>
  <c r="I110"/>
  <c r="E111"/>
  <c r="I112"/>
  <c r="E113"/>
  <c r="I114"/>
  <c r="E115"/>
  <c r="I116"/>
  <c r="E117"/>
  <c r="I118"/>
  <c r="E119"/>
  <c r="I120"/>
  <c r="E121"/>
  <c r="I122"/>
  <c r="E123"/>
  <c r="I124"/>
  <c r="E125"/>
  <c r="I126"/>
  <c r="E127"/>
  <c r="I128"/>
  <c r="E129"/>
  <c r="I130"/>
  <c r="E131"/>
  <c r="I132"/>
  <c r="E133"/>
  <c r="I134"/>
  <c r="E135"/>
  <c r="I136"/>
  <c r="E137"/>
  <c r="I138"/>
  <c r="E139"/>
  <c r="I140"/>
  <c r="E141"/>
  <c r="I142"/>
  <c r="E143"/>
  <c r="I144"/>
  <c r="E145"/>
  <c r="I146"/>
  <c r="E147"/>
  <c r="I148"/>
  <c r="E149"/>
  <c r="I150"/>
  <c r="E151"/>
  <c r="I152"/>
  <c r="E153"/>
  <c r="I154"/>
  <c r="E155"/>
  <c r="I156"/>
  <c r="E157"/>
  <c r="I158"/>
  <c r="E159"/>
  <c r="I160"/>
  <c r="E161"/>
  <c r="I162"/>
  <c r="E163"/>
  <c r="I164"/>
  <c r="E165"/>
  <c r="I166"/>
  <c r="E167"/>
  <c r="I168"/>
  <c r="E169"/>
  <c r="I170"/>
  <c r="E171"/>
  <c r="I172"/>
  <c r="E173"/>
  <c r="I174"/>
  <c r="E175"/>
  <c r="I176"/>
  <c r="E177"/>
  <c r="I178"/>
  <c r="E179"/>
  <c r="I180"/>
  <c r="E181"/>
  <c r="I182"/>
  <c r="E183"/>
  <c r="I184"/>
  <c r="E185"/>
  <c r="I186"/>
  <c r="E187"/>
  <c r="I188"/>
  <c r="E189"/>
  <c r="I190"/>
  <c r="E191"/>
  <c r="I192"/>
  <c r="E193"/>
  <c r="I194"/>
  <c r="E195"/>
  <c r="I196"/>
  <c r="E10"/>
  <c r="D197"/>
  <c r="F197"/>
  <c r="G197"/>
  <c r="C197"/>
  <c r="H10"/>
  <c r="I10"/>
  <c r="I193"/>
  <c r="H193"/>
  <c r="I189"/>
  <c r="H189"/>
  <c r="I185"/>
  <c r="H185"/>
  <c r="I181"/>
  <c r="H181"/>
  <c r="I177"/>
  <c r="H177"/>
  <c r="I173"/>
  <c r="H173"/>
  <c r="I169"/>
  <c r="H169"/>
  <c r="I165"/>
  <c r="H165"/>
  <c r="I161"/>
  <c r="H161"/>
  <c r="I157"/>
  <c r="H157"/>
  <c r="I153"/>
  <c r="H153"/>
  <c r="I149"/>
  <c r="H149"/>
  <c r="I147"/>
  <c r="H147"/>
  <c r="I143"/>
  <c r="H143"/>
  <c r="I141"/>
  <c r="H141"/>
  <c r="I137"/>
  <c r="H137"/>
  <c r="I133"/>
  <c r="H133"/>
  <c r="I129"/>
  <c r="H129"/>
  <c r="I123"/>
  <c r="H123"/>
  <c r="I119"/>
  <c r="H119"/>
  <c r="I115"/>
  <c r="H115"/>
  <c r="I111"/>
  <c r="H111"/>
  <c r="I109"/>
  <c r="H109"/>
  <c r="I105"/>
  <c r="H105"/>
  <c r="I101"/>
  <c r="H101"/>
  <c r="I97"/>
  <c r="H97"/>
  <c r="I91"/>
  <c r="H91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I195"/>
  <c r="H195"/>
  <c r="I191"/>
  <c r="H191"/>
  <c r="I187"/>
  <c r="H187"/>
  <c r="I183"/>
  <c r="H183"/>
  <c r="I179"/>
  <c r="H179"/>
  <c r="I175"/>
  <c r="H175"/>
  <c r="I171"/>
  <c r="H171"/>
  <c r="I167"/>
  <c r="H167"/>
  <c r="I163"/>
  <c r="H163"/>
  <c r="I159"/>
  <c r="H159"/>
  <c r="I155"/>
  <c r="H155"/>
  <c r="I151"/>
  <c r="H151"/>
  <c r="I145"/>
  <c r="H145"/>
  <c r="I139"/>
  <c r="H139"/>
  <c r="I135"/>
  <c r="H135"/>
  <c r="I131"/>
  <c r="H131"/>
  <c r="I127"/>
  <c r="H127"/>
  <c r="I125"/>
  <c r="H125"/>
  <c r="I121"/>
  <c r="H121"/>
  <c r="I117"/>
  <c r="H117"/>
  <c r="I113"/>
  <c r="H113"/>
  <c r="I107"/>
  <c r="H107"/>
  <c r="I103"/>
  <c r="H103"/>
  <c r="I99"/>
  <c r="H99"/>
  <c r="I95"/>
  <c r="H95"/>
  <c r="I93"/>
  <c r="H93"/>
  <c r="I89"/>
  <c r="H89"/>
  <c r="I87"/>
  <c r="H87"/>
  <c r="I85"/>
  <c r="H85"/>
  <c r="I83"/>
  <c r="H83"/>
  <c r="I81"/>
  <c r="H81"/>
  <c r="I79"/>
  <c r="H79"/>
  <c r="I77"/>
  <c r="H77"/>
  <c r="I75"/>
  <c r="H75"/>
  <c r="I73"/>
  <c r="H73"/>
  <c r="I71"/>
  <c r="H71"/>
  <c r="I69"/>
  <c r="H69"/>
  <c r="I67"/>
  <c r="H67"/>
  <c r="I65"/>
  <c r="H65"/>
  <c r="I63"/>
  <c r="H63"/>
  <c r="I61"/>
  <c r="H61"/>
  <c r="I59"/>
  <c r="H59"/>
  <c r="E197"/>
  <c r="H197"/>
  <c r="D47" i="38"/>
  <c r="G47"/>
  <c r="D46"/>
  <c r="G46"/>
  <c r="D45"/>
  <c r="G45"/>
  <c r="D44"/>
  <c r="G44"/>
  <c r="D43"/>
  <c r="G43"/>
  <c r="D42"/>
  <c r="G42"/>
  <c r="D49"/>
  <c r="G49"/>
  <c r="D48"/>
  <c r="G48"/>
  <c r="D41"/>
  <c r="G41"/>
  <c r="D40"/>
  <c r="G40"/>
  <c r="D39"/>
  <c r="G39"/>
  <c r="D55"/>
  <c r="G55"/>
  <c r="D54"/>
  <c r="G54"/>
  <c r="D56"/>
  <c r="G56"/>
  <c r="D27"/>
  <c r="G27"/>
  <c r="D26"/>
  <c r="G26"/>
  <c r="D25"/>
  <c r="G25"/>
  <c r="D24"/>
  <c r="G24"/>
  <c r="D23"/>
  <c r="G23"/>
  <c r="D22"/>
  <c r="G22"/>
  <c r="D21"/>
  <c r="G21"/>
  <c r="D20"/>
  <c r="G20"/>
  <c r="D23" i="6"/>
  <c r="E13"/>
  <c r="D13"/>
  <c r="D11"/>
  <c r="B58" i="5"/>
  <c r="B55"/>
  <c r="D29" i="3"/>
  <c r="C30"/>
  <c r="B24"/>
  <c r="B11"/>
  <c r="C33" i="1"/>
  <c r="C32"/>
  <c r="E9" i="2"/>
  <c r="B24"/>
  <c r="C31" i="1"/>
  <c r="C18"/>
  <c r="B23" i="2"/>
  <c r="B11"/>
  <c r="B9"/>
  <c r="D56" i="23"/>
  <c r="C56"/>
  <c r="D8" i="1"/>
  <c r="F16" i="3"/>
  <c r="E31" i="33"/>
  <c r="E30"/>
  <c r="E29"/>
  <c r="E28"/>
  <c r="E27"/>
  <c r="E26"/>
  <c r="E25"/>
  <c r="E24"/>
  <c r="E23"/>
  <c r="E22"/>
  <c r="E11"/>
  <c r="E12"/>
  <c r="E13"/>
  <c r="E14"/>
  <c r="E15"/>
  <c r="E16"/>
  <c r="E17"/>
  <c r="E18"/>
  <c r="E19"/>
  <c r="E10"/>
  <c r="D32"/>
  <c r="C32"/>
  <c r="E32"/>
  <c r="D20"/>
  <c r="D33"/>
  <c r="C20"/>
  <c r="E27" i="20"/>
  <c r="D27"/>
  <c r="C27"/>
  <c r="E21"/>
  <c r="D21"/>
  <c r="C21"/>
  <c r="E12"/>
  <c r="E9"/>
  <c r="E15"/>
  <c r="D12"/>
  <c r="D9"/>
  <c r="D15"/>
  <c r="C12"/>
  <c r="C9"/>
  <c r="F40" i="42"/>
  <c r="E40"/>
  <c r="C40"/>
  <c r="G29"/>
  <c r="H28"/>
  <c r="G34"/>
  <c r="G36"/>
  <c r="G35"/>
  <c r="D39"/>
  <c r="H39"/>
  <c r="D38"/>
  <c r="G38"/>
  <c r="D37"/>
  <c r="H37"/>
  <c r="H33"/>
  <c r="H32"/>
  <c r="H31"/>
  <c r="G26"/>
  <c r="G25"/>
  <c r="G18"/>
  <c r="H19"/>
  <c r="G20"/>
  <c r="G21"/>
  <c r="G22"/>
  <c r="G16"/>
  <c r="H15"/>
  <c r="H12"/>
  <c r="H13"/>
  <c r="H11"/>
  <c r="D35"/>
  <c r="H35"/>
  <c r="D32" i="19"/>
  <c r="C32"/>
  <c r="D20"/>
  <c r="C20"/>
  <c r="E30" i="16"/>
  <c r="E29"/>
  <c r="E28"/>
  <c r="E27"/>
  <c r="E26"/>
  <c r="E25"/>
  <c r="E24"/>
  <c r="E23"/>
  <c r="E22"/>
  <c r="E21"/>
  <c r="E10"/>
  <c r="E11"/>
  <c r="E12"/>
  <c r="E13"/>
  <c r="E14"/>
  <c r="E15"/>
  <c r="E16"/>
  <c r="E17"/>
  <c r="E18"/>
  <c r="E9"/>
  <c r="D31"/>
  <c r="C31"/>
  <c r="D19"/>
  <c r="C19"/>
  <c r="C32"/>
  <c r="C33" i="33"/>
  <c r="G32" i="42"/>
  <c r="H25"/>
  <c r="D14"/>
  <c r="H14"/>
  <c r="G33"/>
  <c r="H21"/>
  <c r="H29"/>
  <c r="D27"/>
  <c r="H27"/>
  <c r="H20"/>
  <c r="D32" i="16"/>
  <c r="D33" i="19"/>
  <c r="D23" i="42"/>
  <c r="H23"/>
  <c r="H38"/>
  <c r="H18"/>
  <c r="C33" i="19"/>
  <c r="H36" i="42"/>
  <c r="H22"/>
  <c r="H16"/>
  <c r="C15" i="20"/>
  <c r="G13" i="42"/>
  <c r="G17"/>
  <c r="G19"/>
  <c r="G37"/>
  <c r="H34"/>
  <c r="H26"/>
  <c r="D10"/>
  <c r="D30"/>
  <c r="H30"/>
  <c r="G12"/>
  <c r="G28"/>
  <c r="G27"/>
  <c r="H17"/>
  <c r="G15"/>
  <c r="G24"/>
  <c r="G23"/>
  <c r="G39"/>
  <c r="H24"/>
  <c r="G31"/>
  <c r="E20" i="33"/>
  <c r="E33"/>
  <c r="E31" i="16"/>
  <c r="E19"/>
  <c r="E32"/>
  <c r="G30" i="42"/>
  <c r="D40"/>
  <c r="H40"/>
  <c r="H10"/>
  <c r="G10"/>
  <c r="G14"/>
  <c r="C30" i="24"/>
  <c r="C10"/>
  <c r="F40" i="43"/>
  <c r="E40"/>
  <c r="C40"/>
  <c r="B40"/>
  <c r="F29"/>
  <c r="E29"/>
  <c r="C29"/>
  <c r="B29"/>
  <c r="F20"/>
  <c r="E20"/>
  <c r="C20"/>
  <c r="B20"/>
  <c r="F10"/>
  <c r="F45"/>
  <c r="E10"/>
  <c r="E45"/>
  <c r="C10"/>
  <c r="C45"/>
  <c r="B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D21"/>
  <c r="G21"/>
  <c r="D22"/>
  <c r="D23"/>
  <c r="G23"/>
  <c r="D24"/>
  <c r="G24"/>
  <c r="D25"/>
  <c r="G25"/>
  <c r="D26"/>
  <c r="G26"/>
  <c r="D27"/>
  <c r="G27"/>
  <c r="D28"/>
  <c r="G28"/>
  <c r="D30"/>
  <c r="G30"/>
  <c r="D31"/>
  <c r="G31"/>
  <c r="D32"/>
  <c r="G32"/>
  <c r="D33"/>
  <c r="G33"/>
  <c r="D34"/>
  <c r="G34"/>
  <c r="D35"/>
  <c r="G35"/>
  <c r="D36"/>
  <c r="G36"/>
  <c r="D37"/>
  <c r="G37"/>
  <c r="D38"/>
  <c r="G38"/>
  <c r="D39"/>
  <c r="G39"/>
  <c r="D40"/>
  <c r="D41"/>
  <c r="D42"/>
  <c r="G42"/>
  <c r="D43"/>
  <c r="G43"/>
  <c r="D44"/>
  <c r="G44"/>
  <c r="F24" i="45"/>
  <c r="E24"/>
  <c r="C24"/>
  <c r="B24"/>
  <c r="G11"/>
  <c r="G13"/>
  <c r="G15"/>
  <c r="G17"/>
  <c r="G19"/>
  <c r="G21"/>
  <c r="G23"/>
  <c r="D11"/>
  <c r="D12"/>
  <c r="G12"/>
  <c r="D13"/>
  <c r="D14"/>
  <c r="G14"/>
  <c r="D15"/>
  <c r="D16"/>
  <c r="G16"/>
  <c r="D17"/>
  <c r="D18"/>
  <c r="G18"/>
  <c r="D19"/>
  <c r="D20"/>
  <c r="G20"/>
  <c r="D21"/>
  <c r="D22"/>
  <c r="G22"/>
  <c r="D23"/>
  <c r="D10"/>
  <c r="F15" i="44"/>
  <c r="E15"/>
  <c r="C15"/>
  <c r="B15"/>
  <c r="D11"/>
  <c r="G11"/>
  <c r="D12"/>
  <c r="G12"/>
  <c r="D13"/>
  <c r="G13"/>
  <c r="D10"/>
  <c r="D58" i="38"/>
  <c r="C59"/>
  <c r="E59"/>
  <c r="F59"/>
  <c r="B59"/>
  <c r="G58"/>
  <c r="D10"/>
  <c r="G10"/>
  <c r="D11"/>
  <c r="G11"/>
  <c r="D12"/>
  <c r="D13"/>
  <c r="G13"/>
  <c r="D14"/>
  <c r="G14"/>
  <c r="D15"/>
  <c r="G15"/>
  <c r="D16"/>
  <c r="G16"/>
  <c r="D30"/>
  <c r="G30"/>
  <c r="D31"/>
  <c r="G31"/>
  <c r="D32"/>
  <c r="G32"/>
  <c r="D33"/>
  <c r="G33"/>
  <c r="D34"/>
  <c r="G34"/>
  <c r="D35"/>
  <c r="G35"/>
  <c r="D36"/>
  <c r="G36"/>
  <c r="D37"/>
  <c r="G37"/>
  <c r="D38"/>
  <c r="G38"/>
  <c r="D57"/>
  <c r="G57"/>
  <c r="D9"/>
  <c r="B9" i="35"/>
  <c r="C9"/>
  <c r="E9"/>
  <c r="F9"/>
  <c r="D10"/>
  <c r="G10"/>
  <c r="D11"/>
  <c r="G11"/>
  <c r="D12"/>
  <c r="G12"/>
  <c r="D13"/>
  <c r="G13"/>
  <c r="D14"/>
  <c r="G14"/>
  <c r="D15"/>
  <c r="G15"/>
  <c r="D16"/>
  <c r="G16"/>
  <c r="B17"/>
  <c r="C17"/>
  <c r="E17"/>
  <c r="F17"/>
  <c r="D18"/>
  <c r="G18"/>
  <c r="D19"/>
  <c r="G19"/>
  <c r="D20"/>
  <c r="G20"/>
  <c r="D21"/>
  <c r="G21"/>
  <c r="D22"/>
  <c r="G22"/>
  <c r="D23"/>
  <c r="G23"/>
  <c r="D24"/>
  <c r="G24"/>
  <c r="D25"/>
  <c r="G25"/>
  <c r="D26"/>
  <c r="G26"/>
  <c r="B27"/>
  <c r="C27"/>
  <c r="E27"/>
  <c r="F27"/>
  <c r="D28"/>
  <c r="G28"/>
  <c r="D29"/>
  <c r="G29"/>
  <c r="D30"/>
  <c r="G30"/>
  <c r="D31"/>
  <c r="G31"/>
  <c r="D32"/>
  <c r="G32"/>
  <c r="D33"/>
  <c r="G33"/>
  <c r="D34"/>
  <c r="G34"/>
  <c r="D35"/>
  <c r="G35"/>
  <c r="D36"/>
  <c r="G36"/>
  <c r="B37"/>
  <c r="C37"/>
  <c r="E37"/>
  <c r="F37"/>
  <c r="D38"/>
  <c r="G38"/>
  <c r="D39"/>
  <c r="G39"/>
  <c r="D40"/>
  <c r="G40"/>
  <c r="D41"/>
  <c r="G41"/>
  <c r="D42"/>
  <c r="G42"/>
  <c r="D43"/>
  <c r="G43"/>
  <c r="D44"/>
  <c r="G44"/>
  <c r="D45"/>
  <c r="G45"/>
  <c r="D46"/>
  <c r="G46"/>
  <c r="B47"/>
  <c r="C47"/>
  <c r="E47"/>
  <c r="F47"/>
  <c r="D48"/>
  <c r="G48"/>
  <c r="D49"/>
  <c r="G49"/>
  <c r="D50"/>
  <c r="G50"/>
  <c r="D51"/>
  <c r="G51"/>
  <c r="D52"/>
  <c r="G52"/>
  <c r="D53"/>
  <c r="G53"/>
  <c r="D54"/>
  <c r="G54"/>
  <c r="D55"/>
  <c r="G55"/>
  <c r="D56"/>
  <c r="G56"/>
  <c r="B57"/>
  <c r="C57"/>
  <c r="E57"/>
  <c r="F57"/>
  <c r="D58"/>
  <c r="G58"/>
  <c r="D59"/>
  <c r="G59"/>
  <c r="D60"/>
  <c r="G60"/>
  <c r="B61"/>
  <c r="C61"/>
  <c r="E61"/>
  <c r="F61"/>
  <c r="D62"/>
  <c r="G62"/>
  <c r="D63"/>
  <c r="G63"/>
  <c r="D64"/>
  <c r="G64"/>
  <c r="D65"/>
  <c r="G65"/>
  <c r="D66"/>
  <c r="G66"/>
  <c r="D67"/>
  <c r="G67"/>
  <c r="D68"/>
  <c r="G68"/>
  <c r="B69"/>
  <c r="C69"/>
  <c r="E69"/>
  <c r="F69"/>
  <c r="D70"/>
  <c r="G70"/>
  <c r="D71"/>
  <c r="G71"/>
  <c r="D72"/>
  <c r="G72"/>
  <c r="B73"/>
  <c r="C73"/>
  <c r="E73"/>
  <c r="F73"/>
  <c r="D74"/>
  <c r="G74"/>
  <c r="D75"/>
  <c r="G75"/>
  <c r="D76"/>
  <c r="G76"/>
  <c r="D77"/>
  <c r="G77"/>
  <c r="D78"/>
  <c r="G78"/>
  <c r="D79"/>
  <c r="G79"/>
  <c r="D80"/>
  <c r="G80"/>
  <c r="D48" i="34"/>
  <c r="F48"/>
  <c r="G48"/>
  <c r="C48"/>
  <c r="C42"/>
  <c r="D42"/>
  <c r="F42"/>
  <c r="G42"/>
  <c r="D29"/>
  <c r="C29"/>
  <c r="F29"/>
  <c r="G29"/>
  <c r="H31"/>
  <c r="H32"/>
  <c r="H34"/>
  <c r="H35"/>
  <c r="H37"/>
  <c r="H38"/>
  <c r="H39"/>
  <c r="H40"/>
  <c r="H43"/>
  <c r="H44"/>
  <c r="H45"/>
  <c r="H46"/>
  <c r="H49"/>
  <c r="H48"/>
  <c r="E31"/>
  <c r="E32"/>
  <c r="E34"/>
  <c r="E35"/>
  <c r="E37"/>
  <c r="E38"/>
  <c r="E39"/>
  <c r="E40"/>
  <c r="E43"/>
  <c r="E44"/>
  <c r="E45"/>
  <c r="E46"/>
  <c r="E49"/>
  <c r="E48"/>
  <c r="H30"/>
  <c r="E30"/>
  <c r="G24"/>
  <c r="F24"/>
  <c r="D24"/>
  <c r="C24"/>
  <c r="H10"/>
  <c r="H11"/>
  <c r="H12"/>
  <c r="H13"/>
  <c r="H14"/>
  <c r="H15"/>
  <c r="H16"/>
  <c r="H17"/>
  <c r="H18"/>
  <c r="H19"/>
  <c r="H20"/>
  <c r="H21"/>
  <c r="H22"/>
  <c r="H23"/>
  <c r="H9"/>
  <c r="E10"/>
  <c r="E11"/>
  <c r="E12"/>
  <c r="E13"/>
  <c r="E14"/>
  <c r="E15"/>
  <c r="E16"/>
  <c r="E17"/>
  <c r="E18"/>
  <c r="E19"/>
  <c r="E20"/>
  <c r="E21"/>
  <c r="E22"/>
  <c r="E23"/>
  <c r="E9"/>
  <c r="F27" i="6"/>
  <c r="G27"/>
  <c r="F28"/>
  <c r="G28"/>
  <c r="F26"/>
  <c r="G26"/>
  <c r="F25"/>
  <c r="G25"/>
  <c r="F24"/>
  <c r="G24"/>
  <c r="F23"/>
  <c r="G23"/>
  <c r="F22"/>
  <c r="G22"/>
  <c r="F21"/>
  <c r="G21"/>
  <c r="F20"/>
  <c r="G20"/>
  <c r="F12"/>
  <c r="G12"/>
  <c r="F13"/>
  <c r="G13"/>
  <c r="F14"/>
  <c r="G14"/>
  <c r="F15"/>
  <c r="G15"/>
  <c r="F16"/>
  <c r="G16"/>
  <c r="F17"/>
  <c r="G17"/>
  <c r="F11"/>
  <c r="G11"/>
  <c r="B18" i="2"/>
  <c r="D73" i="35"/>
  <c r="D10" i="43"/>
  <c r="D29"/>
  <c r="D47" i="35"/>
  <c r="H25" i="34"/>
  <c r="C81" i="35"/>
  <c r="G40" i="43"/>
  <c r="G40" i="42"/>
  <c r="H36" i="34"/>
  <c r="G20" i="43"/>
  <c r="G10"/>
  <c r="D57" i="35"/>
  <c r="G57"/>
  <c r="D27"/>
  <c r="G27"/>
  <c r="F81"/>
  <c r="E81"/>
  <c r="C7" i="24"/>
  <c r="D7" s="1"/>
  <c r="G12" i="38"/>
  <c r="D59"/>
  <c r="D37" i="35"/>
  <c r="G37"/>
  <c r="D69"/>
  <c r="G69"/>
  <c r="D9"/>
  <c r="G9"/>
  <c r="B45" i="43"/>
  <c r="D45"/>
  <c r="D17" i="35"/>
  <c r="G17"/>
  <c r="G9" i="38"/>
  <c r="D15" i="44"/>
  <c r="G15"/>
  <c r="G47" i="35"/>
  <c r="D61"/>
  <c r="G61"/>
  <c r="G41" i="43"/>
  <c r="G22"/>
  <c r="G29"/>
  <c r="D24" i="45"/>
  <c r="G24"/>
  <c r="G10"/>
  <c r="G10" i="44"/>
  <c r="B81" i="35"/>
  <c r="G73"/>
  <c r="D51" i="34"/>
  <c r="G51"/>
  <c r="F51"/>
  <c r="H42"/>
  <c r="H33"/>
  <c r="E36"/>
  <c r="E33"/>
  <c r="C51"/>
  <c r="H24"/>
  <c r="E42"/>
  <c r="E24"/>
  <c r="H52"/>
  <c r="H29"/>
  <c r="H51"/>
  <c r="E29"/>
  <c r="E51"/>
  <c r="G59" i="38"/>
  <c r="G45" i="43"/>
  <c r="D81" i="35"/>
  <c r="G81"/>
  <c r="F15" i="37"/>
  <c r="E15"/>
  <c r="C15"/>
  <c r="B15"/>
  <c r="D13"/>
  <c r="D12"/>
  <c r="D11"/>
  <c r="D10"/>
  <c r="D9"/>
  <c r="D9" i="21"/>
  <c r="D17"/>
  <c r="F29" i="7"/>
  <c r="E29"/>
  <c r="F24"/>
  <c r="E24"/>
  <c r="F35"/>
  <c r="F15"/>
  <c r="E15"/>
  <c r="F10"/>
  <c r="E10"/>
  <c r="E21"/>
  <c r="E19" i="6"/>
  <c r="D19"/>
  <c r="C19"/>
  <c r="E10"/>
  <c r="D10"/>
  <c r="C10"/>
  <c r="C60" i="5"/>
  <c r="B60"/>
  <c r="C53"/>
  <c r="B53"/>
  <c r="C48"/>
  <c r="B48"/>
  <c r="C39"/>
  <c r="B39"/>
  <c r="C29"/>
  <c r="B29"/>
  <c r="B28"/>
  <c r="C17"/>
  <c r="B17"/>
  <c r="C8"/>
  <c r="B8"/>
  <c r="F21" i="7"/>
  <c r="B47" i="5"/>
  <c r="F10" i="6"/>
  <c r="H10"/>
  <c r="F19"/>
  <c r="C7" i="5"/>
  <c r="D8" i="6"/>
  <c r="C47" i="5"/>
  <c r="B7"/>
  <c r="G10" i="37"/>
  <c r="G11"/>
  <c r="C28" i="5"/>
  <c r="G12" i="37"/>
  <c r="G13"/>
  <c r="E8" i="6"/>
  <c r="G9" i="37"/>
  <c r="D15"/>
  <c r="E35" i="7"/>
  <c r="E39"/>
  <c r="F39"/>
  <c r="C8" i="6"/>
  <c r="F8"/>
  <c r="G10"/>
  <c r="G19"/>
  <c r="G15" i="37"/>
  <c r="F32" i="3"/>
  <c r="F31"/>
  <c r="F30"/>
  <c r="F29"/>
  <c r="E28"/>
  <c r="D28"/>
  <c r="C28"/>
  <c r="B28"/>
  <c r="F26"/>
  <c r="F25"/>
  <c r="E23"/>
  <c r="D23"/>
  <c r="C23"/>
  <c r="F19"/>
  <c r="F18"/>
  <c r="F17"/>
  <c r="E15"/>
  <c r="D15"/>
  <c r="C15"/>
  <c r="B15"/>
  <c r="F13"/>
  <c r="F12"/>
  <c r="F11"/>
  <c r="E10"/>
  <c r="D10"/>
  <c r="C10"/>
  <c r="B10"/>
  <c r="E21"/>
  <c r="G8" i="6"/>
  <c r="F10" i="3"/>
  <c r="D21"/>
  <c r="D34"/>
  <c r="D36"/>
  <c r="E34"/>
  <c r="B21"/>
  <c r="F28"/>
  <c r="C21"/>
  <c r="C34"/>
  <c r="C36"/>
  <c r="F15"/>
  <c r="F21"/>
  <c r="D51" i="23"/>
  <c r="D61"/>
  <c r="C51"/>
  <c r="C61"/>
  <c r="D44"/>
  <c r="C44"/>
  <c r="D40"/>
  <c r="C40"/>
  <c r="D20"/>
  <c r="C20"/>
  <c r="D8"/>
  <c r="C8"/>
  <c r="C48"/>
  <c r="D48"/>
  <c r="D37"/>
  <c r="C37"/>
  <c r="C63"/>
  <c r="C66"/>
  <c r="D63"/>
  <c r="D66"/>
  <c r="D61" i="1"/>
  <c r="C61"/>
  <c r="D54"/>
  <c r="C54"/>
  <c r="D48"/>
  <c r="C48"/>
  <c r="D44"/>
  <c r="C44"/>
  <c r="D34"/>
  <c r="C34"/>
  <c r="D30"/>
  <c r="C30"/>
  <c r="D20"/>
  <c r="C20"/>
  <c r="D17"/>
  <c r="C17"/>
  <c r="C8"/>
  <c r="D64"/>
  <c r="C64"/>
  <c r="D27"/>
  <c r="C27"/>
  <c r="D66"/>
  <c r="E67"/>
  <c r="C66"/>
  <c r="E66"/>
  <c r="F46" i="2"/>
  <c r="E46"/>
  <c r="F40"/>
  <c r="E40"/>
  <c r="F36"/>
  <c r="E36"/>
  <c r="C31"/>
  <c r="F31"/>
  <c r="E31"/>
  <c r="B31"/>
  <c r="H19" i="6"/>
  <c r="F18" i="2"/>
  <c r="E18"/>
  <c r="C18"/>
  <c r="F24" i="3"/>
  <c r="F23"/>
  <c r="F34"/>
  <c r="B23"/>
  <c r="B34"/>
  <c r="B36"/>
  <c r="E33" i="2"/>
  <c r="G39" i="7"/>
  <c r="E50" i="2"/>
  <c r="F33"/>
  <c r="C33"/>
  <c r="B33"/>
  <c r="H8" i="6"/>
  <c r="F50" i="2"/>
  <c r="E52"/>
  <c r="G52"/>
  <c r="E36" i="3"/>
  <c r="F36"/>
  <c r="F52" i="2"/>
  <c r="G53"/>
  <c r="D6" i="21" l="1"/>
  <c r="C39" i="24"/>
  <c r="D39" s="1"/>
  <c r="E6" i="21" l="1"/>
  <c r="D23"/>
  <c r="E23" s="1"/>
</calcChain>
</file>

<file path=xl/comments1.xml><?xml version="1.0" encoding="utf-8"?>
<comments xmlns="http://schemas.openxmlformats.org/spreadsheetml/2006/main">
  <authors>
    <author>Claudia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EVALUACIÓN:
VERIFICAR QUE COINCIDAN LOS MONTOS CON LO REPORTADO EN EL FORMATO ETCA-I-01 EN CADA EJERCICIO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Claudia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ETCA-II-11 EN EL TOTAL DE LA COLUMNA DE EGRESOS DEVENGADO ANUAL (4)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ETCA-I-02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<sst xmlns="http://schemas.openxmlformats.org/spreadsheetml/2006/main" count="1402" uniqueCount="923">
  <si>
    <t>Sistema Estatal de Evaluación</t>
  </si>
  <si>
    <t>ETCA-I-01</t>
  </si>
  <si>
    <t>Estado de Situación Financiera</t>
  </si>
  <si>
    <t>SERVICIOS DE SALUD DE SONORA</t>
  </si>
  <si>
    <t>Al Mes de Marzo de 2016</t>
  </si>
  <si>
    <t>(PESOS)</t>
  </si>
  <si>
    <t xml:space="preserve">TRIMESTRE: </t>
  </si>
  <si>
    <t>1ERO. 2016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</si>
  <si>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</si>
  <si>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</si>
  <si>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</si>
  <si>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</si>
  <si>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</si>
  <si>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</si>
  <si>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</si>
  <si>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</si>
  <si>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</si>
  <si>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</si>
  <si>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</si>
  <si>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</si>
  <si>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</si>
  <si>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</si>
  <si>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</si>
  <si>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</si>
  <si>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</si>
  <si>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</si>
  <si>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</si>
  <si>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</si>
  <si>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</si>
  <si>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</si>
  <si>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</si>
  <si>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</si>
  <si>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</si>
  <si>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</si>
  <si>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</si>
  <si>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</si>
  <si>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</si>
  <si>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</si>
  <si>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</si>
  <si>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</si>
  <si>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</si>
  <si>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</si>
  <si>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</si>
  <si>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</si>
  <si>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</si>
  <si>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</si>
  <si>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</si>
  <si>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</si>
  <si>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</si>
  <si>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</si>
  <si>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</si>
  <si>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</si>
  <si>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</si>
  <si>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</si>
  <si>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</si>
  <si>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</si>
  <si>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</si>
  <si>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</si>
  <si>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</si>
  <si>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</si>
  <si>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</si>
  <si>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</si>
  <si>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</si>
  <si>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</si>
  <si>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</si>
  <si>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</si>
  <si>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</si>
  <si>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</si>
  <si>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OBSERVACIONES</t>
  </si>
  <si>
    <t>Estado de Actividades</t>
  </si>
  <si>
    <t>Del 01 de Enero al 31 de Marzo de 2016</t>
  </si>
  <si>
    <t xml:space="preserve">                                                                                    (PESOS)</t>
  </si>
  <si>
    <t xml:space="preserve">      1ERO. 2016</t>
  </si>
  <si>
    <t>INGRESOS Y OTROS BENEFICIOS</t>
  </si>
  <si>
    <t>Ingresos de la Gestión:</t>
  </si>
  <si>
    <t>Impuestos</t>
  </si>
  <si>
    <t xml:space="preserve"> 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</si>
  <si>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</si>
  <si>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</si>
  <si>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</si>
  <si>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</si>
  <si>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</si>
  <si>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</si>
  <si>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</si>
  <si>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</si>
  <si>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</si>
  <si>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</si>
  <si>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</si>
  <si>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</si>
  <si>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</si>
  <si>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</si>
  <si>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</si>
  <si>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</si>
  <si>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</si>
  <si>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</si>
  <si>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</si>
  <si>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</si>
  <si>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</si>
  <si>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</si>
  <si>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</si>
  <si>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</si>
  <si>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</si>
  <si>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</si>
  <si>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</si>
  <si>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</si>
  <si>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</si>
  <si>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</si>
  <si>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</si>
  <si>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</si>
  <si>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</si>
  <si>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</si>
  <si>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</si>
  <si>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</si>
  <si>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</si>
  <si>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</si>
  <si>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</si>
  <si>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</si>
  <si>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</si>
  <si>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</si>
  <si>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</si>
  <si>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</si>
  <si>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</si>
  <si>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</si>
  <si>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</si>
  <si>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</si>
  <si>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</si>
  <si>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</si>
  <si>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</si>
  <si>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Obsevaciones</t>
  </si>
  <si>
    <t>Estado de Variación en la Hacienda Pública</t>
  </si>
  <si>
    <t xml:space="preserve">                                             (PESOS)</t>
  </si>
  <si>
    <t xml:space="preserve">     1ERO. 2016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</si>
  <si>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</si>
  <si>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</si>
  <si>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</si>
  <si>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</si>
  <si>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</si>
  <si>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</si>
  <si>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</si>
  <si>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</si>
  <si>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</si>
  <si>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</si>
  <si>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</si>
  <si>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>Bajo protesta de decir verdad declaramos que los Estados Financieros y sus Notas, son razonablemente correctos y son responsabilidad del emisor</t>
  </si>
  <si>
    <t>Estado de Cambios en la Situación Financiera</t>
  </si>
  <si>
    <t xml:space="preserve">                                                                              (PESOS)</t>
  </si>
  <si>
    <t xml:space="preserve">           1ERO. 2016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</si>
  <si>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</si>
  <si>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</si>
  <si>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</si>
  <si>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</si>
  <si>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</si>
  <si>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</si>
  <si>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</si>
  <si>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>Flujo de Efectivo</t>
  </si>
  <si>
    <t>Al 31 de Marzo de 2016</t>
  </si>
  <si>
    <t xml:space="preserve">                                                        (PESOS)</t>
  </si>
  <si>
    <t xml:space="preserve">  1ERO. 2016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</si>
  <si>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</si>
  <si>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</si>
  <si>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</si>
  <si>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</si>
  <si>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</si>
  <si>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</si>
  <si>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</si>
  <si>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</si>
  <si>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</si>
  <si>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</si>
  <si>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</si>
  <si>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</si>
  <si>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</si>
  <si>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</si>
  <si>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</si>
  <si>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</si>
  <si>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</si>
  <si>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</si>
  <si>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</si>
  <si>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</si>
  <si>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</si>
  <si>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</si>
  <si>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</si>
  <si>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</si>
  <si>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</si>
  <si>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Analítico del Activo</t>
  </si>
  <si>
    <t>Saldo
Inicial
1</t>
  </si>
  <si>
    <t>Cargos del Periodo
2</t>
  </si>
  <si>
    <t>Abonos del Periodo
3</t>
  </si>
  <si>
    <t>Saldo
Final
4 (1+2-3)</t>
  </si>
  <si>
    <t>Variación del Periodo
(4-1)</t>
  </si>
  <si>
    <t>Estado Analítico de la Deuda y Otros Pasivos</t>
  </si>
  <si>
    <t xml:space="preserve">         1ERO. 2016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</si>
  <si>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</si>
  <si>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</si>
  <si>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</si>
  <si>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</si>
  <si>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</si>
  <si>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</si>
  <si>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</si>
  <si>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</si>
  <si>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</si>
  <si>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</si>
  <si>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</si>
  <si>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</si>
  <si>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</si>
  <si>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</si>
  <si>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</si>
  <si>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</si>
  <si>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</si>
  <si>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</si>
  <si>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</si>
  <si>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sobre Pasivos Contingentes</t>
  </si>
  <si>
    <t xml:space="preserve">          (PESOS)</t>
  </si>
  <si>
    <t>TRIMESTRE:1ERO.2016</t>
  </si>
  <si>
    <t>A Corto Plazo</t>
  </si>
  <si>
    <t>INFORME SOBRE PASIVOS CONTINGENTES:                    NADA QUE INFORMAR EN ESTE APARTADO</t>
  </si>
  <si>
    <t>A Mediano Plazo</t>
  </si>
  <si>
    <t>A Largo Plazo</t>
  </si>
  <si>
    <t>Notas a los Estados Financieros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</si>
  <si>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</si>
  <si>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</si>
  <si>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</si>
  <si>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</si>
  <si>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</si>
  <si>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</si>
  <si>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</si>
  <si>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</si>
  <si>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</si>
  <si>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</si>
  <si>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</si>
  <si>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</si>
  <si>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</si>
  <si>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</si>
  <si>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</si>
  <si>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</si>
  <si>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</si>
  <si>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</si>
  <si>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</si>
  <si>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</si>
  <si>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</si>
  <si>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</si>
  <si>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</si>
  <si>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</si>
  <si>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</si>
  <si>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</si>
  <si>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</si>
  <si>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</si>
  <si>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</si>
  <si>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</si>
  <si>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</si>
  <si>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</si>
  <si>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</si>
  <si>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</si>
  <si>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</si>
  <si>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</si>
  <si>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</si>
  <si>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</si>
  <si>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</si>
  <si>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</si>
  <si>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Hoja  _ de _</t>
  </si>
  <si>
    <t>Estado Analítico de Ingresos</t>
  </si>
  <si>
    <t>Ente Servicios de Salud de Sonora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</si>
  <si>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</si>
  <si>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</si>
  <si>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</si>
  <si>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</si>
  <si>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Anual</t>
  </si>
  <si>
    <t>Ingresos Recaudado    Anual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</si>
  <si>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</si>
  <si>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</si>
  <si>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</si>
  <si>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</si>
  <si>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</si>
  <si>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</si>
  <si>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</si>
  <si>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</si>
  <si>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</si>
  <si>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Corriente</t>
  </si>
  <si>
    <t>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</si>
  <si>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</si>
  <si>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</si>
  <si>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</si>
  <si>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</si>
  <si>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</si>
  <si>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</si>
  <si>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</si>
  <si>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</si>
  <si>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</si>
  <si>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</si>
  <si>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</si>
  <si>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</si>
  <si>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</si>
  <si>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</si>
  <si>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</si>
  <si>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</si>
  <si>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</si>
  <si>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</si>
  <si>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</si>
  <si>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Conciliacion entre los Ingresos Presupuestarios y Contables</t>
  </si>
  <si>
    <t xml:space="preserve">                                                               (PESOS)</t>
  </si>
  <si>
    <t>TRIMESTRE: 1ERO. 2016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</si>
  <si>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</si>
  <si>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</si>
  <si>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</si>
  <si>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</si>
  <si>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</si>
  <si>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</si>
  <si>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</si>
  <si>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</si>
  <si>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</si>
  <si>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</si>
  <si>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</si>
  <si>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</si>
  <si>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</si>
  <si>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</si>
  <si>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</si>
  <si>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</si>
  <si>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</si>
  <si>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>AL 31 DE MARZO DE 2016</t>
  </si>
  <si>
    <t>PRIMERO 2016</t>
  </si>
  <si>
    <t>Ejercicio del Presupuesto por
Capítulo del Gasto</t>
  </si>
  <si>
    <t>Egresos Aprobado   Anual</t>
  </si>
  <si>
    <t>Ampliaciones/ (Reducciones)</t>
  </si>
  <si>
    <t>Egresos Modificado   Anual</t>
  </si>
  <si>
    <t>Egresos Devengado     Anual</t>
  </si>
  <si>
    <t>Egresos Pagado     Anual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</si>
  <si>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</si>
  <si>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</si>
  <si>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</si>
  <si>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</si>
  <si>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</si>
  <si>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</si>
  <si>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</si>
  <si>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</si>
  <si>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</si>
  <si>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</si>
  <si>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</si>
  <si>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</si>
  <si>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</si>
  <si>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</si>
  <si>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</si>
  <si>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</si>
  <si>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</si>
  <si>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</si>
  <si>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</si>
  <si>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</si>
  <si>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</si>
  <si>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</si>
  <si>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</si>
  <si>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</si>
  <si>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</si>
  <si>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</si>
  <si>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</si>
  <si>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</si>
  <si>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</si>
  <si>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</si>
  <si>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</si>
  <si>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</si>
  <si>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</si>
  <si>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</si>
  <si>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</si>
  <si>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</si>
  <si>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</si>
  <si>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</si>
  <si>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</si>
  <si>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</si>
  <si>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</si>
  <si>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</si>
  <si>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</si>
  <si>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</si>
  <si>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</si>
  <si>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</si>
  <si>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</si>
  <si>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</si>
  <si>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</si>
  <si>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</si>
  <si>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</si>
  <si>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</si>
  <si>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</si>
  <si>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</si>
  <si>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</si>
  <si>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</si>
  <si>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</si>
  <si>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</si>
  <si>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</si>
  <si>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</si>
  <si>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</si>
  <si>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</si>
  <si>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</si>
  <si>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</si>
  <si>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</si>
  <si>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</si>
  <si>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</si>
  <si>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</si>
  <si>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</si>
  <si>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TRIMESTRE:</t>
  </si>
  <si>
    <t>Presidencia Ejecutiva</t>
  </si>
  <si>
    <t>Unidad de Asuntos Jurídicos</t>
  </si>
  <si>
    <t>Coord. Gral. de Servicios de Salud</t>
  </si>
  <si>
    <t>Direc. Gral. de Prom. a la Salud y Prev. de  Enfermedades</t>
  </si>
  <si>
    <t>Direc. Gral. de Servicios de Salud a la Persona</t>
  </si>
  <si>
    <t>Direc. Gral. de Enseñanza y Calidad</t>
  </si>
  <si>
    <t>Direc. Gral. de Atencion Hospitalaria</t>
  </si>
  <si>
    <t>Coord. Gral. de Administración</t>
  </si>
  <si>
    <t>Direc. Gral. de Administración</t>
  </si>
  <si>
    <t>Direc. Gral. de Planeacion y Desarrollo</t>
  </si>
  <si>
    <t>Direc. Gral. de Recursos Humanos</t>
  </si>
  <si>
    <t>Direc. Gral. de Infraestructura Fisica</t>
  </si>
  <si>
    <t>Direc. Gral. de Tecnologias de la Informacion</t>
  </si>
  <si>
    <t>Direc. Gral. de Protección contra Riesgos Sanitarios</t>
  </si>
  <si>
    <t>Direc. Gral. del Organo de Control y Desarrollo</t>
  </si>
  <si>
    <t>REPSS</t>
  </si>
  <si>
    <t>Hosp. Infantil del Estado</t>
  </si>
  <si>
    <t>Hosp. Gral. del Estado</t>
  </si>
  <si>
    <t>Servicio Estatal de Salud Mental</t>
  </si>
  <si>
    <t xml:space="preserve">C I D E N </t>
  </si>
  <si>
    <t>U N A I D E S</t>
  </si>
  <si>
    <t>Hosp. Psiquiátrico "Cruz del Norte"</t>
  </si>
  <si>
    <t>Clinica Mental "Carlos Nava"</t>
  </si>
  <si>
    <t>Hosp. Gral. de Ciudad Obregón</t>
  </si>
  <si>
    <t>Hosp. Oncológico del Estado</t>
  </si>
  <si>
    <t>Laboratorio Estatal de Salud Pública</t>
  </si>
  <si>
    <t>Centro Estatal de Transfusión Sanguínea</t>
  </si>
  <si>
    <t xml:space="preserve">C A P A S I T S </t>
  </si>
  <si>
    <t>Centro de Desarrollo Infantil</t>
  </si>
  <si>
    <t xml:space="preserve">C R E E </t>
  </si>
  <si>
    <t>Cirugia Ambulatoria Hermosillo</t>
  </si>
  <si>
    <t>Jurisdicción Sanitaria I</t>
  </si>
  <si>
    <t xml:space="preserve">C A A P S </t>
  </si>
  <si>
    <t>Hosp. Gral. de Ures</t>
  </si>
  <si>
    <t>Hosp. Gral. de Moctezuma</t>
  </si>
  <si>
    <t>Jurisdicción Sanitaria II</t>
  </si>
  <si>
    <t>Hosp. Gral. de Caborca</t>
  </si>
  <si>
    <t>Hosp. Gral. de San Luis Rio Colorado</t>
  </si>
  <si>
    <t>Hosp. Gral. de Puerto Peñasco</t>
  </si>
  <si>
    <t>Jurisdicción Sanitaria III</t>
  </si>
  <si>
    <t>Hosp. Gral. de Nogales</t>
  </si>
  <si>
    <t>Hosp. Gral. de Magdalena</t>
  </si>
  <si>
    <t>Hosp. Gral. de Cananea</t>
  </si>
  <si>
    <t>Hosp. Gral. de Agua Prieta</t>
  </si>
  <si>
    <t>Jurisdicción Sanitaria IV</t>
  </si>
  <si>
    <t>Hosp. Gral. de Guaymas</t>
  </si>
  <si>
    <t>Jurisdicción Sanitaria V</t>
  </si>
  <si>
    <t>Hosp. Gral. de Navojoa</t>
  </si>
  <si>
    <t>Hosp. Gral. de Alamos</t>
  </si>
  <si>
    <t>Hosp. Gral. de Huatabampo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</si>
  <si>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</si>
  <si>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</si>
  <si>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</si>
  <si>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</si>
  <si>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</si>
  <si>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</si>
  <si>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</si>
  <si>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</si>
  <si>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</si>
  <si>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</si>
  <si>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</si>
  <si>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</si>
  <si>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</si>
  <si>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</si>
  <si>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</si>
  <si>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</si>
  <si>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</si>
  <si>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</si>
  <si>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</si>
  <si>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</si>
  <si>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</si>
  <si>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</si>
  <si>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</si>
  <si>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</si>
  <si>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</si>
  <si>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</si>
  <si>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</si>
  <si>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</si>
  <si>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</si>
  <si>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</si>
  <si>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</si>
  <si>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</si>
  <si>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</si>
  <si>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</si>
  <si>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</si>
  <si>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</si>
  <si>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</si>
  <si>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</si>
  <si>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</si>
  <si>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</si>
  <si>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</si>
  <si>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</si>
  <si>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</si>
  <si>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</si>
  <si>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</si>
  <si>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Conciliacion entre los Egresos Presupuestarios y los Gastos Contables</t>
  </si>
  <si>
    <t>1ro 2016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</si>
  <si>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</si>
  <si>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</si>
  <si>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</si>
  <si>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</si>
  <si>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</si>
  <si>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</si>
  <si>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</si>
  <si>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</si>
  <si>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</si>
  <si>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</si>
  <si>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</si>
  <si>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</si>
  <si>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</si>
  <si>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</si>
  <si>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</si>
  <si>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</si>
  <si>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</si>
  <si>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</si>
  <si>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</si>
  <si>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</si>
  <si>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</si>
  <si>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</si>
  <si>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</si>
  <si>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</si>
  <si>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</si>
  <si>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</si>
  <si>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</si>
  <si>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Por Partida del Gasto</t>
  </si>
  <si>
    <t>Ejercicio del Presupuesto por
Partida  /  Descripción</t>
  </si>
  <si>
    <t>% Avance Anual</t>
  </si>
  <si>
    <t>(7= 4/3)</t>
  </si>
  <si>
    <t>SUELDOS</t>
  </si>
  <si>
    <t>REMUNERACIONES POR SUSTITUCION DE PERSONAL</t>
  </si>
  <si>
    <t>COMPENSACIONES POR RIESGOS PROFESIONALES</t>
  </si>
  <si>
    <t>RIESGO LABORAL</t>
  </si>
  <si>
    <t>AYUDA PARA HABITACION</t>
  </si>
  <si>
    <t>AYUDA PARA DESPENSA</t>
  </si>
  <si>
    <t>HONORARIOS</t>
  </si>
  <si>
    <t>SUELDOS BASE AL PERSONAL EVENTUAL</t>
  </si>
  <si>
    <t>PRIMAS POR AÑOS DE SERVICIOS EFECTIVOS PRESTADOS</t>
  </si>
  <si>
    <t>PRIMAS DE VACACIONES Y DOMINICAL</t>
  </si>
  <si>
    <t>AGUINALDO O GRATIFICACIÓN DE FIN DE AÑO</t>
  </si>
  <si>
    <t>COMPENSACION POR AJUSTE DE CALENDARIO</t>
  </si>
  <si>
    <t>COMPENSACION POR BONO NAVIDEÑO</t>
  </si>
  <si>
    <t>REMUNERACIONES POR HORAS EXTRAORDINARIAS</t>
  </si>
  <si>
    <t>APORTACIONES AL ISSSTE</t>
  </si>
  <si>
    <t>APORTACIÓN POR SEGURO DE VIDA AL ISSSTESON</t>
  </si>
  <si>
    <t>APORTAIÓN POR SEGURO DE RETIRO AL ISSSTESON</t>
  </si>
  <si>
    <t>OTRAS PRESTACIONES DE SEGURIDAD SOCIAL</t>
  </si>
  <si>
    <t>APORTACIONES AL FOVISSSTE</t>
  </si>
  <si>
    <t>APORTACIONES AL SISTEMA DE AHORRO PARA EL RETIRO</t>
  </si>
  <si>
    <t>OTRAS APORTACIONES DE SEGUROS COLECTIVOS</t>
  </si>
  <si>
    <t>INDEMNIZACIONES AL PERSONAL</t>
  </si>
  <si>
    <t>PAGO DE LIQUIDACIONES</t>
  </si>
  <si>
    <t>DIAS ECONOMICOS Y DE DESCANSO OBLIGATORIOS NO DISFRUTADOS</t>
  </si>
  <si>
    <t>APOYO PARA DESARROLLO Y CAPACITACION</t>
  </si>
  <si>
    <t>BONO DE DIA  DE MADRES</t>
  </si>
  <si>
    <t>OTRAS PRESTACIONES</t>
  </si>
  <si>
    <t>ESTIMULOS AL PERSONAL</t>
  </si>
  <si>
    <t>BONO POR PUNTUALIDAD</t>
  </si>
  <si>
    <t>MATERIALES, UTILES Y EQUIPOS MENORES DE OFICINA</t>
  </si>
  <si>
    <t>MATERIALES Y UTILES DE IMPRESIÓN Y REPRODUCCION</t>
  </si>
  <si>
    <t>MATERIAL ESTADISTICO Y GEOGRAFICO</t>
  </si>
  <si>
    <t>MATERIALES Y UTILES PARA EL PROCESAMIENTO DE EQUIPOS Y BIENES INFORMATICOS</t>
  </si>
  <si>
    <t>MATERIAL PARA INFORMACION</t>
  </si>
  <si>
    <t>MATERIAL DE LIMPIEZA</t>
  </si>
  <si>
    <t>MATERIALES EDUCATIVOS</t>
  </si>
  <si>
    <t>MATERIALES Y SUMINISTROS PARA PLANTELES EDUCATIVOS</t>
  </si>
  <si>
    <t>PLACAS, ENGOMADOS, CALCOMANIAS Y HOLOGRAMAS</t>
  </si>
  <si>
    <t>PRODUCTOS ALIMENTICIOS PARA EL PERSONAL EN LAS INSTALACIONES</t>
  </si>
  <si>
    <t>ALIMENTACION DE PERSONAS HOSPITALIZADAS</t>
  </si>
  <si>
    <t>PRODUCTOS ALIMENTICIOS PARA PERSONAS DERIVADO DE LA PRESTACION DE SERVICIOS PUBLICOS EN UNIDADES DE SALUD, EDUCATIVAS Y OTRAS</t>
  </si>
  <si>
    <t>ADQUISICION DE AGUA POTABLE</t>
  </si>
  <si>
    <t>ALIMENTACION DE ANIMALES</t>
  </si>
  <si>
    <t>UTENSILIOS PARA EL SERVICIO DE ALIMENTACION</t>
  </si>
  <si>
    <t>COMBUSTIBLES, LUBRICANTES, ADITIVOS, CARBON Y SUS DERIVADOS ADQUIRIDOS COMO MATERIA PRIMA</t>
  </si>
  <si>
    <t>PRODUCTOS METALICOS Y A BASE DE MINERALES NO METALICOS ADQUIRIDOS COMO MATERIS PRIMA</t>
  </si>
  <si>
    <t>PRODUCTOS DE CUERO, PIEL, PLASTICOS Y HULE ADQUIRIDOS COMO MATERIA PRIMA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</si>
  <si>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</si>
  <si>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</si>
  <si>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</si>
  <si>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</si>
  <si>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</si>
  <si>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</si>
  <si>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</si>
  <si>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</si>
  <si>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</si>
  <si>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QUIMICOS BASICOS</t>
  </si>
  <si>
    <t>FERTILIZANTES, PESTICIDAS Y OTROS AGROQUIMICOS</t>
  </si>
  <si>
    <t>MEDICINAS Y PRODUCTOS FARMACEUTICOS</t>
  </si>
  <si>
    <t>OXIGENO Y GASES PARA USO MEDICINAL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</si>
  <si>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</si>
  <si>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</si>
  <si>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</si>
  <si>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</si>
  <si>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</t>
  </si>
  <si>
    <t>LUBRICANTES Y ADITIVOS</t>
  </si>
  <si>
    <t>VESTUARIOS Y UNIFORMES</t>
  </si>
  <si>
    <t>PRENDAS DE SEGURIDAD Y PROTECCION PERSONAL</t>
  </si>
  <si>
    <t>ARTICULOS DEPORTIVOS</t>
  </si>
  <si>
    <t>PRODUCTOS TEXTILES</t>
  </si>
  <si>
    <t>BLANCOS Y OTROS PRODUCTOS TEXTILES, EXCEPTO PRENDAS DE VESTIR</t>
  </si>
  <si>
    <t>PRENDAS DE PROTECCION PARA SEGURIDAD PUBLICA NACIONAL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</si>
  <si>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</si>
  <si>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</si>
  <si>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</si>
  <si>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</si>
  <si>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</si>
  <si>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</si>
  <si>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</si>
  <si>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</si>
  <si>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ENERGIA ELECTRICA</t>
  </si>
  <si>
    <t>GAS</t>
  </si>
  <si>
    <t>AGUA POTABLE</t>
  </si>
  <si>
    <t>TELEFONIA TRADICIONAL</t>
  </si>
  <si>
    <t>TELEFONIA CELULAR</t>
  </si>
  <si>
    <t>SERVICIO DE TELECOMUNICACIONES Y SATELITES</t>
  </si>
  <si>
    <t>SERVICIO DE ACCESO A INTERNET, REDES Y PROCESAMIENTO DE INFORMACION</t>
  </si>
  <si>
    <t>SERVICIO POSTAL</t>
  </si>
  <si>
    <t>SERVICIOS INTEGRALES Y OTROS SERVICIOS</t>
  </si>
  <si>
    <t>ARRENDAMIENTO DE EDIFICIOS</t>
  </si>
  <si>
    <t>ARRENDAMIENTO DE MUEBLES, MAQUINARIA Y EQUIPO</t>
  </si>
  <si>
    <t>ARRENDAMIENTO DE EQUIPO E INSTRUMENTAL MEDICO Y DE LABORATORIO</t>
  </si>
  <si>
    <t>ARRENDAMIENTO DE EQUIPO DE TRANSPORTE</t>
  </si>
  <si>
    <t>ARRENDAMIENTO DE MAQUINARIA, OTROS EQUIPOS Y HERRAMIENTAS</t>
  </si>
  <si>
    <t>PATENTES, REGALIAS Y OTROS</t>
  </si>
  <si>
    <t>OTROS ARRENDAMIENTOS</t>
  </si>
  <si>
    <t>SERVICIOS LEGALES, DE CONTABILIDAD, AUDITORIAS Y RELACIONADOS</t>
  </si>
  <si>
    <t>SERVICIOS DE DISEÑO, ARQUITECTURA, INGENIERIA Y ACTIVIDADES RELACIONADAS</t>
  </si>
  <si>
    <t>SERVICIOS DE INFORMATICA</t>
  </si>
  <si>
    <t>SERVICIOS DE CONSULTORIAS</t>
  </si>
  <si>
    <t>SERVICIOS ESTADISTICOS Y GEOGRAFICOS</t>
  </si>
  <si>
    <t>SERVICIOS DE CAPACITACION</t>
  </si>
  <si>
    <t>ESTUDIOS E INVESTIGACIONES</t>
  </si>
  <si>
    <t>IMPRESIONES Y PUBLICACIONES OFICIALES</t>
  </si>
  <si>
    <t>LICITACIONES, CONVENIOS Y CONVOCATORIAS</t>
  </si>
  <si>
    <t>SERVICIOS DE VIGILANCIA</t>
  </si>
  <si>
    <t>SERVICIOS PROFESIONALES, CIENTIFICOS Y TECNICOS INTEGRALES</t>
  </si>
  <si>
    <t>SERVICIOS INTEGRALES</t>
  </si>
  <si>
    <t>SERVICIOS FINANCIEROS Y BANCARIOS</t>
  </si>
  <si>
    <t>SERVICIOS DE RECAUDACION, TRASLADO Y CUSTODIA DE VALORES</t>
  </si>
  <si>
    <t>SEGUROS DE RESPONSABILIDAD PATRIMONIAL Y FIANZAS</t>
  </si>
  <si>
    <t>SEGUROS DE BIENES PATRIMONIALES</t>
  </si>
  <si>
    <t>ALMACENAJE, ENVASE Y EMBALAJE</t>
  </si>
  <si>
    <t>FLETES Y MANIOBRAS</t>
  </si>
  <si>
    <t>MANTENIMIENTO Y CONSERVACION DE INMUEBLES</t>
  </si>
  <si>
    <t>MANTENIMIENTO Y CONSERVACION DE MOBILIARIO Y EQUIPO</t>
  </si>
  <si>
    <t>MANTENIMIENTO Y CONSERVACION DE MOBILIARIO Y EQUIPO PARA ESCUELAS, LABORATORIOS Y TALLERES</t>
  </si>
  <si>
    <t>INSTALACIONES</t>
  </si>
  <si>
    <t>MANTENIMIENTO Y CONSERVACION DE BIENES INFORMATICOS</t>
  </si>
  <si>
    <t>INSTALACION, REPARACION Y MANTENIMIENTO DE EQUIPO E INSTRUMENTAL MEDICO Y DE LABORATORIO</t>
  </si>
  <si>
    <t>MANTENIMIENTO Y CONSERVACION DE EQUIPO DE TRANSPORTE</t>
  </si>
  <si>
    <t>MANTENIMIENTO Y CONSERVACION DE MAQUINARIA Y EQUIPO</t>
  </si>
  <si>
    <t>MANTENIMIENTO Y CONSERVACION DE HERRAMIENTAS, MAQUINAS HERRAMIENTAS, INSTRUMENTOS, UTILES Y EQUIPO</t>
  </si>
  <si>
    <t>SERVICIOS DE LIMPIEZA Y MANEJO DE DESECHOS</t>
  </si>
  <si>
    <t>SERVICIOS DE JARDINERIA Y FUMIGACION</t>
  </si>
  <si>
    <t>DIFUSION POR RADIO, TELEVISION Y OTROS MEDIOS DE MENSAJES SOBRE PROGRAMAS Y ACTIVIDADES GUBERNAMENTALES</t>
  </si>
  <si>
    <t>DIFUSION POR RADIO, TELEVISION Y OTROS MEDIOS DE MENSAJES COMERCIALES PARA PROMOVER LA VENTA DE PRODUCTOS O SERVICIOS</t>
  </si>
  <si>
    <t>SERVICIOS DE CREATIVIDAD, PREPRODUCCION Y PRODUCCION DE PUBLICIDAD, EXCEPTO INTERNET</t>
  </si>
  <si>
    <t>SERVICIOS DE REVELADO DE FOTOGRAFIAS</t>
  </si>
  <si>
    <t>SERVICIOS DE CREACION Y DIFUSION DE CONTENIDO EXCLUSIVAMENTE A TRAVES DE INTERNET</t>
  </si>
  <si>
    <t>PASAJES AEREOS</t>
  </si>
  <si>
    <t>PASAJES AEREOS INTERNACIONALES  PARA SERVIDIORES PUBLICOS EN EL DESEMPEÑO DE COMISIONES Y FUNCIONES  OFICIALES</t>
  </si>
  <si>
    <t>PASAJES TERRESTRES</t>
  </si>
  <si>
    <t>AUTOTRANSPORTE</t>
  </si>
  <si>
    <t>VIATICOS EN EL PAIS</t>
  </si>
  <si>
    <t>GASTOS DE CAMINO</t>
  </si>
  <si>
    <t>VIATICOS EN EL EXTRANJERO</t>
  </si>
  <si>
    <t>CUOTAS</t>
  </si>
  <si>
    <t>GASTOS DE CEREMONIAL</t>
  </si>
  <si>
    <t>GASTOS DE ORDEN SOCIAL Y CULTURAL</t>
  </si>
  <si>
    <t>CONGRESOS Y CONVENCIONES</t>
  </si>
  <si>
    <t>GASTOS DE ATENCION Y PROMOCION</t>
  </si>
  <si>
    <t>SERVICIOS FUNERARIOS Y DE CEMENTERIOS</t>
  </si>
  <si>
    <t>IMPUESTOS Y DERECHOS</t>
  </si>
  <si>
    <t>PENAS, MULTAS, ACCESORIOS Y ACTUALIZACIONES</t>
  </si>
  <si>
    <t>OTROS GASTOS POR RESPONSABILIDADES</t>
  </si>
  <si>
    <t>SERVICIOS ASISTENCIALES</t>
  </si>
  <si>
    <t>SUBROGACIONES</t>
  </si>
  <si>
    <t>SERVICIOS PERSONALES</t>
  </si>
  <si>
    <t>SERVICIOS GENERALES</t>
  </si>
  <si>
    <t>TRANSFERENCIAS PARA GASTOS DE OPERACIÓN</t>
  </si>
  <si>
    <t>SUBSIDIOS A LA PRESTACION DE SERVICIOS PUBLICOS</t>
  </si>
  <si>
    <t>AYUDAS SOCIALES A PERSONAS</t>
  </si>
  <si>
    <t>GASTOS POR SERVICIOS DE TRASLADO DE PERSONAS</t>
  </si>
  <si>
    <t>AYUDAS SOCIALES A INSTITUCIONES SIN FINES DE LUCRO</t>
  </si>
  <si>
    <t>MOBILIARIO</t>
  </si>
  <si>
    <t>MUEBLES, EXCEPTO DE OFICINA Y ESTANTERIA</t>
  </si>
  <si>
    <t>BIENES INFORMATICOS</t>
  </si>
  <si>
    <t>EQUIPO DE ADMINISTRACION</t>
  </si>
  <si>
    <t>MOBILIARIO Y EQUIPO PARA ESCUELAS, LABORATORIOS Y TALLERES</t>
  </si>
  <si>
    <t>EQUIPOS Y APARATOS AUDIOVISUALES</t>
  </si>
  <si>
    <t>CAMARAS FOTOGRAFICAS Y DE VIDEO</t>
  </si>
  <si>
    <t>OTRO MOBILIARIO Y EQUIPO EDUCACIONAL Y RECREATIVO</t>
  </si>
  <si>
    <t>EQUIPO MEDICO Y DE LABORATORIO</t>
  </si>
  <si>
    <t>INSTRUMENTAL MEDICO Y DE LABORATORIO</t>
  </si>
  <si>
    <t>AUTOMOVILES Y CAMIONES</t>
  </si>
  <si>
    <t>CARROCERIAS Y REMOLQUES</t>
  </si>
  <si>
    <t>OTROS EQUIPOS DE TRANSPORTE</t>
  </si>
  <si>
    <t>MAQUINARIA Y EQUIPO AGROPECUARIO</t>
  </si>
  <si>
    <t>MAQUINARIA Y EQUIPO INDUSTRIAL</t>
  </si>
  <si>
    <t>SISTEMAS DE AIRE ACONDICIONADO, CALEFACCION Y DE REFRIGERACION INDUSTRIAL Y COMERCIAL</t>
  </si>
  <si>
    <t>EQUIPO DE COMUNICACIÓN Y TELECOMUNICACION</t>
  </si>
  <si>
    <t xml:space="preserve">MAQUINARIA Y EQUIPO ELÉCTRICO Y ELECTRÓNICO </t>
  </si>
  <si>
    <t>HERRAMIENTAS</t>
  </si>
  <si>
    <t>OTROS BIENES MUEBLES</t>
  </si>
  <si>
    <t>SOFTWARE</t>
  </si>
  <si>
    <t>REMODELACION Y REHABILITACION</t>
  </si>
  <si>
    <t>EQUIPAMIENTO</t>
  </si>
  <si>
    <t>ESTUDIOS Y PROYECTOS</t>
  </si>
  <si>
    <t>INFRAESTRUCTURA Y EQUIPAMIENTO EN MATERIA DE SALUD</t>
  </si>
  <si>
    <t>INDIRECTOS PARA OBRAS EN EDIFICACIÓN NO HABITACIONAL</t>
  </si>
  <si>
    <t>CONSTRUCCION</t>
  </si>
  <si>
    <t>AMPLIACION</t>
  </si>
  <si>
    <t>ADEFAS</t>
  </si>
  <si>
    <t xml:space="preserve">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</si>
  <si>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</si>
  <si>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</si>
  <si>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</si>
  <si>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</si>
  <si>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</si>
  <si>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</si>
  <si>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</si>
  <si>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NADA  QUE  REPORTAR  EN  ESTE  APARTADO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</si>
  <si>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</si>
  <si>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</si>
  <si>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</si>
  <si>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</si>
  <si>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</si>
  <si>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(pesos)</t>
  </si>
  <si>
    <t>TRIMESTRE: PRIMERO 2016</t>
  </si>
  <si>
    <t>Devengado</t>
  </si>
  <si>
    <t>Pagado</t>
  </si>
  <si>
    <t>Total de Interéses Créditos Bancarios</t>
  </si>
  <si>
    <t>Total Intereses Otros Instrumentos de Deuda</t>
  </si>
  <si>
    <t>Gasto Por Categoría Programática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</si>
  <si>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</si>
  <si>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</si>
  <si>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</si>
  <si>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</si>
  <si>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</si>
  <si>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</si>
  <si>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</si>
  <si>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</si>
  <si>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</si>
  <si>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</si>
  <si>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</si>
  <si>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</si>
  <si>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</si>
  <si>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</si>
  <si>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</si>
  <si>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</si>
  <si>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</si>
  <si>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</si>
  <si>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</si>
  <si>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</si>
  <si>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</si>
  <si>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</si>
  <si>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</si>
  <si>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</si>
  <si>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</si>
  <si>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</si>
  <si>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</si>
  <si>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</si>
  <si>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</si>
  <si>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</si>
  <si>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 xml:space="preserve">LOS REPORTES DEL ETCA-III-15 SE OBTIENEN DEL SED 2016 (SISTEMA DE EVALUACION DEL DESEMPEÑO), EL SISTEMA PRESENTA EN LA ACTUALIDAD PROBLEMAS EN LA REPORTERIA POR TAL MOTIVO NO SE PUDIERON GENERAR LOS REPORTES DEL ETCA-III-15 </t>
  </si>
  <si>
    <t xml:space="preserve"> Sistema Estatal de Evaluación</t>
  </si>
  <si>
    <t>Gastos por proyectos de Inversión</t>
  </si>
  <si>
    <t>(pesos)</t>
  </si>
  <si>
    <t>GASTO DE INVERSION EJERCIDO:</t>
  </si>
  <si>
    <t xml:space="preserve">NOMBRE DEL PROYECTO </t>
  </si>
  <si>
    <t xml:space="preserve">MONTO EROGADO </t>
  </si>
  <si>
    <t>*</t>
  </si>
  <si>
    <t>NADA QUE REPORTAR DENTRO DEL PRIMER TRIMESTRE 2016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</si>
  <si>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</si>
  <si>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</si>
  <si>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</si>
  <si>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Ente XXXXXX</t>
  </si>
  <si>
    <t>Del 01 de Enero al XXXXXXX de 2016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</si>
  <si>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</si>
  <si>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</si>
  <si>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</si>
  <si>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</si>
  <si>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</si>
  <si>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</si>
  <si>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</si>
  <si>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</si>
  <si>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</si>
  <si>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</si>
  <si>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</si>
  <si>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</si>
  <si>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</si>
  <si>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</si>
  <si>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</si>
  <si>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</si>
  <si>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</si>
  <si>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</si>
  <si>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</si>
  <si>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Relación de Cuentas Bancarias Productivas Específicas</t>
  </si>
  <si>
    <t xml:space="preserve">                                 (pesos)</t>
  </si>
  <si>
    <t>Fondo, Programa o Convenio</t>
  </si>
  <si>
    <t>Datos de la Cuenta Bancaria</t>
  </si>
  <si>
    <t>Institución Bancaria</t>
  </si>
  <si>
    <t>Número de Cuenta</t>
  </si>
  <si>
    <t>NOMINA RECURSO FEDERAL 2015</t>
  </si>
  <si>
    <t>BANCOMER</t>
  </si>
  <si>
    <t>0197924682</t>
  </si>
  <si>
    <t>GASTOS OPERACIÓN SUBSIDIO FED 2015</t>
  </si>
  <si>
    <t>0197925255</t>
  </si>
  <si>
    <t>SEGURO POPULAR 2015</t>
  </si>
  <si>
    <t>0197924267</t>
  </si>
  <si>
    <t>ADICCIONES 2015</t>
  </si>
  <si>
    <t>BANORTE</t>
  </si>
  <si>
    <t>0298097780</t>
  </si>
  <si>
    <t>SIGLO XXI 2015</t>
  </si>
  <si>
    <t>0298097762</t>
  </si>
  <si>
    <t>AFASPE 2015</t>
  </si>
  <si>
    <t>CIBANCO</t>
  </si>
  <si>
    <t>1128973</t>
  </si>
  <si>
    <t>COFEPRIS 2015</t>
  </si>
  <si>
    <t>1163736</t>
  </si>
  <si>
    <t>RAMO 23 2015  VARIAS UNIDADES F73</t>
  </si>
  <si>
    <t>1176994</t>
  </si>
  <si>
    <t>INVERSION RAMO 23 2015 CONTINGENCIAS ECONOMICAS PROV SALARIALES Y ECONOMICAS EQUIPAMIENTO CANANEA</t>
  </si>
  <si>
    <t>ACTINVER</t>
  </si>
  <si>
    <t>1137273</t>
  </si>
  <si>
    <t>PROSPERA 2015 GTOS OPERACIÓN</t>
  </si>
  <si>
    <t>0199657770</t>
  </si>
  <si>
    <t>UNIDADES MEDICAS MOVILES 2015</t>
  </si>
  <si>
    <t>0101247204</t>
  </si>
  <si>
    <t xml:space="preserve">SEGURO POPILAR 2016 </t>
  </si>
  <si>
    <t>0414587492</t>
  </si>
  <si>
    <t>GASTOS OPERACION SUBSIDIO FED 2016 FASSA</t>
  </si>
  <si>
    <t>0409603080</t>
  </si>
  <si>
    <t>AFASPE 2016</t>
  </si>
  <si>
    <t>0104668499</t>
  </si>
  <si>
    <t>COFEPRIS 2016</t>
  </si>
  <si>
    <t>0418756821</t>
  </si>
  <si>
    <t>NOTA: La información de este formato es ACUMULADA</t>
  </si>
  <si>
    <t>Relación de Bienes Muebles e Inmuebles que Componen su Patrimonio</t>
  </si>
  <si>
    <t xml:space="preserve">                          (pesos)</t>
  </si>
  <si>
    <t>TRIMESTRE:1ERO. 2016</t>
  </si>
  <si>
    <t>Código</t>
  </si>
  <si>
    <t>Descripción del Bien</t>
  </si>
  <si>
    <t>Valor en Libros</t>
  </si>
  <si>
    <t>BIENES MUEBLES</t>
  </si>
  <si>
    <t>MOBILIARIO Y EQUIPO DE OFICINA</t>
  </si>
  <si>
    <t>MAQUINARIA Y EQUIPO MEDICO</t>
  </si>
  <si>
    <t>EQUIPO DE TRANSPORTE</t>
  </si>
  <si>
    <t>BIENES INMUEBLES</t>
  </si>
  <si>
    <t>TERRENOS</t>
  </si>
  <si>
    <t>EDIFICIOS</t>
  </si>
  <si>
    <t>EDIFICIOS NO HABITACIONALES</t>
  </si>
  <si>
    <t>Y DEMAS INMUEBLES</t>
  </si>
  <si>
    <t>NOTA: la información de este formato es ACUMULADA.</t>
  </si>
  <si>
    <t xml:space="preserve">                Relación de esquemas bursátiles y de coberturas financieras</t>
  </si>
  <si>
    <t>Identificacion del  Instrumento</t>
  </si>
  <si>
    <t>Colocación</t>
  </si>
  <si>
    <t>Interés Ganados</t>
  </si>
  <si>
    <t>Valor Actual</t>
  </si>
  <si>
    <t>C=A+B</t>
  </si>
  <si>
    <t>NADA QUE INFORMAR EN ESTE APARTADO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</si>
  <si>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</si>
  <si>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</si>
  <si>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</si>
  <si>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</si>
  <si>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Subsecretaria de Planeación del Desarrollo</t>
  </si>
  <si>
    <t>Dirección General de Planeación y Evaluación</t>
  </si>
  <si>
    <t>Segundo Informe Trimestral 2015</t>
  </si>
  <si>
    <t xml:space="preserve">Ley General de Contabilidad Gubernamental </t>
  </si>
  <si>
    <t>Artículos del 44 al 59</t>
  </si>
  <si>
    <t>Formatos</t>
  </si>
  <si>
    <t>Listado de Formatos ETCA "Evaluación Trimestral Contabilidad Armonizada"</t>
  </si>
  <si>
    <t>No</t>
  </si>
  <si>
    <t>Formato</t>
  </si>
  <si>
    <t>Descripción</t>
  </si>
  <si>
    <t>I.- Información Contable</t>
  </si>
  <si>
    <t>Estado de Situacion Financiera</t>
  </si>
  <si>
    <t>ETCA-I-02</t>
  </si>
  <si>
    <t>ETCA-I-03</t>
  </si>
  <si>
    <t xml:space="preserve">Estado de Variación en la Hacienda Pública </t>
  </si>
  <si>
    <t>ETCA-I-04</t>
  </si>
  <si>
    <t>ETCA-I-05</t>
  </si>
  <si>
    <t>ETCA-I-06</t>
  </si>
  <si>
    <t>ETCA-I-07</t>
  </si>
  <si>
    <t>ETCA-I-08</t>
  </si>
  <si>
    <t>ETCA-I-09</t>
  </si>
  <si>
    <t>II.- Información Presupuestaria</t>
  </si>
  <si>
    <t>ETCA-II-10</t>
  </si>
  <si>
    <t>ETCA-II-10-A</t>
  </si>
  <si>
    <t>ETCA-II-11</t>
  </si>
  <si>
    <t>Estado Analítico del Ejercicio Presupuesto de Egresos 
Clasificación Por Objeto del Gasto (Capitulo y Concepto)</t>
  </si>
  <si>
    <t>ETCA-II-11-A</t>
  </si>
  <si>
    <t>Estado Analítico del Ejercicio Presupuesto de Egresos 
Clasificación Económica (Por Tipo de Gasto)</t>
  </si>
  <si>
    <t>ETCA-II-11-B1</t>
  </si>
  <si>
    <t>Estado Analítico del Ejercicio Presupuesto de Egresos
Por Unidad Administrativa</t>
  </si>
  <si>
    <t>ETCA-II-11-B2</t>
  </si>
  <si>
    <t>Estado Analítico del Ejercicio Presupuesto de Egresos
Clasificación Administrativa, Por Poderes</t>
  </si>
  <si>
    <t>ETCA-II-11-B3</t>
  </si>
  <si>
    <t>Estado Analítico del Ejercicio Presupuesto de Egresos
Clasificación Administrativa, Por tipo de Organismo o Entidad Paraestatal</t>
  </si>
  <si>
    <t>ETCA-II-11-C</t>
  </si>
  <si>
    <t>Estado Analítico del Ejercicio Presupuesto de Egresos
Clasificación Funcional (Finalidad y Función)</t>
  </si>
  <si>
    <t>ETCA-II-11-D</t>
  </si>
  <si>
    <t>ETCA-II-11-E</t>
  </si>
  <si>
    <t>Estado Analítico del Ejercicio Presupuesto de Egresos 
Por Partida del Gasto</t>
  </si>
  <si>
    <t>ETCA-II-12</t>
  </si>
  <si>
    <t>ETCA-II-13</t>
  </si>
  <si>
    <t>Interéses de la Deuda</t>
  </si>
  <si>
    <t>III.- Información Programática</t>
  </si>
  <si>
    <t>ETCA-III-14</t>
  </si>
  <si>
    <t>Gasto por Categoría Programática</t>
  </si>
  <si>
    <t>ETCA-III-15</t>
  </si>
  <si>
    <t>Seguimiento y Evaluación de Indicadores de Proyectos y Procesos 
(Gasto por Categoría Programática, Metas y Programas; Análisis Programático-Presupuestal con Indicadores de Resultados</t>
  </si>
  <si>
    <t>ETCA-III-16</t>
  </si>
  <si>
    <t>Gasto por Proyectos de Inversión</t>
  </si>
  <si>
    <t>IV.- Información Complementaria-Anexos</t>
  </si>
  <si>
    <t>La información complementaria para generar las cuentas nacionales y atender otros requerimientos</t>
  </si>
  <si>
    <t>provenientes de Organismos Internacionales de los que México es miembro.</t>
  </si>
  <si>
    <t>ETCA-IV-17</t>
  </si>
  <si>
    <t>ETCA-IV-18</t>
  </si>
  <si>
    <t>ETCA-IV-19</t>
  </si>
  <si>
    <t>Relación de Bienes que Componen su Patrimonio</t>
  </si>
  <si>
    <t>ETCA-IV-20</t>
  </si>
  <si>
    <t>Relación de esquemas bursátiles y de coberturas financieras</t>
  </si>
  <si>
    <t>Otros</t>
  </si>
  <si>
    <t>Formato libre</t>
  </si>
  <si>
    <t>2DO. 2016</t>
  </si>
  <si>
    <t>Del 01 de Abril al 30 de Junio del 2016</t>
  </si>
  <si>
    <t>TRIMESTRE: 2DO. 2016</t>
  </si>
  <si>
    <t>Al 30 de Junio de 2016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</si>
</sst>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€&quot;* #,##0.00_-;\-&quot;€&quot;* #,##0.00_-;_-&quot;€&quot;* &quot;-&quot;??_-;_-@_-"/>
  </numFmts>
  <fonts count="82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4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6"/>
      <color theme="1"/>
      <name val="Arial Narrow"/>
      <family val="2"/>
    </font>
    <font>
      <b/>
      <i/>
      <sz val="6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6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</cellStyleXfs>
  <cellXfs count="873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7" xfId="0" applyFont="1" applyBorder="1" applyAlignment="1">
      <alignment horizontal="right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41" xfId="0" applyFont="1" applyBorder="1" applyAlignment="1">
      <alignment horizontal="right" vertical="center"/>
    </xf>
    <xf numFmtId="0" fontId="48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1" fillId="0" borderId="21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0" fontId="5" fillId="0" borderId="0" xfId="0" applyFont="1" applyFill="1"/>
    <xf numFmtId="0" fontId="50" fillId="0" borderId="19" xfId="0" applyFont="1" applyBorder="1" applyAlignment="1">
      <alignment horizontal="left"/>
    </xf>
    <xf numFmtId="0" fontId="50" fillId="0" borderId="42" xfId="0" applyFont="1" applyBorder="1"/>
    <xf numFmtId="0" fontId="50" fillId="0" borderId="19" xfId="0" applyFont="1" applyBorder="1"/>
    <xf numFmtId="0" fontId="50" fillId="0" borderId="21" xfId="0" applyFont="1" applyBorder="1" applyAlignment="1">
      <alignment horizontal="left"/>
    </xf>
    <xf numFmtId="0" fontId="50" fillId="0" borderId="21" xfId="0" applyFont="1" applyBorder="1"/>
    <xf numFmtId="0" fontId="50" fillId="0" borderId="26" xfId="0" applyFont="1" applyBorder="1"/>
    <xf numFmtId="0" fontId="50" fillId="0" borderId="22" xfId="0" applyFont="1" applyBorder="1" applyAlignment="1">
      <alignment horizontal="left"/>
    </xf>
    <xf numFmtId="0" fontId="50" fillId="0" borderId="17" xfId="0" applyFont="1" applyBorder="1"/>
    <xf numFmtId="0" fontId="50" fillId="0" borderId="21" xfId="0" applyFont="1" applyBorder="1" applyAlignment="1">
      <alignment horizontal="left" vertical="center"/>
    </xf>
    <xf numFmtId="0" fontId="50" fillId="0" borderId="26" xfId="0" applyFont="1" applyBorder="1" applyAlignment="1">
      <alignment vertical="center"/>
    </xf>
    <xf numFmtId="0" fontId="50" fillId="0" borderId="21" xfId="0" applyFont="1" applyBorder="1" applyAlignment="1">
      <alignment wrapText="1"/>
    </xf>
    <xf numFmtId="0" fontId="51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left"/>
    </xf>
    <xf numFmtId="0" fontId="50" fillId="0" borderId="0" xfId="0" applyFont="1"/>
    <xf numFmtId="0" fontId="50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50" fillId="0" borderId="20" xfId="0" applyFont="1" applyBorder="1" applyAlignment="1">
      <alignment horizontal="left"/>
    </xf>
    <xf numFmtId="0" fontId="50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50" fillId="0" borderId="21" xfId="0" applyFont="1" applyBorder="1" applyAlignment="1">
      <alignment vertical="center" wrapText="1"/>
    </xf>
    <xf numFmtId="0" fontId="50" fillId="0" borderId="19" xfId="0" applyFont="1" applyBorder="1" applyAlignment="1">
      <alignment wrapText="1"/>
    </xf>
    <xf numFmtId="0" fontId="50" fillId="0" borderId="19" xfId="0" applyFont="1" applyBorder="1" applyAlignment="1">
      <alignment horizontal="left" vertical="center"/>
    </xf>
    <xf numFmtId="165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165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165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165" fontId="1" fillId="0" borderId="0" xfId="0" applyNumberFormat="1" applyFont="1" applyFill="1" applyBorder="1" applyAlignment="1" applyProtection="1">
      <alignment wrapText="1"/>
      <protection locked="0"/>
    </xf>
    <xf numFmtId="165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165" fontId="18" fillId="0" borderId="6" xfId="0" applyNumberFormat="1" applyFont="1" applyFill="1" applyBorder="1" applyAlignment="1" applyProtection="1">
      <alignment wrapText="1"/>
      <protection locked="0"/>
    </xf>
    <xf numFmtId="165" fontId="16" fillId="0" borderId="0" xfId="0" applyNumberFormat="1" applyFont="1" applyFill="1" applyBorder="1" applyAlignment="1" applyProtection="1">
      <alignment wrapText="1"/>
      <protection locked="0"/>
    </xf>
    <xf numFmtId="165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165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165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165" fontId="16" fillId="2" borderId="6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6" xfId="0" applyNumberFormat="1" applyFont="1" applyFill="1" applyBorder="1" applyAlignment="1" applyProtection="1">
      <alignment vertical="center" wrapText="1"/>
    </xf>
    <xf numFmtId="165" fontId="16" fillId="2" borderId="0" xfId="0" applyNumberFormat="1" applyFont="1" applyFill="1" applyBorder="1" applyAlignment="1" applyProtection="1"/>
    <xf numFmtId="165" fontId="16" fillId="2" borderId="6" xfId="0" applyNumberFormat="1" applyFont="1" applyFill="1" applyBorder="1" applyAlignment="1" applyProtection="1"/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4" fontId="5" fillId="0" borderId="0" xfId="0" applyNumberFormat="1" applyFont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4" fontId="7" fillId="2" borderId="0" xfId="0" applyNumberFormat="1" applyFont="1" applyFill="1" applyBorder="1" applyAlignment="1" applyProtection="1">
      <alignment horizontal="right" vertical="top"/>
    </xf>
    <xf numFmtId="4" fontId="7" fillId="2" borderId="6" xfId="0" applyNumberFormat="1" applyFont="1" applyFill="1" applyBorder="1" applyAlignment="1" applyProtection="1">
      <alignment horizontal="right" vertical="top"/>
    </xf>
    <xf numFmtId="4" fontId="7" fillId="2" borderId="0" xfId="13" applyNumberFormat="1" applyFont="1" applyFill="1" applyBorder="1" applyAlignment="1" applyProtection="1">
      <alignment horizontal="right"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6" xfId="0" applyNumberFormat="1" applyFont="1" applyFill="1" applyBorder="1" applyAlignment="1" applyProtection="1">
      <alignment horizontal="right" vertical="top"/>
    </xf>
    <xf numFmtId="4" fontId="7" fillId="2" borderId="6" xfId="13" applyNumberFormat="1" applyFont="1" applyFill="1" applyBorder="1" applyAlignment="1" applyProtection="1">
      <alignment horizontal="right" vertical="top"/>
    </xf>
    <xf numFmtId="4" fontId="8" fillId="2" borderId="0" xfId="13" applyNumberFormat="1" applyFont="1" applyFill="1" applyBorder="1" applyAlignment="1" applyProtection="1">
      <alignment horizontal="right" vertical="top"/>
    </xf>
    <xf numFmtId="4" fontId="8" fillId="2" borderId="6" xfId="13" applyNumberFormat="1" applyFont="1" applyFill="1" applyBorder="1" applyAlignment="1" applyProtection="1">
      <alignment horizontal="right" vertical="top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54" fillId="6" borderId="0" xfId="0" applyFont="1" applyFill="1" applyAlignment="1" applyProtection="1">
      <alignment wrapText="1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7" fillId="3" borderId="5" xfId="0" applyFont="1" applyFill="1" applyBorder="1" applyAlignment="1" applyProtection="1">
      <alignment horizontal="justify" vertical="top"/>
      <protection locked="0"/>
    </xf>
    <xf numFmtId="0" fontId="8" fillId="3" borderId="5" xfId="0" applyFont="1" applyFill="1" applyBorder="1" applyAlignment="1" applyProtection="1">
      <alignment horizontal="justify" vertical="top"/>
      <protection locked="0"/>
    </xf>
    <xf numFmtId="0" fontId="24" fillId="3" borderId="5" xfId="0" applyFont="1" applyFill="1" applyBorder="1" applyAlignment="1" applyProtection="1">
      <alignment horizontal="justify" vertical="top"/>
      <protection locked="0"/>
    </xf>
    <xf numFmtId="4" fontId="24" fillId="3" borderId="0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Alignment="1" applyProtection="1">
      <protection locked="0"/>
    </xf>
    <xf numFmtId="0" fontId="19" fillId="3" borderId="5" xfId="0" applyFont="1" applyFill="1" applyBorder="1" applyAlignment="1" applyProtection="1">
      <alignment horizontal="justify" vertical="top"/>
      <protection locked="0"/>
    </xf>
    <xf numFmtId="0" fontId="1" fillId="3" borderId="5" xfId="0" applyFont="1" applyFill="1" applyBorder="1" applyAlignment="1" applyProtection="1">
      <alignment horizontal="justify" vertical="top"/>
      <protection locked="0"/>
    </xf>
    <xf numFmtId="0" fontId="24" fillId="3" borderId="7" xfId="0" applyFont="1" applyFill="1" applyBorder="1" applyAlignment="1" applyProtection="1">
      <alignment horizontal="justify" vertical="top"/>
      <protection locked="0"/>
    </xf>
    <xf numFmtId="4" fontId="24" fillId="3" borderId="8" xfId="0" applyNumberFormat="1" applyFont="1" applyFill="1" applyBorder="1" applyAlignment="1" applyProtection="1">
      <alignment horizontal="right" vertical="top"/>
      <protection locked="0"/>
    </xf>
    <xf numFmtId="0" fontId="23" fillId="3" borderId="46" xfId="0" applyFont="1" applyFill="1" applyBorder="1" applyAlignment="1" applyProtection="1">
      <alignment horizontal="justify" vertical="center"/>
      <protection locked="0"/>
    </xf>
    <xf numFmtId="0" fontId="33" fillId="3" borderId="45" xfId="0" applyFont="1" applyFill="1" applyBorder="1" applyAlignment="1" applyProtection="1">
      <alignment horizontal="center" vertical="center"/>
      <protection locked="0"/>
    </xf>
    <xf numFmtId="0" fontId="33" fillId="3" borderId="47" xfId="0" applyFont="1" applyFill="1" applyBorder="1" applyAlignment="1" applyProtection="1">
      <alignment horizontal="center" vertical="center"/>
      <protection locked="0"/>
    </xf>
    <xf numFmtId="4" fontId="16" fillId="3" borderId="0" xfId="0" applyNumberFormat="1" applyFont="1" applyFill="1" applyBorder="1" applyAlignment="1" applyProtection="1">
      <alignment horizontal="right" vertical="top"/>
    </xf>
    <xf numFmtId="4" fontId="16" fillId="3" borderId="6" xfId="0" applyNumberFormat="1" applyFont="1" applyFill="1" applyBorder="1" applyAlignment="1" applyProtection="1">
      <alignment horizontal="right"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4" fontId="3" fillId="3" borderId="6" xfId="0" applyNumberFormat="1" applyFont="1" applyFill="1" applyBorder="1" applyAlignment="1" applyProtection="1">
      <alignment horizontal="right" vertical="top"/>
    </xf>
    <xf numFmtId="4" fontId="24" fillId="3" borderId="6" xfId="0" applyNumberFormat="1" applyFont="1" applyFill="1" applyBorder="1" applyAlignment="1" applyProtection="1">
      <alignment horizontal="right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4" fontId="3" fillId="3" borderId="6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12" fillId="3" borderId="6" xfId="0" applyNumberFormat="1" applyFont="1" applyFill="1" applyBorder="1" applyAlignment="1" applyProtection="1">
      <alignment horizontal="right" vertical="top"/>
      <protection locked="0"/>
    </xf>
    <xf numFmtId="4" fontId="24" fillId="3" borderId="9" xfId="0" applyNumberFormat="1" applyFont="1" applyFill="1" applyBorder="1" applyAlignment="1" applyProtection="1">
      <alignment horizontal="right" vertical="top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54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17" fillId="3" borderId="7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4" fontId="17" fillId="3" borderId="17" xfId="0" applyNumberFormat="1" applyFont="1" applyFill="1" applyBorder="1" applyAlignment="1" applyProtection="1">
      <alignment horizontal="justify" vertical="center"/>
      <protection locked="0"/>
    </xf>
    <xf numFmtId="4" fontId="17" fillId="3" borderId="51" xfId="0" applyNumberFormat="1" applyFont="1" applyFill="1" applyBorder="1" applyAlignment="1" applyProtection="1">
      <alignment horizontal="justify" vertical="center"/>
      <protection locked="0"/>
    </xf>
    <xf numFmtId="4" fontId="21" fillId="3" borderId="17" xfId="0" applyNumberFormat="1" applyFont="1" applyFill="1" applyBorder="1" applyAlignment="1" applyProtection="1">
      <alignment horizontal="right" vertical="center"/>
    </xf>
    <xf numFmtId="4" fontId="38" fillId="3" borderId="17" xfId="0" applyNumberFormat="1" applyFont="1" applyFill="1" applyBorder="1" applyAlignment="1" applyProtection="1">
      <alignment horizontal="right" vertical="center"/>
    </xf>
    <xf numFmtId="4" fontId="38" fillId="3" borderId="51" xfId="0" applyNumberFormat="1" applyFont="1" applyFill="1" applyBorder="1" applyAlignment="1" applyProtection="1">
      <alignment horizontal="right" vertical="center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4" fontId="2" fillId="3" borderId="51" xfId="0" applyNumberFormat="1" applyFont="1" applyFill="1" applyBorder="1" applyAlignment="1" applyProtection="1">
      <alignment horizontal="right" vertical="center"/>
      <protection locked="0"/>
    </xf>
    <xf numFmtId="4" fontId="2" fillId="3" borderId="16" xfId="0" applyNumberFormat="1" applyFont="1" applyFill="1" applyBorder="1" applyAlignment="1" applyProtection="1">
      <alignment horizontal="right" vertical="center"/>
      <protection locked="0"/>
    </xf>
    <xf numFmtId="4" fontId="2" fillId="3" borderId="18" xfId="0" applyNumberFormat="1" applyFont="1" applyFill="1" applyBorder="1" applyAlignment="1" applyProtection="1">
      <alignment horizontal="right" vertical="center"/>
      <protection locked="0"/>
    </xf>
    <xf numFmtId="0" fontId="23" fillId="3" borderId="30" xfId="0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vertical="center"/>
      <protection locked="0"/>
    </xf>
    <xf numFmtId="0" fontId="37" fillId="3" borderId="14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left" vertical="center" wrapText="1" indent="2"/>
      <protection locked="0"/>
    </xf>
    <xf numFmtId="0" fontId="17" fillId="3" borderId="31" xfId="0" applyFont="1" applyFill="1" applyBorder="1" applyAlignment="1" applyProtection="1">
      <alignment horizontal="justify" vertical="center"/>
      <protection locked="0"/>
    </xf>
    <xf numFmtId="4" fontId="2" fillId="3" borderId="17" xfId="0" applyNumberFormat="1" applyFont="1" applyFill="1" applyBorder="1" applyAlignment="1" applyProtection="1">
      <alignment horizontal="right" vertical="center"/>
    </xf>
    <xf numFmtId="4" fontId="2" fillId="3" borderId="51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4" fontId="25" fillId="0" borderId="17" xfId="0" applyNumberFormat="1" applyFont="1" applyBorder="1" applyAlignment="1" applyProtection="1">
      <alignment horizontal="right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4" fontId="25" fillId="0" borderId="16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4" fontId="25" fillId="0" borderId="6" xfId="0" applyNumberFormat="1" applyFont="1" applyBorder="1" applyAlignment="1" applyProtection="1">
      <alignment horizontal="right" vertical="center"/>
      <protection locked="0"/>
    </xf>
    <xf numFmtId="4" fontId="57" fillId="0" borderId="6" xfId="0" applyNumberFormat="1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4" fontId="57" fillId="0" borderId="6" xfId="0" applyNumberFormat="1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4" fontId="25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9" xfId="0" applyNumberFormat="1" applyFont="1" applyBorder="1" applyAlignment="1" applyProtection="1">
      <alignment horizontal="right" vertical="center"/>
      <protection locked="0"/>
    </xf>
    <xf numFmtId="4" fontId="25" fillId="0" borderId="13" xfId="0" applyNumberFormat="1" applyFont="1" applyBorder="1" applyAlignment="1" applyProtection="1">
      <alignment horizontal="righ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27" fillId="0" borderId="16" xfId="0" applyNumberFormat="1" applyFont="1" applyBorder="1" applyAlignment="1" applyProtection="1">
      <alignment horizontal="right" vertical="center" wrapText="1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25" fillId="0" borderId="17" xfId="0" applyNumberFormat="1" applyFont="1" applyBorder="1" applyAlignment="1" applyProtection="1">
      <alignment horizontal="right" vertical="center" wrapText="1"/>
    </xf>
    <xf numFmtId="4" fontId="25" fillId="0" borderId="16" xfId="0" applyNumberFormat="1" applyFont="1" applyBorder="1" applyAlignment="1" applyProtection="1">
      <alignment horizontal="right" vertical="center" wrapText="1"/>
    </xf>
    <xf numFmtId="4" fontId="3" fillId="0" borderId="51" xfId="0" applyNumberFormat="1" applyFont="1" applyFill="1" applyBorder="1" applyAlignment="1" applyProtection="1">
      <alignment horizontal="right" vertical="center" wrapText="1"/>
    </xf>
    <xf numFmtId="4" fontId="58" fillId="0" borderId="6" xfId="0" applyNumberFormat="1" applyFont="1" applyBorder="1" applyAlignment="1" applyProtection="1">
      <alignment horizontal="right" vertical="center"/>
    </xf>
    <xf numFmtId="4" fontId="27" fillId="0" borderId="9" xfId="0" applyNumberFormat="1" applyFont="1" applyBorder="1" applyAlignment="1" applyProtection="1">
      <alignment horizontal="right" vertical="center" wrapText="1"/>
    </xf>
    <xf numFmtId="4" fontId="25" fillId="0" borderId="6" xfId="0" applyNumberFormat="1" applyFont="1" applyBorder="1" applyAlignment="1" applyProtection="1">
      <alignment horizontal="right" vertical="center"/>
    </xf>
    <xf numFmtId="4" fontId="57" fillId="0" borderId="6" xfId="0" applyNumberFormat="1" applyFont="1" applyBorder="1" applyAlignment="1" applyProtection="1">
      <alignment horizontal="right" vertical="center"/>
    </xf>
    <xf numFmtId="4" fontId="25" fillId="0" borderId="9" xfId="0" applyNumberFormat="1" applyFont="1" applyBorder="1" applyAlignment="1" applyProtection="1">
      <alignment horizontal="right" vertical="center"/>
    </xf>
    <xf numFmtId="4" fontId="25" fillId="0" borderId="4" xfId="0" applyNumberFormat="1" applyFont="1" applyBorder="1" applyAlignment="1" applyProtection="1">
      <alignment horizontal="right" vertical="center"/>
    </xf>
    <xf numFmtId="4" fontId="57" fillId="0" borderId="4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9" fillId="0" borderId="0" xfId="0" applyFont="1" applyAlignment="1" applyProtection="1">
      <alignment vertical="center"/>
      <protection locked="0"/>
    </xf>
    <xf numFmtId="0" fontId="60" fillId="0" borderId="0" xfId="0" applyFont="1" applyAlignment="1" applyProtection="1">
      <alignment vertical="center"/>
      <protection locked="0"/>
    </xf>
    <xf numFmtId="0" fontId="54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49" xfId="0" applyNumberFormat="1" applyFont="1" applyFill="1" applyBorder="1" applyAlignment="1" applyProtection="1">
      <alignment horizontal="right" vertical="center" wrapText="1"/>
    </xf>
    <xf numFmtId="0" fontId="23" fillId="3" borderId="48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49" xfId="0" applyNumberFormat="1" applyFont="1" applyFill="1" applyBorder="1" applyAlignment="1" applyProtection="1">
      <alignment horizontal="right" vertical="center" wrapText="1"/>
    </xf>
    <xf numFmtId="165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63" fillId="0" borderId="15" xfId="0" applyFont="1" applyFill="1" applyBorder="1" applyAlignment="1" applyProtection="1">
      <alignment horizontal="center" vertical="center" wrapText="1"/>
      <protection locked="0"/>
    </xf>
    <xf numFmtId="0" fontId="63" fillId="4" borderId="15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Alignment="1" applyProtection="1">
      <alignment vertical="center"/>
      <protection locked="0"/>
    </xf>
    <xf numFmtId="49" fontId="6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64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0" xfId="0" applyNumberFormat="1" applyFont="1" applyAlignment="1" applyProtection="1">
      <alignment vertical="center"/>
      <protection locked="0"/>
    </xf>
    <xf numFmtId="4" fontId="61" fillId="0" borderId="17" xfId="0" applyNumberFormat="1" applyFont="1" applyBorder="1" applyAlignment="1" applyProtection="1">
      <alignment horizontal="right" vertical="center" wrapText="1"/>
      <protection locked="0"/>
    </xf>
    <xf numFmtId="0" fontId="62" fillId="0" borderId="0" xfId="0" applyFont="1" applyAlignment="1" applyProtection="1">
      <alignment vertical="center"/>
      <protection locked="0"/>
    </xf>
    <xf numFmtId="0" fontId="63" fillId="0" borderId="0" xfId="0" applyFont="1" applyAlignment="1" applyProtection="1">
      <alignment vertical="center"/>
      <protection locked="0"/>
    </xf>
    <xf numFmtId="0" fontId="61" fillId="0" borderId="50" xfId="0" applyFont="1" applyBorder="1" applyAlignment="1" applyProtection="1">
      <alignment vertical="center" wrapText="1"/>
    </xf>
    <xf numFmtId="0" fontId="61" fillId="0" borderId="52" xfId="0" applyFont="1" applyBorder="1" applyAlignment="1" applyProtection="1">
      <alignment horizontal="left" vertical="center" wrapText="1" indent="3"/>
    </xf>
    <xf numFmtId="0" fontId="61" fillId="0" borderId="52" xfId="0" applyFont="1" applyBorder="1" applyAlignment="1" applyProtection="1">
      <alignment vertical="center" wrapText="1"/>
    </xf>
    <xf numFmtId="0" fontId="63" fillId="0" borderId="48" xfId="0" applyFont="1" applyBorder="1" applyAlignment="1" applyProtection="1">
      <alignment vertical="center" wrapText="1"/>
    </xf>
    <xf numFmtId="0" fontId="63" fillId="0" borderId="15" xfId="0" applyFont="1" applyFill="1" applyBorder="1" applyAlignment="1" applyProtection="1">
      <alignment horizontal="center" vertical="center" wrapText="1"/>
    </xf>
    <xf numFmtId="49" fontId="64" fillId="0" borderId="16" xfId="0" applyNumberFormat="1" applyFont="1" applyFill="1" applyBorder="1" applyAlignment="1" applyProtection="1">
      <alignment horizontal="center" vertical="center" wrapText="1"/>
    </xf>
    <xf numFmtId="4" fontId="61" fillId="0" borderId="17" xfId="0" applyNumberFormat="1" applyFont="1" applyBorder="1" applyAlignment="1" applyProtection="1">
      <alignment horizontal="right" vertical="center" wrapText="1"/>
    </xf>
    <xf numFmtId="4" fontId="63" fillId="0" borderId="24" xfId="0" applyNumberFormat="1" applyFont="1" applyBorder="1" applyAlignment="1" applyProtection="1">
      <alignment horizontal="right" vertical="center" wrapText="1"/>
    </xf>
    <xf numFmtId="4" fontId="63" fillId="0" borderId="49" xfId="0" applyNumberFormat="1" applyFont="1" applyBorder="1" applyAlignment="1" applyProtection="1">
      <alignment horizontal="right" vertical="center" wrapText="1"/>
    </xf>
    <xf numFmtId="0" fontId="61" fillId="0" borderId="53" xfId="0" applyFont="1" applyBorder="1" applyAlignment="1" applyProtection="1">
      <alignment horizontal="left" vertical="center" wrapText="1" indent="3"/>
    </xf>
    <xf numFmtId="4" fontId="61" fillId="0" borderId="16" xfId="0" applyNumberFormat="1" applyFont="1" applyBorder="1" applyAlignment="1" applyProtection="1">
      <alignment horizontal="right" vertical="center" wrapText="1"/>
      <protection locked="0"/>
    </xf>
    <xf numFmtId="4" fontId="61" fillId="0" borderId="16" xfId="0" applyNumberFormat="1" applyFont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65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65" fillId="0" borderId="0" xfId="0" applyFont="1" applyFill="1" applyAlignment="1" applyProtection="1">
      <alignment horizontal="justify"/>
      <protection locked="0"/>
    </xf>
    <xf numFmtId="0" fontId="66" fillId="0" borderId="0" xfId="0" applyFont="1" applyFill="1" applyAlignment="1" applyProtection="1">
      <alignment horizontal="right"/>
      <protection locked="0"/>
    </xf>
    <xf numFmtId="0" fontId="1" fillId="0" borderId="52" xfId="0" applyFont="1" applyFill="1" applyBorder="1" applyAlignment="1" applyProtection="1">
      <alignment horizontal="left" vertical="center" wrapText="1" indent="2"/>
      <protection locked="0"/>
    </xf>
    <xf numFmtId="4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3" xfId="0" applyFont="1" applyFill="1" applyBorder="1" applyAlignment="1" applyProtection="1">
      <alignment horizontal="justify" vertical="center" wrapText="1"/>
      <protection locked="0"/>
    </xf>
    <xf numFmtId="4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7" xfId="0" applyNumberFormat="1" applyFont="1" applyFill="1" applyBorder="1" applyAlignment="1" applyProtection="1">
      <alignment horizontal="right" vertical="center" wrapText="1"/>
    </xf>
    <xf numFmtId="4" fontId="24" fillId="0" borderId="16" xfId="0" applyNumberFormat="1" applyFont="1" applyFill="1" applyBorder="1" applyAlignment="1" applyProtection="1">
      <alignment horizontal="righ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</xf>
    <xf numFmtId="4" fontId="39" fillId="0" borderId="16" xfId="0" applyNumberFormat="1" applyFont="1" applyFill="1" applyBorder="1" applyAlignment="1" applyProtection="1">
      <alignment horizontal="right" vertical="center" wrapText="1"/>
    </xf>
    <xf numFmtId="4" fontId="24" fillId="0" borderId="51" xfId="0" applyNumberFormat="1" applyFont="1" applyFill="1" applyBorder="1" applyAlignment="1" applyProtection="1">
      <alignment horizontal="right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52" xfId="0" applyFont="1" applyFill="1" applyBorder="1" applyAlignment="1" applyProtection="1">
      <alignment horizontal="justify" vertical="center" wrapText="1"/>
      <protection locked="0"/>
    </xf>
    <xf numFmtId="0" fontId="3" fillId="0" borderId="48" xfId="0" applyFont="1" applyFill="1" applyBorder="1" applyAlignment="1" applyProtection="1">
      <alignment horizontal="justify" vertical="center" wrapText="1"/>
      <protection locked="0"/>
    </xf>
    <xf numFmtId="4" fontId="3" fillId="0" borderId="24" xfId="0" applyNumberFormat="1" applyFont="1" applyFill="1" applyBorder="1" applyAlignment="1" applyProtection="1">
      <alignment horizontal="right" vertical="center" wrapText="1"/>
    </xf>
    <xf numFmtId="4" fontId="3" fillId="0" borderId="49" xfId="0" applyNumberFormat="1" applyFont="1" applyFill="1" applyBorder="1" applyAlignment="1" applyProtection="1">
      <alignment horizontal="right" vertical="center" wrapText="1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51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4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6" xfId="0" applyNumberFormat="1" applyFont="1" applyFill="1" applyBorder="1" applyAlignment="1" applyProtection="1">
      <alignment horizontal="right" vertical="center" wrapText="1"/>
    </xf>
    <xf numFmtId="4" fontId="3" fillId="0" borderId="16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4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Fill="1" applyProtection="1"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51" xfId="0" applyNumberFormat="1" applyFont="1" applyFill="1" applyBorder="1" applyAlignment="1" applyProtection="1">
      <alignment horizontal="justify" vertical="center" wrapText="1"/>
      <protection locked="0"/>
    </xf>
    <xf numFmtId="0" fontId="64" fillId="0" borderId="52" xfId="0" applyFont="1" applyFill="1" applyBorder="1" applyAlignment="1" applyProtection="1">
      <alignment vertical="center" wrapText="1"/>
      <protection locked="0"/>
    </xf>
    <xf numFmtId="0" fontId="61" fillId="0" borderId="52" xfId="0" applyFont="1" applyFill="1" applyBorder="1" applyAlignment="1" applyProtection="1">
      <alignment horizontal="left" vertical="center" wrapText="1" indent="2"/>
      <protection locked="0"/>
    </xf>
    <xf numFmtId="4" fontId="61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61" fillId="0" borderId="52" xfId="0" applyFont="1" applyFill="1" applyBorder="1" applyAlignment="1" applyProtection="1">
      <alignment horizontal="justify" vertical="center" wrapText="1"/>
      <protection locked="0"/>
    </xf>
    <xf numFmtId="0" fontId="61" fillId="0" borderId="52" xfId="0" applyFont="1" applyFill="1" applyBorder="1" applyAlignment="1" applyProtection="1">
      <alignment horizontal="left" vertical="top" wrapText="1" indent="2"/>
      <protection locked="0"/>
    </xf>
    <xf numFmtId="0" fontId="64" fillId="0" borderId="48" xfId="0" applyFont="1" applyFill="1" applyBorder="1" applyAlignment="1" applyProtection="1">
      <alignment horizontal="justify" vertical="center" wrapText="1"/>
      <protection locked="0"/>
    </xf>
    <xf numFmtId="4" fontId="0" fillId="0" borderId="0" xfId="0" applyNumberFormat="1" applyFill="1" applyProtection="1">
      <protection locked="0"/>
    </xf>
    <xf numFmtId="4" fontId="64" fillId="0" borderId="17" xfId="0" applyNumberFormat="1" applyFont="1" applyFill="1" applyBorder="1" applyAlignment="1" applyProtection="1">
      <alignment horizontal="right" vertical="center" wrapText="1"/>
    </xf>
    <xf numFmtId="4" fontId="61" fillId="0" borderId="24" xfId="0" applyNumberFormat="1" applyFont="1" applyFill="1" applyBorder="1" applyAlignment="1" applyProtection="1">
      <alignment horizontal="right" vertical="center" wrapText="1"/>
    </xf>
    <xf numFmtId="4" fontId="61" fillId="0" borderId="1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9" fillId="3" borderId="52" xfId="0" applyFont="1" applyFill="1" applyBorder="1" applyAlignment="1" applyProtection="1">
      <alignment horizontal="justify" vertical="center" wrapText="1"/>
      <protection locked="0"/>
    </xf>
    <xf numFmtId="0" fontId="30" fillId="3" borderId="17" xfId="0" applyFont="1" applyFill="1" applyBorder="1" applyAlignment="1" applyProtection="1">
      <alignment horizontal="justify" vertical="center" wrapText="1"/>
      <protection locked="0"/>
    </xf>
    <xf numFmtId="0" fontId="30" fillId="3" borderId="51" xfId="0" applyFont="1" applyFill="1" applyBorder="1" applyAlignment="1" applyProtection="1">
      <alignment horizontal="justify" vertical="center" wrapText="1"/>
      <protection locked="0"/>
    </xf>
    <xf numFmtId="0" fontId="31" fillId="3" borderId="52" xfId="0" applyFont="1" applyFill="1" applyBorder="1" applyAlignment="1" applyProtection="1">
      <alignment horizontal="justify" vertical="center" wrapText="1"/>
      <protection locked="0"/>
    </xf>
    <xf numFmtId="0" fontId="32" fillId="3" borderId="17" xfId="0" applyFont="1" applyFill="1" applyBorder="1" applyAlignment="1" applyProtection="1">
      <alignment horizontal="justify" vertical="center" wrapText="1"/>
      <protection locked="0"/>
    </xf>
    <xf numFmtId="0" fontId="32" fillId="3" borderId="51" xfId="0" applyFont="1" applyFill="1" applyBorder="1" applyAlignment="1" applyProtection="1">
      <alignment horizontal="justify" vertical="center" wrapText="1"/>
      <protection locked="0"/>
    </xf>
    <xf numFmtId="4" fontId="31" fillId="3" borderId="17" xfId="0" applyNumberFormat="1" applyFont="1" applyFill="1" applyBorder="1" applyAlignment="1" applyProtection="1">
      <alignment horizontal="right" vertical="center" wrapText="1"/>
    </xf>
    <xf numFmtId="4" fontId="34" fillId="3" borderId="51" xfId="0" applyNumberFormat="1" applyFont="1" applyFill="1" applyBorder="1" applyAlignment="1" applyProtection="1">
      <alignment horizontal="right" vertical="center" wrapText="1"/>
    </xf>
    <xf numFmtId="0" fontId="32" fillId="3" borderId="52" xfId="0" applyFont="1" applyFill="1" applyBorder="1" applyAlignment="1" applyProtection="1">
      <alignment horizontal="justify" vertical="center" wrapText="1"/>
      <protection locked="0"/>
    </xf>
    <xf numFmtId="4" fontId="32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5" fillId="3" borderId="51" xfId="0" applyNumberFormat="1" applyFont="1" applyFill="1" applyBorder="1" applyAlignment="1" applyProtection="1">
      <alignment horizontal="right" vertical="center" wrapText="1"/>
    </xf>
    <xf numFmtId="4" fontId="35" fillId="3" borderId="51" xfId="0" applyNumberFormat="1" applyFont="1" applyFill="1" applyBorder="1" applyAlignment="1" applyProtection="1">
      <alignment horizontal="right" vertical="center" wrapText="1"/>
      <protection locked="0"/>
    </xf>
    <xf numFmtId="4" fontId="34" fillId="3" borderId="17" xfId="0" applyNumberFormat="1" applyFont="1" applyFill="1" applyBorder="1" applyAlignment="1" applyProtection="1">
      <alignment horizontal="right" vertical="center" wrapText="1"/>
    </xf>
    <xf numFmtId="4" fontId="31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3" borderId="51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53" xfId="0" applyFont="1" applyFill="1" applyBorder="1" applyAlignment="1" applyProtection="1">
      <alignment horizontal="justify" vertical="center" wrapText="1"/>
      <protection locked="0"/>
    </xf>
    <xf numFmtId="0" fontId="30" fillId="3" borderId="16" xfId="0" applyFont="1" applyFill="1" applyBorder="1" applyAlignment="1" applyProtection="1">
      <alignment horizontal="justify" vertical="center" wrapText="1"/>
      <protection locked="0"/>
    </xf>
    <xf numFmtId="0" fontId="30" fillId="3" borderId="18" xfId="0" applyFont="1" applyFill="1" applyBorder="1" applyAlignment="1" applyProtection="1">
      <alignment horizontal="justify" vertical="center" wrapText="1"/>
      <protection locked="0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10" fontId="1" fillId="0" borderId="51" xfId="6" applyNumberFormat="1" applyFont="1" applyBorder="1" applyAlignment="1">
      <alignment horizontal="center" vertical="center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9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4" xfId="0" applyNumberFormat="1" applyFont="1" applyBorder="1" applyAlignment="1" applyProtection="1">
      <alignment horizontal="right" vertical="center"/>
    </xf>
    <xf numFmtId="4" fontId="41" fillId="0" borderId="49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4" fontId="5" fillId="0" borderId="51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4" fontId="39" fillId="0" borderId="51" xfId="0" applyNumberFormat="1" applyFont="1" applyBorder="1" applyAlignment="1" applyProtection="1">
      <alignment horizontal="right" vertical="center" wrapText="1"/>
      <protection locked="0"/>
    </xf>
    <xf numFmtId="0" fontId="70" fillId="0" borderId="0" xfId="0" applyFont="1" applyProtection="1">
      <protection locked="0"/>
    </xf>
    <xf numFmtId="0" fontId="12" fillId="0" borderId="52" xfId="0" applyFont="1" applyBorder="1" applyAlignment="1" applyProtection="1">
      <alignment vertical="top" wrapText="1"/>
      <protection locked="0"/>
    </xf>
    <xf numFmtId="4" fontId="12" fillId="0" borderId="17" xfId="0" applyNumberFormat="1" applyFont="1" applyBorder="1" applyAlignment="1" applyProtection="1">
      <alignment horizontal="right" vertical="center" wrapText="1"/>
      <protection locked="0"/>
    </xf>
    <xf numFmtId="4" fontId="12" fillId="0" borderId="51" xfId="0" applyNumberFormat="1" applyFont="1" applyBorder="1" applyAlignment="1" applyProtection="1">
      <alignment horizontal="right" vertical="center" wrapText="1"/>
      <protection locked="0"/>
    </xf>
    <xf numFmtId="0" fontId="53" fillId="0" borderId="0" xfId="0" applyFont="1" applyProtection="1">
      <protection locked="0"/>
    </xf>
    <xf numFmtId="4" fontId="24" fillId="0" borderId="17" xfId="0" applyNumberFormat="1" applyFont="1" applyBorder="1" applyAlignment="1" applyProtection="1">
      <alignment horizontal="right" vertical="center" wrapText="1"/>
      <protection locked="0"/>
    </xf>
    <xf numFmtId="4" fontId="24" fillId="0" borderId="5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4" fontId="12" fillId="0" borderId="18" xfId="0" applyNumberFormat="1" applyFont="1" applyBorder="1" applyAlignment="1" applyProtection="1">
      <alignment horizontal="right" vertical="center" wrapText="1"/>
      <protection locked="0"/>
    </xf>
    <xf numFmtId="4" fontId="3" fillId="0" borderId="24" xfId="0" applyNumberFormat="1" applyFont="1" applyBorder="1" applyAlignment="1" applyProtection="1">
      <alignment horizontal="right" vertical="center" wrapText="1"/>
      <protection locked="0"/>
    </xf>
    <xf numFmtId="4" fontId="3" fillId="0" borderId="49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justify" vertical="center" wrapText="1"/>
      <protection locked="0"/>
    </xf>
    <xf numFmtId="0" fontId="24" fillId="0" borderId="52" xfId="0" applyFont="1" applyBorder="1" applyAlignment="1" applyProtection="1">
      <alignment horizontal="left" vertical="center" wrapText="1" indent="4"/>
      <protection locked="0"/>
    </xf>
    <xf numFmtId="0" fontId="3" fillId="0" borderId="48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/>
    <xf numFmtId="0" fontId="45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2" borderId="29" xfId="0" applyFont="1" applyFill="1" applyBorder="1" applyAlignment="1" applyProtection="1">
      <alignment horizontal="center" vertical="center"/>
      <protection locked="0"/>
    </xf>
    <xf numFmtId="0" fontId="41" fillId="2" borderId="38" xfId="0" applyFont="1" applyFill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51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69" fillId="0" borderId="0" xfId="0" applyFont="1" applyAlignment="1" applyProtection="1">
      <protection locked="0"/>
    </xf>
    <xf numFmtId="0" fontId="69" fillId="0" borderId="0" xfId="0" applyFont="1" applyProtection="1">
      <protection locked="0"/>
    </xf>
    <xf numFmtId="4" fontId="41" fillId="0" borderId="51" xfId="0" applyNumberFormat="1" applyFont="1" applyBorder="1" applyAlignment="1" applyProtection="1">
      <alignment horizontal="right" vertical="center"/>
    </xf>
    <xf numFmtId="0" fontId="71" fillId="0" borderId="0" xfId="0" applyFont="1"/>
    <xf numFmtId="0" fontId="73" fillId="0" borderId="0" xfId="0" applyFont="1"/>
    <xf numFmtId="0" fontId="41" fillId="0" borderId="22" xfId="0" applyFont="1" applyBorder="1" applyAlignment="1">
      <alignment horizontal="center" vertical="center"/>
    </xf>
    <xf numFmtId="0" fontId="2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7" fillId="0" borderId="0" xfId="12" applyFont="1" applyAlignment="1" applyProtection="1">
      <alignment horizontal="center" vertical="center"/>
      <protection locked="0"/>
    </xf>
    <xf numFmtId="0" fontId="72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8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50" xfId="0" applyFont="1" applyFill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justify" vertical="center"/>
      <protection locked="0"/>
    </xf>
    <xf numFmtId="0" fontId="2" fillId="0" borderId="52" xfId="0" applyFont="1" applyFill="1" applyBorder="1" applyAlignment="1" applyProtection="1">
      <alignment horizontal="left" vertical="center" indent="3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horizontal="justify" vertical="center"/>
      <protection locked="0"/>
    </xf>
    <xf numFmtId="0" fontId="17" fillId="0" borderId="16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51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4" fontId="7" fillId="2" borderId="18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horizontal="left" vertical="center"/>
    </xf>
    <xf numFmtId="0" fontId="6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1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75" fillId="0" borderId="0" xfId="0" applyFont="1" applyFill="1" applyBorder="1" applyAlignment="1" applyProtection="1">
      <alignment horizontal="center"/>
      <protection locked="0"/>
    </xf>
    <xf numFmtId="0" fontId="74" fillId="0" borderId="0" xfId="0" applyFont="1" applyBorder="1" applyAlignment="1" applyProtection="1">
      <alignment horizontal="left"/>
      <protection locked="0"/>
    </xf>
    <xf numFmtId="0" fontId="67" fillId="0" borderId="0" xfId="0" applyFont="1" applyBorder="1" applyAlignment="1" applyProtection="1">
      <alignment horizontal="left"/>
      <protection locked="0"/>
    </xf>
    <xf numFmtId="0" fontId="74" fillId="0" borderId="0" xfId="0" applyFont="1" applyFill="1" applyAlignment="1" applyProtection="1">
      <alignment horizontal="center" vertical="center"/>
      <protection locked="0"/>
    </xf>
    <xf numFmtId="0" fontId="76" fillId="0" borderId="0" xfId="0" applyFont="1" applyFill="1" applyAlignment="1" applyProtection="1">
      <alignment horizontal="center" vertical="center"/>
      <protection locked="0"/>
    </xf>
    <xf numFmtId="0" fontId="7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63" fillId="0" borderId="25" xfId="0" applyFont="1" applyFill="1" applyBorder="1" applyAlignment="1" applyProtection="1">
      <alignment horizontal="center" vertical="center" wrapText="1"/>
    </xf>
    <xf numFmtId="49" fontId="64" fillId="0" borderId="18" xfId="0" applyNumberFormat="1" applyFont="1" applyFill="1" applyBorder="1" applyAlignment="1" applyProtection="1">
      <alignment horizontal="center" vertical="center" wrapText="1"/>
    </xf>
    <xf numFmtId="4" fontId="61" fillId="0" borderId="51" xfId="0" applyNumberFormat="1" applyFont="1" applyBorder="1" applyAlignment="1" applyProtection="1">
      <alignment horizontal="right" vertical="center" wrapText="1"/>
    </xf>
    <xf numFmtId="4" fontId="61" fillId="0" borderId="18" xfId="0" applyNumberFormat="1" applyFont="1" applyBorder="1" applyAlignment="1" applyProtection="1">
      <alignment horizontal="right" vertical="center" wrapText="1"/>
    </xf>
    <xf numFmtId="4" fontId="24" fillId="0" borderId="18" xfId="0" applyNumberFormat="1" applyFont="1" applyFill="1" applyBorder="1" applyAlignment="1" applyProtection="1">
      <alignment horizontal="right" vertical="center" wrapText="1"/>
    </xf>
    <xf numFmtId="4" fontId="39" fillId="0" borderId="18" xfId="0" applyNumberFormat="1" applyFont="1" applyFill="1" applyBorder="1" applyAlignment="1" applyProtection="1">
      <alignment horizontal="right" vertical="center" wrapText="1"/>
    </xf>
    <xf numFmtId="4" fontId="1" fillId="0" borderId="18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64" fillId="0" borderId="51" xfId="0" applyNumberFormat="1" applyFont="1" applyFill="1" applyBorder="1" applyAlignment="1" applyProtection="1">
      <alignment horizontal="right" vertical="center" wrapText="1"/>
    </xf>
    <xf numFmtId="4" fontId="61" fillId="0" borderId="51" xfId="0" applyNumberFormat="1" applyFont="1" applyFill="1" applyBorder="1" applyAlignment="1" applyProtection="1">
      <alignment horizontal="right" vertical="center" wrapText="1"/>
    </xf>
    <xf numFmtId="4" fontId="61" fillId="0" borderId="49" xfId="0" applyNumberFormat="1" applyFont="1" applyFill="1" applyBorder="1" applyAlignment="1" applyProtection="1">
      <alignment horizontal="right" vertical="center" wrapText="1"/>
    </xf>
    <xf numFmtId="0" fontId="76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5" fillId="0" borderId="6" xfId="0" applyNumberFormat="1" applyFont="1" applyBorder="1" applyAlignment="1" applyProtection="1">
      <alignment horizontal="left"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74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75" fillId="0" borderId="0" xfId="0" applyFont="1" applyFill="1" applyBorder="1" applyAlignment="1" applyProtection="1">
      <alignment horizontal="center"/>
    </xf>
    <xf numFmtId="0" fontId="75" fillId="0" borderId="0" xfId="0" applyFont="1" applyFill="1" applyBorder="1" applyAlignment="1" applyProtection="1">
      <alignment horizontal="left"/>
    </xf>
    <xf numFmtId="0" fontId="76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4" fontId="25" fillId="0" borderId="51" xfId="0" applyNumberFormat="1" applyFont="1" applyBorder="1" applyAlignment="1" applyProtection="1">
      <alignment horizontal="right" vertical="center" wrapText="1"/>
    </xf>
    <xf numFmtId="4" fontId="25" fillId="0" borderId="18" xfId="0" applyNumberFormat="1" applyFont="1" applyBorder="1" applyAlignment="1" applyProtection="1">
      <alignment horizontal="right" vertical="center" wrapText="1"/>
    </xf>
    <xf numFmtId="4" fontId="27" fillId="0" borderId="18" xfId="0" applyNumberFormat="1" applyFont="1" applyBorder="1" applyAlignment="1" applyProtection="1">
      <alignment horizontal="right" vertical="center" wrapText="1"/>
    </xf>
    <xf numFmtId="17" fontId="33" fillId="0" borderId="45" xfId="0" applyNumberFormat="1" applyFont="1" applyBorder="1" applyAlignment="1" applyProtection="1">
      <alignment horizontal="center" vertical="center" wrapText="1"/>
      <protection locked="0"/>
    </xf>
    <xf numFmtId="17" fontId="33" fillId="0" borderId="45" xfId="0" applyNumberFormat="1" applyFont="1" applyFill="1" applyBorder="1" applyAlignment="1" applyProtection="1">
      <alignment horizontal="center" vertical="center" wrapText="1"/>
      <protection locked="0"/>
    </xf>
    <xf numFmtId="17" fontId="15" fillId="0" borderId="45" xfId="0" applyNumberFormat="1" applyFont="1" applyFill="1" applyBorder="1" applyAlignment="1" applyProtection="1">
      <alignment horizontal="center" vertical="center"/>
      <protection locked="0"/>
    </xf>
    <xf numFmtId="17" fontId="15" fillId="0" borderId="47" xfId="0" applyNumberFormat="1" applyFont="1" applyFill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>
      <alignment horizontal="center" vertical="center"/>
    </xf>
    <xf numFmtId="4" fontId="41" fillId="0" borderId="21" xfId="0" applyNumberFormat="1" applyFont="1" applyBorder="1" applyAlignment="1">
      <alignment horizontal="center" vertical="center"/>
    </xf>
    <xf numFmtId="0" fontId="77" fillId="0" borderId="19" xfId="0" applyFont="1" applyFill="1" applyBorder="1" applyAlignment="1">
      <alignment vertical="center"/>
    </xf>
    <xf numFmtId="49" fontId="77" fillId="0" borderId="19" xfId="0" applyNumberFormat="1" applyFont="1" applyFill="1" applyBorder="1" applyAlignment="1">
      <alignment vertical="center"/>
    </xf>
    <xf numFmtId="0" fontId="77" fillId="0" borderId="19" xfId="0" applyFont="1" applyFill="1" applyBorder="1" applyAlignment="1">
      <alignment horizontal="left" vertical="center"/>
    </xf>
    <xf numFmtId="49" fontId="77" fillId="0" borderId="19" xfId="0" applyNumberFormat="1" applyFont="1" applyFill="1" applyBorder="1" applyAlignment="1">
      <alignment horizontal="left" vertical="center"/>
    </xf>
    <xf numFmtId="0" fontId="78" fillId="0" borderId="19" xfId="0" applyFont="1" applyFill="1" applyBorder="1" applyAlignment="1">
      <alignment vertical="center"/>
    </xf>
    <xf numFmtId="0" fontId="78" fillId="0" borderId="19" xfId="0" applyFont="1" applyFill="1" applyBorder="1" applyAlignment="1">
      <alignment horizontal="left" vertical="center"/>
    </xf>
    <xf numFmtId="49" fontId="78" fillId="0" borderId="19" xfId="0" applyNumberFormat="1" applyFont="1" applyFill="1" applyBorder="1" applyAlignment="1">
      <alignment horizontal="left" vertical="center"/>
    </xf>
    <xf numFmtId="49" fontId="78" fillId="0" borderId="19" xfId="0" applyNumberFormat="1" applyFont="1" applyFill="1" applyBorder="1" applyAlignment="1">
      <alignment vertical="center"/>
    </xf>
    <xf numFmtId="0" fontId="42" fillId="0" borderId="19" xfId="0" applyFont="1" applyFill="1" applyBorder="1" applyAlignment="1">
      <alignment horizontal="left" vertical="center"/>
    </xf>
    <xf numFmtId="0" fontId="41" fillId="0" borderId="19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left" vertical="center"/>
    </xf>
    <xf numFmtId="49" fontId="42" fillId="0" borderId="54" xfId="0" applyNumberFormat="1" applyFont="1" applyBorder="1" applyAlignment="1">
      <alignment horizontal="left" vertical="center"/>
    </xf>
    <xf numFmtId="49" fontId="3" fillId="0" borderId="52" xfId="0" applyNumberFormat="1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17" xfId="8" applyNumberFormat="1" applyFont="1" applyBorder="1" applyAlignment="1">
      <alignment horizontal="right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4" fontId="3" fillId="0" borderId="24" xfId="0" applyNumberFormat="1" applyFont="1" applyBorder="1" applyAlignment="1">
      <alignment horizontal="right" vertical="center" wrapText="1"/>
    </xf>
    <xf numFmtId="0" fontId="79" fillId="0" borderId="49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1" fillId="0" borderId="51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>
      <alignment horizontal="center" vertical="center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6" xfId="0" applyNumberFormat="1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63" fillId="0" borderId="50" xfId="0" applyFont="1" applyFill="1" applyBorder="1" applyAlignment="1" applyProtection="1">
      <alignment horizontal="center" vertical="center" wrapText="1"/>
    </xf>
    <xf numFmtId="0" fontId="63" fillId="0" borderId="53" xfId="0" applyFont="1" applyFill="1" applyBorder="1" applyAlignment="1" applyProtection="1">
      <alignment horizontal="center" vertical="center" wrapText="1"/>
    </xf>
    <xf numFmtId="0" fontId="65" fillId="0" borderId="0" xfId="0" applyFont="1" applyFill="1" applyAlignment="1" applyProtection="1">
      <alignment horizontal="left" vertical="justify" indent="3"/>
      <protection locked="0"/>
    </xf>
    <xf numFmtId="0" fontId="67" fillId="0" borderId="0" xfId="0" applyFont="1" applyFill="1" applyAlignment="1" applyProtection="1">
      <alignment horizontal="left"/>
      <protection locked="0"/>
    </xf>
    <xf numFmtId="0" fontId="65" fillId="0" borderId="0" xfId="0" applyFont="1" applyFill="1" applyAlignment="1" applyProtection="1">
      <alignment horizontal="left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41" fillId="2" borderId="35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80" fillId="0" borderId="0" xfId="0" applyFont="1" applyAlignment="1">
      <alignment horizontal="left" vertical="center" wrapText="1"/>
    </xf>
    <xf numFmtId="0" fontId="8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69" fillId="0" borderId="0" xfId="0" applyFont="1" applyAlignment="1" applyProtection="1">
      <alignment horizontal="justify" vertical="distributed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1" fillId="2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39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41" fillId="2" borderId="4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</cellXfs>
  <cellStyles count="14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ual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ETCA-II-10-A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901535</xdr:colOff>
      <xdr:row>0</xdr:row>
      <xdr:rowOff>85725</xdr:rowOff>
    </xdr:from>
    <xdr:ext cx="898002" cy="254557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045285" y="85725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ETCA-II-11-A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19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356119</xdr:colOff>
      <xdr:row>0</xdr:row>
      <xdr:rowOff>109330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6659184" y="10933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="" xmlns:a16="http://schemas.microsoft.com/office/drawing/2014/main" id="{00000000-0008-0000-0D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=""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=""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=""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="" xmlns:a16="http://schemas.microsoft.com/office/drawing/2014/main" id="{00000000-0008-0000-0D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="" xmlns:a16="http://schemas.microsoft.com/office/drawing/2014/main" id="{00000000-0008-0000-0D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="" xmlns:a16="http://schemas.microsoft.com/office/drawing/2014/main" id="{00000000-0008-0000-0D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="" xmlns:a16="http://schemas.microsoft.com/office/drawing/2014/main" id="{00000000-0008-0000-0D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="" xmlns:a16="http://schemas.microsoft.com/office/drawing/2014/main" id="{00000000-0008-0000-0D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67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="" xmlns:a16="http://schemas.microsoft.com/office/drawing/2014/main" id="{00000000-0008-0000-0D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="" xmlns:a16="http://schemas.microsoft.com/office/drawing/2014/main" id="{00000000-0008-0000-0D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ETCA-II-11-B2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0F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0F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0F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0F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="" xmlns:a16="http://schemas.microsoft.com/office/drawing/2014/main" id="{00000000-0008-0000-0F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ETCA-II-11-B3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2" name="5 CuadroText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3181350" y="981075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8" name="11 CuadroTexto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SpPr txBox="1"/>
      </xdr:nvSpPr>
      <xdr:spPr>
        <a:xfrm>
          <a:off x="55182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ETCA-II-11-C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627572</xdr:colOff>
      <xdr:row>0</xdr:row>
      <xdr:rowOff>0</xdr:rowOff>
    </xdr:from>
    <xdr:ext cx="1046890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5418647" y="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ETCA-II-11-D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3512300</xdr:colOff>
      <xdr:row>3</xdr:row>
      <xdr:rowOff>195723</xdr:rowOff>
    </xdr:from>
    <xdr:ext cx="562462" cy="239809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3512300" y="814848"/>
          <a:ext cx="562462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Pesos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2194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7577478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ETCA-II-11-E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2276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6848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5418081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678207</xdr:colOff>
      <xdr:row>0</xdr:row>
      <xdr:rowOff>28575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69282" y="2857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648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598431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537045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731355</xdr:colOff>
      <xdr:row>0</xdr:row>
      <xdr:rowOff>26918</xdr:rowOff>
    </xdr:from>
    <xdr:ext cx="1478446" cy="254557"/>
    <xdr:sp macro="" textlink="">
      <xdr:nvSpPr>
        <xdr:cNvPr id="3" name="11 CuadroTexto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6951180" y="26918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ETCA-III-14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7</xdr:col>
      <xdr:colOff>647700</xdr:colOff>
      <xdr:row>46</xdr:row>
      <xdr:rowOff>85725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5934075" cy="8743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63953</xdr:colOff>
      <xdr:row>0</xdr:row>
      <xdr:rowOff>0</xdr:rowOff>
    </xdr:from>
    <xdr:ext cx="937181" cy="254557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5597978" y="0"/>
          <a:ext cx="93718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44100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ETCA-IV-18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ETCA-IV-19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49815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ETCA-IV-20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154332</xdr:colOff>
      <xdr:row>0</xdr:row>
      <xdr:rowOff>38100</xdr:rowOff>
    </xdr:from>
    <xdr:ext cx="858826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678957" y="3810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99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792507</xdr:colOff>
      <xdr:row>0</xdr:row>
      <xdr:rowOff>19050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583582" y="1905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249582</xdr:colOff>
      <xdr:row>0</xdr:row>
      <xdr:rowOff>47625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5631207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55911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38100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617413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908776</xdr:colOff>
      <xdr:row>0</xdr:row>
      <xdr:rowOff>0</xdr:rowOff>
    </xdr:from>
    <xdr:ext cx="976486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6814276" y="0"/>
          <a:ext cx="97648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ETCA-II-010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4267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130398</xdr:colOff>
      <xdr:row>3</xdr:row>
      <xdr:rowOff>180975</xdr:rowOff>
    </xdr:from>
    <xdr:ext cx="874663" cy="254557"/>
    <xdr:sp macro="" textlink="">
      <xdr:nvSpPr>
        <xdr:cNvPr id="11" name="5 CuadroTexto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6035898" y="800100"/>
          <a:ext cx="87466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theme="7"/>
    <pageSetUpPr fitToPage="1"/>
  </sheetPr>
  <dimension ref="A1:G56"/>
  <sheetViews>
    <sheetView topLeftCell="C2" zoomScaleSheetLayoutView="100" workbookViewId="0">
      <selection activeCell="E15" sqref="E15"/>
    </sheetView>
  </sheetViews>
  <sheetFormatPr baseColWidth="10" defaultColWidth="11.42578125" defaultRowHeight="16.5"/>
  <cols>
    <col min="1" max="1" width="50.7109375" style="82" customWidth="1"/>
    <col min="2" max="2" width="16" style="82" customWidth="1"/>
    <col min="3" max="3" width="15.5703125" style="82" customWidth="1"/>
    <col min="4" max="4" width="50.7109375" style="82" customWidth="1"/>
    <col min="5" max="5" width="15.28515625" style="82" bestFit="1" customWidth="1"/>
    <col min="6" max="6" width="15.7109375" style="82" customWidth="1"/>
    <col min="7" max="7" width="164.42578125" style="82" customWidth="1"/>
    <col min="8" max="16384" width="11.42578125" style="82"/>
  </cols>
  <sheetData>
    <row r="1" spans="1:6">
      <c r="A1" s="81"/>
      <c r="C1" s="711" t="s">
        <v>0</v>
      </c>
      <c r="D1" s="83"/>
      <c r="F1" s="84" t="s">
        <v>1</v>
      </c>
    </row>
    <row r="2" spans="1:6">
      <c r="B2" s="85"/>
      <c r="C2" s="710" t="s">
        <v>2</v>
      </c>
      <c r="D2" s="85"/>
      <c r="E2" s="85"/>
      <c r="F2" s="85"/>
    </row>
    <row r="3" spans="1:6">
      <c r="B3" s="81"/>
      <c r="C3" s="709" t="s">
        <v>3</v>
      </c>
      <c r="D3" s="81"/>
      <c r="E3" s="81"/>
      <c r="F3" s="81"/>
    </row>
    <row r="4" spans="1:6">
      <c r="A4" s="85"/>
      <c r="C4" s="709" t="s">
        <v>4</v>
      </c>
      <c r="D4" s="81"/>
      <c r="E4" s="85"/>
      <c r="F4" s="85"/>
    </row>
    <row r="5" spans="1:6" ht="17.25" thickBot="1">
      <c r="A5" s="85"/>
      <c r="B5" s="86"/>
      <c r="C5" s="87" t="s">
        <v>5</v>
      </c>
      <c r="D5" s="134" t="s">
        <v>6</v>
      </c>
      <c r="E5" s="732" t="s">
        <v>7</v>
      </c>
      <c r="F5" s="732"/>
    </row>
    <row r="6" spans="1:6" ht="24" customHeight="1" thickBot="1">
      <c r="A6" s="133" t="s">
        <v>8</v>
      </c>
      <c r="B6" s="678">
        <v>42430</v>
      </c>
      <c r="C6" s="678">
        <v>42339</v>
      </c>
      <c r="D6" s="167" t="s">
        <v>9</v>
      </c>
      <c r="E6" s="678">
        <v>42430</v>
      </c>
      <c r="F6" s="678">
        <v>42339</v>
      </c>
    </row>
    <row r="7" spans="1:6" ht="17.25" thickTop="1">
      <c r="A7" s="89"/>
      <c r="B7" s="90"/>
      <c r="C7" s="90"/>
      <c r="D7" s="90"/>
      <c r="E7" s="90"/>
      <c r="F7" s="91"/>
    </row>
    <row r="8" spans="1:6">
      <c r="A8" s="92" t="s">
        <v>10</v>
      </c>
      <c r="B8" s="93"/>
      <c r="C8" s="93"/>
      <c r="D8" s="95" t="s">
        <v>11</v>
      </c>
      <c r="E8" s="93"/>
      <c r="F8" s="96"/>
    </row>
    <row r="9" spans="1:6">
      <c r="A9" s="97" t="s">
        <v>12</v>
      </c>
      <c r="B9" s="98">
        <f>6877000+712055811.8</f>
        <v>718932811.79999995</v>
      </c>
      <c r="C9" s="98">
        <v>576591539</v>
      </c>
      <c r="D9" s="99" t="s">
        <v>13</v>
      </c>
      <c r="E9" s="98">
        <f>122603008.44-99243.58+7021823.71+115561828.51+136368175.2</f>
        <v>381455592.27999997</v>
      </c>
      <c r="F9" s="100">
        <v>348518199</v>
      </c>
    </row>
    <row r="10" spans="1:6">
      <c r="A10" s="97" t="s">
        <v>14</v>
      </c>
      <c r="B10" s="98"/>
      <c r="C10" s="98">
        <v>0</v>
      </c>
      <c r="D10" s="99" t="s">
        <v>15</v>
      </c>
      <c r="E10" s="98">
        <v>0</v>
      </c>
      <c r="F10" s="100">
        <v>0</v>
      </c>
    </row>
    <row r="11" spans="1:6">
      <c r="A11" s="97" t="s">
        <v>16</v>
      </c>
      <c r="B11" s="98">
        <f>410716146.64+1589449.55+11193277.83+43862.27</f>
        <v>423542736.28999996</v>
      </c>
      <c r="C11" s="98">
        <v>405352707</v>
      </c>
      <c r="D11" s="101" t="s">
        <v>17</v>
      </c>
      <c r="E11" s="98">
        <v>0</v>
      </c>
      <c r="F11" s="100">
        <v>0</v>
      </c>
    </row>
    <row r="12" spans="1:6">
      <c r="A12" s="97" t="s">
        <v>18</v>
      </c>
      <c r="B12" s="98"/>
      <c r="C12" s="98"/>
      <c r="D12" s="99" t="s">
        <v>19</v>
      </c>
      <c r="E12" s="98">
        <v>0</v>
      </c>
      <c r="F12" s="100">
        <v>0</v>
      </c>
    </row>
    <row r="13" spans="1:6">
      <c r="A13" s="97" t="s">
        <v>20</v>
      </c>
      <c r="B13" s="98">
        <v>73866118.670000002</v>
      </c>
      <c r="C13" s="98">
        <v>126160882</v>
      </c>
      <c r="D13" s="99" t="s">
        <v>21</v>
      </c>
      <c r="E13" s="98">
        <v>0</v>
      </c>
      <c r="F13" s="100">
        <v>0</v>
      </c>
    </row>
    <row r="14" spans="1:6" ht="33">
      <c r="A14" s="102" t="s">
        <v>22</v>
      </c>
      <c r="B14" s="98">
        <v>0</v>
      </c>
      <c r="C14" s="98">
        <v>0</v>
      </c>
      <c r="D14" s="101" t="s">
        <v>23</v>
      </c>
      <c r="E14" s="98">
        <v>0</v>
      </c>
      <c r="F14" s="100">
        <v>0</v>
      </c>
    </row>
    <row r="15" spans="1:6">
      <c r="A15" s="97" t="s">
        <v>24</v>
      </c>
      <c r="B15" s="98">
        <v>0</v>
      </c>
      <c r="C15" s="98">
        <v>0</v>
      </c>
      <c r="D15" s="99" t="s">
        <v>25</v>
      </c>
      <c r="E15" s="98">
        <v>0</v>
      </c>
      <c r="F15" s="100">
        <v>0</v>
      </c>
    </row>
    <row r="16" spans="1:6">
      <c r="A16" s="103"/>
      <c r="B16" s="98"/>
      <c r="C16" s="98"/>
      <c r="D16" s="99" t="s">
        <v>26</v>
      </c>
      <c r="E16" s="98">
        <v>0</v>
      </c>
      <c r="F16" s="100">
        <v>0</v>
      </c>
    </row>
    <row r="17" spans="1:6">
      <c r="A17" s="103"/>
      <c r="B17" s="104"/>
      <c r="C17" s="104"/>
      <c r="D17" s="94"/>
      <c r="E17" s="98"/>
      <c r="F17" s="100"/>
    </row>
    <row r="18" spans="1:6">
      <c r="A18" s="137" t="s">
        <v>27</v>
      </c>
      <c r="B18" s="80">
        <f>SUM(B9:B17)</f>
        <v>1216341666.76</v>
      </c>
      <c r="C18" s="80">
        <f>SUM(C9:C17)</f>
        <v>1108105128</v>
      </c>
      <c r="D18" s="138" t="s">
        <v>28</v>
      </c>
      <c r="E18" s="80">
        <f>SUM(E9:E17)</f>
        <v>381455592.27999997</v>
      </c>
      <c r="F18" s="126">
        <f>SUM(F9:F17)</f>
        <v>348518199</v>
      </c>
    </row>
    <row r="19" spans="1:6">
      <c r="A19" s="103"/>
      <c r="B19" s="105"/>
      <c r="C19" s="105"/>
      <c r="D19" s="106"/>
      <c r="E19" s="105"/>
      <c r="F19" s="107"/>
    </row>
    <row r="20" spans="1:6">
      <c r="A20" s="92" t="s">
        <v>29</v>
      </c>
      <c r="B20" s="98"/>
      <c r="C20" s="98"/>
      <c r="D20" s="95" t="s">
        <v>30</v>
      </c>
      <c r="E20" s="108"/>
      <c r="F20" s="109"/>
    </row>
    <row r="21" spans="1:6">
      <c r="A21" s="97" t="s">
        <v>31</v>
      </c>
      <c r="B21" s="98">
        <v>0</v>
      </c>
      <c r="C21" s="98">
        <v>0</v>
      </c>
      <c r="D21" s="99" t="s">
        <v>32</v>
      </c>
      <c r="E21" s="98">
        <v>0</v>
      </c>
      <c r="F21" s="100">
        <v>0</v>
      </c>
    </row>
    <row r="22" spans="1:6">
      <c r="A22" s="102" t="s">
        <v>33</v>
      </c>
      <c r="B22" s="98">
        <v>0</v>
      </c>
      <c r="C22" s="98">
        <v>0</v>
      </c>
      <c r="D22" s="101" t="s">
        <v>34</v>
      </c>
      <c r="E22" s="98">
        <v>0</v>
      </c>
      <c r="F22" s="100">
        <v>0</v>
      </c>
    </row>
    <row r="23" spans="1:6" ht="33">
      <c r="A23" s="102" t="s">
        <v>35</v>
      </c>
      <c r="B23" s="98">
        <f>1443014685.39+335735025.41+15139020.94</f>
        <v>1793888731.7400002</v>
      </c>
      <c r="C23" s="98">
        <v>1777729923</v>
      </c>
      <c r="D23" s="99" t="s">
        <v>36</v>
      </c>
      <c r="E23" s="98">
        <v>0</v>
      </c>
      <c r="F23" s="100">
        <v>0</v>
      </c>
    </row>
    <row r="24" spans="1:6" ht="16.5" customHeight="1">
      <c r="A24" s="97" t="s">
        <v>37</v>
      </c>
      <c r="B24" s="98">
        <f>304042659.37+3803054.4+557733.8+8173801.87+513230.2+395293.66+577002.4+13249.99+99991.58+36640948.48+1907370.82+184513286.19+7571269.02+111000.03+795006706.65+46372.16+748745.22+7272.16+2614641.01+324241.52+113739.36+6288.34+1654187.7</f>
        <v>1349442085.9300001</v>
      </c>
      <c r="C24" s="98">
        <v>1347387115</v>
      </c>
      <c r="D24" s="99" t="s">
        <v>38</v>
      </c>
      <c r="E24" s="98">
        <v>0</v>
      </c>
      <c r="F24" s="100">
        <v>0</v>
      </c>
    </row>
    <row r="25" spans="1:6" ht="33">
      <c r="A25" s="97" t="s">
        <v>39</v>
      </c>
      <c r="B25" s="98">
        <v>0</v>
      </c>
      <c r="C25" s="98">
        <v>0</v>
      </c>
      <c r="D25" s="101" t="s">
        <v>40</v>
      </c>
      <c r="E25" s="98">
        <v>0</v>
      </c>
      <c r="F25" s="100">
        <v>0</v>
      </c>
    </row>
    <row r="26" spans="1:6">
      <c r="A26" s="102" t="s">
        <v>41</v>
      </c>
      <c r="B26" s="98">
        <v>0</v>
      </c>
      <c r="C26" s="98">
        <v>0</v>
      </c>
      <c r="D26" s="99" t="s">
        <v>42</v>
      </c>
      <c r="E26" s="98">
        <v>0</v>
      </c>
      <c r="F26" s="100">
        <v>0</v>
      </c>
    </row>
    <row r="27" spans="1:6">
      <c r="A27" s="97" t="s">
        <v>43</v>
      </c>
      <c r="B27" s="98">
        <v>0</v>
      </c>
      <c r="C27" s="98">
        <v>0</v>
      </c>
      <c r="D27" s="99"/>
      <c r="E27" s="98"/>
      <c r="F27" s="100"/>
    </row>
    <row r="28" spans="1:6">
      <c r="A28" s="102" t="s">
        <v>44</v>
      </c>
      <c r="B28" s="98">
        <v>0</v>
      </c>
      <c r="C28" s="98">
        <v>0</v>
      </c>
      <c r="D28" s="110"/>
      <c r="E28" s="98"/>
      <c r="F28" s="100"/>
    </row>
    <row r="29" spans="1:6">
      <c r="A29" s="97" t="s">
        <v>45</v>
      </c>
      <c r="B29" s="98">
        <v>0</v>
      </c>
      <c r="C29" s="98">
        <v>0</v>
      </c>
      <c r="D29" s="110"/>
      <c r="E29" s="108"/>
      <c r="F29" s="109"/>
    </row>
    <row r="30" spans="1:6">
      <c r="A30" s="111"/>
      <c r="B30" s="98"/>
      <c r="C30" s="98"/>
      <c r="D30" s="110"/>
      <c r="E30" s="108"/>
      <c r="F30" s="109"/>
    </row>
    <row r="31" spans="1:6">
      <c r="A31" s="137" t="s">
        <v>46</v>
      </c>
      <c r="B31" s="80">
        <f>SUM(B21:B29)</f>
        <v>3143330817.6700001</v>
      </c>
      <c r="C31" s="80">
        <f>SUM(C21:C29)</f>
        <v>3125117038</v>
      </c>
      <c r="D31" s="139" t="s">
        <v>47</v>
      </c>
      <c r="E31" s="80">
        <f>SUM(E21:E29)</f>
        <v>0</v>
      </c>
      <c r="F31" s="126">
        <f>SUM(F21:F29)</f>
        <v>0</v>
      </c>
    </row>
    <row r="32" spans="1:6">
      <c r="A32" s="111"/>
      <c r="B32" s="98"/>
      <c r="C32" s="98"/>
      <c r="D32" s="110"/>
      <c r="E32" s="104"/>
      <c r="F32" s="112"/>
    </row>
    <row r="33" spans="1:6">
      <c r="A33" s="137" t="s">
        <v>48</v>
      </c>
      <c r="B33" s="80">
        <f>B31+B18</f>
        <v>4359672484.4300003</v>
      </c>
      <c r="C33" s="80">
        <f>C31+C18</f>
        <v>4233222166</v>
      </c>
      <c r="D33" s="139" t="s">
        <v>49</v>
      </c>
      <c r="E33" s="80">
        <f>E31+E18</f>
        <v>381455592.27999997</v>
      </c>
      <c r="F33" s="126">
        <f>F31+F18</f>
        <v>348518199</v>
      </c>
    </row>
    <row r="34" spans="1:6">
      <c r="A34" s="103"/>
      <c r="B34" s="113"/>
      <c r="C34" s="113"/>
      <c r="D34" s="110"/>
      <c r="E34" s="108"/>
      <c r="F34" s="109"/>
    </row>
    <row r="35" spans="1:6">
      <c r="A35" s="103"/>
      <c r="B35" s="98"/>
      <c r="C35" s="98"/>
      <c r="D35" s="114" t="s">
        <v>50</v>
      </c>
      <c r="E35" s="104"/>
      <c r="F35" s="112"/>
    </row>
    <row r="36" spans="1:6">
      <c r="A36" s="103"/>
      <c r="B36" s="104"/>
      <c r="C36" s="104"/>
      <c r="D36" s="139" t="s">
        <v>51</v>
      </c>
      <c r="E36" s="127">
        <f>SUM(E37:E39)</f>
        <v>3854465638.54</v>
      </c>
      <c r="F36" s="128">
        <f>SUM(F37:F39)</f>
        <v>3334007967</v>
      </c>
    </row>
    <row r="37" spans="1:6">
      <c r="A37" s="103"/>
      <c r="B37" s="104"/>
      <c r="C37" s="104"/>
      <c r="D37" s="99" t="s">
        <v>52</v>
      </c>
      <c r="E37" s="98">
        <v>3869459948.1500001</v>
      </c>
      <c r="F37" s="100">
        <v>3320135074</v>
      </c>
    </row>
    <row r="38" spans="1:6">
      <c r="A38" s="103"/>
      <c r="B38" s="104"/>
      <c r="C38" s="104"/>
      <c r="D38" s="99" t="s">
        <v>53</v>
      </c>
      <c r="E38" s="98">
        <v>-14994309.609999999</v>
      </c>
      <c r="F38" s="100">
        <v>13872893</v>
      </c>
    </row>
    <row r="39" spans="1:6">
      <c r="A39" s="103"/>
      <c r="B39" s="104"/>
      <c r="C39" s="104"/>
      <c r="D39" s="99" t="s">
        <v>54</v>
      </c>
      <c r="E39" s="98">
        <v>0</v>
      </c>
      <c r="F39" s="100">
        <v>0</v>
      </c>
    </row>
    <row r="40" spans="1:6">
      <c r="A40" s="111"/>
      <c r="B40" s="105"/>
      <c r="C40" s="105"/>
      <c r="D40" s="139" t="s">
        <v>55</v>
      </c>
      <c r="E40" s="127">
        <f>SUM(E41:E45)</f>
        <v>123751253.61</v>
      </c>
      <c r="F40" s="128">
        <f>SUM(F41:F45)</f>
        <v>550696000</v>
      </c>
    </row>
    <row r="41" spans="1:6">
      <c r="A41" s="111"/>
      <c r="B41" s="105"/>
      <c r="C41" s="105"/>
      <c r="D41" s="99" t="s">
        <v>56</v>
      </c>
      <c r="E41" s="98">
        <v>124473851.73999999</v>
      </c>
      <c r="F41" s="100">
        <v>583814605</v>
      </c>
    </row>
    <row r="42" spans="1:6">
      <c r="A42" s="111"/>
      <c r="B42" s="105"/>
      <c r="C42" s="105"/>
      <c r="D42" s="99" t="s">
        <v>57</v>
      </c>
      <c r="E42" s="98">
        <v>-722598.13</v>
      </c>
      <c r="F42" s="100">
        <v>-9847564</v>
      </c>
    </row>
    <row r="43" spans="1:6">
      <c r="A43" s="103"/>
      <c r="B43" s="104"/>
      <c r="C43" s="104"/>
      <c r="D43" s="99" t="s">
        <v>58</v>
      </c>
      <c r="E43" s="98">
        <v>0</v>
      </c>
      <c r="F43" s="100">
        <v>0</v>
      </c>
    </row>
    <row r="44" spans="1:6">
      <c r="A44" s="103"/>
      <c r="B44" s="104"/>
      <c r="C44" s="104"/>
      <c r="D44" s="99" t="s">
        <v>59</v>
      </c>
      <c r="E44" s="98">
        <v>0</v>
      </c>
      <c r="F44" s="100">
        <v>0</v>
      </c>
    </row>
    <row r="45" spans="1:6">
      <c r="A45" s="103"/>
      <c r="B45" s="104"/>
      <c r="C45" s="104"/>
      <c r="D45" s="99" t="s">
        <v>60</v>
      </c>
      <c r="E45" s="98">
        <v>0</v>
      </c>
      <c r="F45" s="100">
        <v>-23271041</v>
      </c>
    </row>
    <row r="46" spans="1:6" ht="33">
      <c r="A46" s="103"/>
      <c r="B46" s="104"/>
      <c r="C46" s="104"/>
      <c r="D46" s="140" t="s">
        <v>61</v>
      </c>
      <c r="E46" s="129">
        <f>SUM(E47:E48)</f>
        <v>0</v>
      </c>
      <c r="F46" s="130">
        <f>SUM(F47:F48)</f>
        <v>0</v>
      </c>
    </row>
    <row r="47" spans="1:6">
      <c r="A47" s="97"/>
      <c r="B47" s="104"/>
      <c r="C47" s="104"/>
      <c r="D47" s="99" t="s">
        <v>62</v>
      </c>
      <c r="E47" s="98">
        <v>0</v>
      </c>
      <c r="F47" s="100">
        <v>0</v>
      </c>
    </row>
    <row r="48" spans="1:6">
      <c r="A48" s="115"/>
      <c r="B48" s="116"/>
      <c r="C48" s="116"/>
      <c r="D48" s="99" t="s">
        <v>63</v>
      </c>
      <c r="E48" s="98">
        <v>0</v>
      </c>
      <c r="F48" s="100">
        <v>0</v>
      </c>
    </row>
    <row r="49" spans="1:7">
      <c r="A49" s="103"/>
      <c r="B49" s="116"/>
      <c r="C49" s="116"/>
      <c r="D49" s="117"/>
      <c r="E49" s="116"/>
      <c r="F49" s="118"/>
    </row>
    <row r="50" spans="1:7">
      <c r="A50" s="97"/>
      <c r="B50" s="116"/>
      <c r="C50" s="116"/>
      <c r="D50" s="139" t="s">
        <v>64</v>
      </c>
      <c r="E50" s="131">
        <f>E46+E40+E36</f>
        <v>3978216892.1500001</v>
      </c>
      <c r="F50" s="132">
        <f>F46+F40+F36</f>
        <v>3884703967</v>
      </c>
    </row>
    <row r="51" spans="1:7">
      <c r="A51" s="115"/>
      <c r="B51" s="116"/>
      <c r="C51" s="116"/>
      <c r="D51" s="106"/>
      <c r="E51" s="119"/>
      <c r="F51" s="120"/>
    </row>
    <row r="52" spans="1:7">
      <c r="A52" s="103"/>
      <c r="D52" s="139" t="s">
        <v>65</v>
      </c>
      <c r="E52" s="131">
        <f>E50+E33</f>
        <v>4359672484.4300003</v>
      </c>
      <c r="F52" s="132">
        <f>F50+F33</f>
        <v>4233222166</v>
      </c>
      <c r="G52" s="168" t="str">
        <f>IF($B$33=$E$52,"","VALOR INCORRECTO EJERCICIO 2016, TOTAL DE ACTIVOS TIENE QUE SER IGUAL AL TOTAL DE LA SUMA DE PASIVO Y HCIENDA")</f>
        <v/>
      </c>
    </row>
    <row r="53" spans="1:7" ht="17.25" thickBot="1">
      <c r="A53" s="121"/>
      <c r="B53" s="122"/>
      <c r="C53" s="122"/>
      <c r="D53" s="123"/>
      <c r="E53" s="124"/>
      <c r="F53" s="125"/>
      <c r="G53" s="168" t="str">
        <f>IF($C$33=$F$52,"","VALOR INCORRECTO EJERCICIO 2015, TOTAL DE ACTIVOS TIENE QUE SER IGUAL AL TOTAL DE LA SUMA DE PASIVO Y HCIENDA")</f>
        <v/>
      </c>
    </row>
    <row r="54" spans="1:7">
      <c r="A54" s="82" t="s">
        <v>66</v>
      </c>
    </row>
    <row r="56" spans="1:7">
      <c r="B56" s="135"/>
      <c r="C56" s="136" t="s">
        <v>67</v>
      </c>
    </row>
  </sheetData>
  <sheetProtection sheet="1" objects="1" scenarios="1" insertHyperlinks="0"/>
  <mergeCells count="1">
    <mergeCell ref="E5:F5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57"/>
  <sheetViews>
    <sheetView tabSelected="1" topLeftCell="A16" zoomScale="110" zoomScaleNormal="110" zoomScaleSheetLayoutView="100" workbookViewId="0">
      <selection activeCell="E19" sqref="E19"/>
    </sheetView>
  </sheetViews>
  <sheetFormatPr baseColWidth="10" defaultColWidth="11.42578125" defaultRowHeight="16.5"/>
  <cols>
    <col min="1" max="1" width="1.140625" style="342" customWidth="1"/>
    <col min="2" max="2" width="31.7109375" style="342" customWidth="1"/>
    <col min="3" max="4" width="14.28515625" style="170" customWidth="1"/>
    <col min="5" max="5" width="13.140625" style="170" customWidth="1"/>
    <col min="6" max="6" width="14" style="170" customWidth="1"/>
    <col min="7" max="7" width="15" style="170" customWidth="1"/>
    <col min="8" max="8" width="14.28515625" style="170" customWidth="1"/>
    <col min="9" max="16384" width="11.42578125" style="170"/>
  </cols>
  <sheetData>
    <row r="1" spans="1:8">
      <c r="A1" s="745" t="s">
        <v>0</v>
      </c>
      <c r="B1" s="745"/>
      <c r="C1" s="745"/>
      <c r="D1" s="745"/>
      <c r="E1" s="745"/>
      <c r="F1" s="745"/>
      <c r="G1" s="745"/>
      <c r="H1" s="745"/>
    </row>
    <row r="2" spans="1:8" s="231" customFormat="1" ht="15.75">
      <c r="A2" s="745" t="s">
        <v>259</v>
      </c>
      <c r="B2" s="745"/>
      <c r="C2" s="745"/>
      <c r="D2" s="745"/>
      <c r="E2" s="745"/>
      <c r="F2" s="745"/>
      <c r="G2" s="745"/>
      <c r="H2" s="745"/>
    </row>
    <row r="3" spans="1:8" s="231" customFormat="1">
      <c r="A3" s="746" t="s">
        <v>260</v>
      </c>
      <c r="B3" s="746"/>
      <c r="C3" s="746"/>
      <c r="D3" s="746"/>
      <c r="E3" s="746"/>
      <c r="F3" s="746"/>
      <c r="G3" s="746"/>
      <c r="H3" s="746"/>
    </row>
    <row r="4" spans="1:8" s="231" customFormat="1">
      <c r="A4" s="746" t="s">
        <v>920</v>
      </c>
      <c r="B4" s="746"/>
      <c r="C4" s="746"/>
      <c r="D4" s="746"/>
      <c r="E4" s="746"/>
      <c r="F4" s="746"/>
      <c r="G4" s="746"/>
      <c r="H4" s="746"/>
    </row>
    <row r="5" spans="1:8" s="233" customFormat="1" ht="17.25" thickBot="1">
      <c r="A5" s="232"/>
      <c r="B5" s="232"/>
      <c r="C5" s="747" t="s">
        <v>5</v>
      </c>
      <c r="D5" s="747"/>
      <c r="E5" s="747"/>
      <c r="F5" s="747"/>
      <c r="G5" s="747"/>
      <c r="H5" s="660" t="s">
        <v>919</v>
      </c>
    </row>
    <row r="6" spans="1:8" s="289" customFormat="1" ht="38.25">
      <c r="A6" s="784" t="s">
        <v>261</v>
      </c>
      <c r="B6" s="785"/>
      <c r="C6" s="286" t="s">
        <v>262</v>
      </c>
      <c r="D6" s="286" t="s">
        <v>263</v>
      </c>
      <c r="E6" s="286" t="s">
        <v>264</v>
      </c>
      <c r="F6" s="287" t="s">
        <v>265</v>
      </c>
      <c r="G6" s="287" t="s">
        <v>266</v>
      </c>
      <c r="H6" s="288" t="s">
        <v>267</v>
      </c>
    </row>
    <row r="7" spans="1:8" s="289" customFormat="1" ht="17.25" thickBot="1">
      <c r="A7" s="786"/>
      <c r="B7" s="787"/>
      <c r="C7" s="290" t="s">
        <v>268</v>
      </c>
      <c r="D7" s="290" t="s">
        <v>269</v>
      </c>
      <c r="E7" s="290" t="s">
        <v>270</v>
      </c>
      <c r="F7" s="291" t="s">
        <v>271</v>
      </c>
      <c r="G7" s="291" t="s">
        <v>272</v>
      </c>
      <c r="H7" s="292" t="s">
        <v>273</v>
      </c>
    </row>
    <row r="8" spans="1:8" s="289" customFormat="1" ht="8.25" customHeight="1">
      <c r="A8" s="293"/>
      <c r="B8" s="294"/>
      <c r="C8" s="295"/>
      <c r="D8" s="295"/>
      <c r="E8" s="344"/>
      <c r="F8" s="295"/>
      <c r="G8" s="295"/>
      <c r="H8" s="347"/>
    </row>
    <row r="9" spans="1:8" ht="17.100000000000001" customHeight="1">
      <c r="A9" s="296"/>
      <c r="B9" s="297" t="s">
        <v>75</v>
      </c>
      <c r="C9" s="298"/>
      <c r="D9" s="298"/>
      <c r="E9" s="345">
        <f>C9+D9</f>
        <v>0</v>
      </c>
      <c r="F9" s="298"/>
      <c r="G9" s="298"/>
      <c r="H9" s="674">
        <f>G9-C9</f>
        <v>0</v>
      </c>
    </row>
    <row r="10" spans="1:8" ht="17.100000000000001" customHeight="1">
      <c r="A10" s="296"/>
      <c r="B10" s="297" t="s">
        <v>77</v>
      </c>
      <c r="C10" s="298"/>
      <c r="D10" s="298"/>
      <c r="E10" s="345">
        <f t="shared" ref="E10:E24" si="0">C10+D10</f>
        <v>0</v>
      </c>
      <c r="F10" s="298"/>
      <c r="G10" s="298"/>
      <c r="H10" s="674">
        <f t="shared" ref="H10:H24" si="1">G10-C10</f>
        <v>0</v>
      </c>
    </row>
    <row r="11" spans="1:8" ht="17.100000000000001" customHeight="1">
      <c r="A11" s="296"/>
      <c r="B11" s="297" t="s">
        <v>274</v>
      </c>
      <c r="C11" s="298"/>
      <c r="D11" s="298"/>
      <c r="E11" s="345">
        <f t="shared" si="0"/>
        <v>0</v>
      </c>
      <c r="F11" s="298"/>
      <c r="G11" s="298"/>
      <c r="H11" s="674">
        <f t="shared" si="1"/>
        <v>0</v>
      </c>
    </row>
    <row r="12" spans="1:8" ht="17.100000000000001" customHeight="1">
      <c r="A12" s="296"/>
      <c r="B12" s="297" t="s">
        <v>79</v>
      </c>
      <c r="C12" s="298"/>
      <c r="D12" s="298"/>
      <c r="E12" s="345">
        <f t="shared" si="0"/>
        <v>0</v>
      </c>
      <c r="F12" s="298"/>
      <c r="G12" s="298"/>
      <c r="H12" s="674">
        <f t="shared" si="1"/>
        <v>0</v>
      </c>
    </row>
    <row r="13" spans="1:8" ht="17.100000000000001" customHeight="1">
      <c r="A13" s="296"/>
      <c r="B13" s="297" t="s">
        <v>275</v>
      </c>
      <c r="C13" s="298"/>
      <c r="D13" s="298"/>
      <c r="E13" s="345">
        <f t="shared" si="0"/>
        <v>0</v>
      </c>
      <c r="F13" s="298"/>
      <c r="G13" s="298"/>
      <c r="H13" s="674">
        <f t="shared" si="1"/>
        <v>0</v>
      </c>
    </row>
    <row r="14" spans="1:8" ht="17.100000000000001" customHeight="1">
      <c r="A14" s="296"/>
      <c r="B14" s="297" t="s">
        <v>276</v>
      </c>
      <c r="C14" s="298"/>
      <c r="D14" s="298"/>
      <c r="E14" s="345">
        <f t="shared" si="0"/>
        <v>0</v>
      </c>
      <c r="F14" s="298"/>
      <c r="G14" s="298"/>
      <c r="H14" s="674">
        <f t="shared" si="1"/>
        <v>0</v>
      </c>
    </row>
    <row r="15" spans="1:8" ht="17.100000000000001" customHeight="1">
      <c r="A15" s="296"/>
      <c r="B15" s="297" t="s">
        <v>277</v>
      </c>
      <c r="C15" s="298"/>
      <c r="D15" s="298"/>
      <c r="E15" s="345">
        <f t="shared" si="0"/>
        <v>0</v>
      </c>
      <c r="F15" s="298"/>
      <c r="G15" s="299"/>
      <c r="H15" s="674">
        <f t="shared" si="1"/>
        <v>0</v>
      </c>
    </row>
    <row r="16" spans="1:8" ht="17.100000000000001" customHeight="1">
      <c r="A16" s="296"/>
      <c r="B16" s="297" t="s">
        <v>278</v>
      </c>
      <c r="C16" s="298"/>
      <c r="D16" s="298"/>
      <c r="E16" s="345">
        <f t="shared" si="0"/>
        <v>0</v>
      </c>
      <c r="F16" s="298"/>
      <c r="G16" s="298"/>
      <c r="H16" s="674">
        <f t="shared" si="1"/>
        <v>0</v>
      </c>
    </row>
    <row r="17" spans="1:8" ht="17.100000000000001" customHeight="1">
      <c r="A17" s="296"/>
      <c r="B17" s="297" t="s">
        <v>276</v>
      </c>
      <c r="C17" s="298"/>
      <c r="D17" s="298"/>
      <c r="E17" s="345">
        <f t="shared" si="0"/>
        <v>0</v>
      </c>
      <c r="F17" s="298"/>
      <c r="G17" s="298"/>
      <c r="H17" s="674">
        <f t="shared" si="1"/>
        <v>0</v>
      </c>
    </row>
    <row r="18" spans="1:8" ht="17.100000000000001" customHeight="1">
      <c r="A18" s="296"/>
      <c r="B18" s="297" t="s">
        <v>277</v>
      </c>
      <c r="C18" s="298"/>
      <c r="D18" s="298"/>
      <c r="E18" s="345">
        <f t="shared" si="0"/>
        <v>0</v>
      </c>
      <c r="F18" s="298"/>
      <c r="G18" s="298"/>
      <c r="H18" s="674">
        <f t="shared" si="1"/>
        <v>0</v>
      </c>
    </row>
    <row r="19" spans="1:8" ht="17.100000000000001" customHeight="1">
      <c r="A19" s="296"/>
      <c r="B19" s="297" t="s">
        <v>279</v>
      </c>
      <c r="C19" s="298">
        <v>72185555</v>
      </c>
      <c r="D19" s="298"/>
      <c r="E19" s="345">
        <f t="shared" si="0"/>
        <v>72185555</v>
      </c>
      <c r="F19" s="298">
        <v>69595172</v>
      </c>
      <c r="G19" s="298">
        <v>69595172</v>
      </c>
      <c r="H19" s="674">
        <f t="shared" si="1"/>
        <v>-2590383</v>
      </c>
    </row>
    <row r="20" spans="1:8" ht="17.100000000000001" customHeight="1">
      <c r="A20" s="296"/>
      <c r="B20" s="297" t="s">
        <v>85</v>
      </c>
      <c r="C20" s="298"/>
      <c r="D20" s="298"/>
      <c r="E20" s="345">
        <f t="shared" si="0"/>
        <v>0</v>
      </c>
      <c r="F20" s="298"/>
      <c r="G20" s="298"/>
      <c r="H20" s="674">
        <f t="shared" si="1"/>
        <v>0</v>
      </c>
    </row>
    <row r="21" spans="1:8" ht="25.5">
      <c r="A21" s="296"/>
      <c r="B21" s="297" t="s">
        <v>280</v>
      </c>
      <c r="C21" s="298">
        <v>2121161651</v>
      </c>
      <c r="D21" s="298"/>
      <c r="E21" s="345">
        <f t="shared" si="0"/>
        <v>2121161651</v>
      </c>
      <c r="F21" s="298">
        <v>1313296936.8099999</v>
      </c>
      <c r="G21" s="298">
        <v>1313296936.8099999</v>
      </c>
      <c r="H21" s="674">
        <f t="shared" si="1"/>
        <v>-807864714.19000006</v>
      </c>
    </row>
    <row r="22" spans="1:8" ht="25.5">
      <c r="A22" s="296"/>
      <c r="B22" s="297" t="s">
        <v>281</v>
      </c>
      <c r="C22" s="298">
        <v>761860763.75999999</v>
      </c>
      <c r="D22" s="298"/>
      <c r="E22" s="345">
        <f t="shared" si="0"/>
        <v>761860763.75999999</v>
      </c>
      <c r="F22" s="298">
        <v>436590074.64999998</v>
      </c>
      <c r="G22" s="298">
        <v>436590074.64999998</v>
      </c>
      <c r="H22" s="674">
        <f t="shared" si="1"/>
        <v>-325270689.11000001</v>
      </c>
    </row>
    <row r="23" spans="1:8" ht="17.100000000000001" customHeight="1" thickBot="1">
      <c r="A23" s="300"/>
      <c r="B23" s="301" t="s">
        <v>282</v>
      </c>
      <c r="C23" s="302"/>
      <c r="D23" s="302"/>
      <c r="E23" s="346">
        <f t="shared" si="0"/>
        <v>0</v>
      </c>
      <c r="F23" s="302"/>
      <c r="G23" s="302"/>
      <c r="H23" s="675">
        <f t="shared" si="1"/>
        <v>0</v>
      </c>
    </row>
    <row r="24" spans="1:8" s="355" customFormat="1" ht="28.5" customHeight="1" thickBot="1">
      <c r="A24" s="788" t="s">
        <v>137</v>
      </c>
      <c r="B24" s="789"/>
      <c r="C24" s="343">
        <f>SUM(C9:C23)</f>
        <v>2955207969.7600002</v>
      </c>
      <c r="D24" s="343">
        <f>SUM(D9:D23)</f>
        <v>0</v>
      </c>
      <c r="E24" s="343">
        <f t="shared" si="0"/>
        <v>2955207969.7600002</v>
      </c>
      <c r="F24" s="343">
        <f>SUM(F9:F23)</f>
        <v>1819482183.46</v>
      </c>
      <c r="G24" s="343">
        <f>SUM(G9:G23)</f>
        <v>1819482183.46</v>
      </c>
      <c r="H24" s="676">
        <f t="shared" si="1"/>
        <v>-1135725786.3000002</v>
      </c>
    </row>
    <row r="25" spans="1:8" ht="22.5" customHeight="1" thickBot="1">
      <c r="A25" s="303"/>
      <c r="B25" s="303"/>
      <c r="C25" s="304"/>
      <c r="D25" s="304"/>
      <c r="E25" s="304"/>
      <c r="F25" s="305"/>
      <c r="G25" s="670" t="s">
        <v>283</v>
      </c>
      <c r="H25" s="671" t="str">
        <f>IF(($G$24-$C$24)&lt;=0,"",$G$24-$C$24)</f>
        <v/>
      </c>
    </row>
    <row r="26" spans="1:8" ht="10.5" customHeight="1" thickBot="1">
      <c r="A26" s="306"/>
      <c r="B26" s="306"/>
      <c r="C26" s="307"/>
      <c r="D26" s="307"/>
      <c r="E26" s="307"/>
      <c r="F26" s="308"/>
      <c r="G26" s="309"/>
      <c r="H26" s="305"/>
    </row>
    <row r="27" spans="1:8" s="289" customFormat="1" ht="38.25">
      <c r="A27" s="792" t="s">
        <v>284</v>
      </c>
      <c r="B27" s="793"/>
      <c r="C27" s="310" t="s">
        <v>262</v>
      </c>
      <c r="D27" s="310" t="s">
        <v>263</v>
      </c>
      <c r="E27" s="310" t="s">
        <v>264</v>
      </c>
      <c r="F27" s="311" t="s">
        <v>265</v>
      </c>
      <c r="G27" s="311" t="s">
        <v>266</v>
      </c>
      <c r="H27" s="288" t="s">
        <v>267</v>
      </c>
    </row>
    <row r="28" spans="1:8" s="289" customFormat="1" ht="17.25" thickBot="1">
      <c r="A28" s="312"/>
      <c r="B28" s="313" t="s">
        <v>285</v>
      </c>
      <c r="C28" s="314" t="s">
        <v>268</v>
      </c>
      <c r="D28" s="314" t="s">
        <v>269</v>
      </c>
      <c r="E28" s="314" t="s">
        <v>270</v>
      </c>
      <c r="F28" s="315" t="s">
        <v>271</v>
      </c>
      <c r="G28" s="315" t="s">
        <v>272</v>
      </c>
      <c r="H28" s="316" t="s">
        <v>273</v>
      </c>
    </row>
    <row r="29" spans="1:8" s="319" customFormat="1" ht="17.100000000000001" customHeight="1">
      <c r="A29" s="317" t="s">
        <v>286</v>
      </c>
      <c r="B29" s="318"/>
      <c r="C29" s="348">
        <f>SUM(C30:C33,C36,C39:C40)</f>
        <v>0</v>
      </c>
      <c r="D29" s="348">
        <f>SUM(D30:D33,D36,D39:D40)</f>
        <v>0</v>
      </c>
      <c r="E29" s="348">
        <f>SUM(E30:E33,E36,E39:E40)</f>
        <v>0</v>
      </c>
      <c r="F29" s="348">
        <f t="shared" ref="F29:H29" si="2">SUM(F30:F33,F36,F39:F40)</f>
        <v>0</v>
      </c>
      <c r="G29" s="348">
        <f t="shared" si="2"/>
        <v>0</v>
      </c>
      <c r="H29" s="348">
        <f t="shared" si="2"/>
        <v>0</v>
      </c>
    </row>
    <row r="30" spans="1:8" s="319" customFormat="1" ht="17.100000000000001" customHeight="1">
      <c r="A30" s="320" t="s">
        <v>287</v>
      </c>
      <c r="B30" s="321"/>
      <c r="C30" s="322"/>
      <c r="D30" s="322"/>
      <c r="E30" s="350">
        <f>C30+D30</f>
        <v>0</v>
      </c>
      <c r="F30" s="322"/>
      <c r="G30" s="322"/>
      <c r="H30" s="353">
        <f>G30-C30</f>
        <v>0</v>
      </c>
    </row>
    <row r="31" spans="1:8" s="319" customFormat="1" ht="17.100000000000001" customHeight="1">
      <c r="A31" s="320" t="s">
        <v>274</v>
      </c>
      <c r="B31" s="321"/>
      <c r="C31" s="322"/>
      <c r="D31" s="322"/>
      <c r="E31" s="350">
        <f t="shared" ref="E31:E49" si="3">C31+D31</f>
        <v>0</v>
      </c>
      <c r="F31" s="322"/>
      <c r="G31" s="322"/>
      <c r="H31" s="353">
        <f t="shared" ref="H31:H49" si="4">G31-C31</f>
        <v>0</v>
      </c>
    </row>
    <row r="32" spans="1:8" s="319" customFormat="1">
      <c r="A32" s="790" t="s">
        <v>79</v>
      </c>
      <c r="B32" s="791"/>
      <c r="C32" s="322"/>
      <c r="D32" s="322"/>
      <c r="E32" s="350">
        <f t="shared" si="3"/>
        <v>0</v>
      </c>
      <c r="F32" s="322"/>
      <c r="G32" s="322"/>
      <c r="H32" s="353">
        <f t="shared" si="4"/>
        <v>0</v>
      </c>
    </row>
    <row r="33" spans="1:8" s="319" customFormat="1" ht="17.100000000000001" customHeight="1">
      <c r="A33" s="320" t="s">
        <v>275</v>
      </c>
      <c r="B33" s="321"/>
      <c r="C33" s="323"/>
      <c r="D33" s="323"/>
      <c r="E33" s="351">
        <f>SUM(E34:E35)</f>
        <v>0</v>
      </c>
      <c r="F33" s="323"/>
      <c r="G33" s="323"/>
      <c r="H33" s="354">
        <f>SUM(H34:H35)</f>
        <v>0</v>
      </c>
    </row>
    <row r="34" spans="1:8" s="319" customFormat="1" ht="17.100000000000001" customHeight="1">
      <c r="A34" s="324" t="s">
        <v>276</v>
      </c>
      <c r="B34" s="325"/>
      <c r="C34" s="322"/>
      <c r="D34" s="322"/>
      <c r="E34" s="350">
        <f t="shared" si="3"/>
        <v>0</v>
      </c>
      <c r="F34" s="322"/>
      <c r="G34" s="322"/>
      <c r="H34" s="353">
        <f t="shared" si="4"/>
        <v>0</v>
      </c>
    </row>
    <row r="35" spans="1:8" s="319" customFormat="1" ht="17.100000000000001" customHeight="1">
      <c r="A35" s="324" t="s">
        <v>277</v>
      </c>
      <c r="B35" s="325"/>
      <c r="C35" s="322"/>
      <c r="D35" s="322"/>
      <c r="E35" s="350">
        <f t="shared" si="3"/>
        <v>0</v>
      </c>
      <c r="F35" s="322"/>
      <c r="G35" s="322"/>
      <c r="H35" s="353">
        <f t="shared" si="4"/>
        <v>0</v>
      </c>
    </row>
    <row r="36" spans="1:8" ht="17.100000000000001" customHeight="1">
      <c r="A36" s="790" t="s">
        <v>278</v>
      </c>
      <c r="B36" s="791"/>
      <c r="C36" s="326"/>
      <c r="D36" s="326"/>
      <c r="E36" s="351">
        <f>SUM(E37:E38)</f>
        <v>0</v>
      </c>
      <c r="F36" s="326"/>
      <c r="G36" s="326"/>
      <c r="H36" s="354">
        <f>SUM(H37:H38)</f>
        <v>0</v>
      </c>
    </row>
    <row r="37" spans="1:8" ht="17.100000000000001" customHeight="1">
      <c r="A37" s="716"/>
      <c r="B37" s="327" t="s">
        <v>276</v>
      </c>
      <c r="C37" s="328"/>
      <c r="D37" s="328"/>
      <c r="E37" s="350">
        <f t="shared" si="3"/>
        <v>0</v>
      </c>
      <c r="F37" s="328"/>
      <c r="G37" s="328"/>
      <c r="H37" s="353">
        <f t="shared" si="4"/>
        <v>0</v>
      </c>
    </row>
    <row r="38" spans="1:8" ht="17.100000000000001" customHeight="1">
      <c r="A38" s="716"/>
      <c r="B38" s="327" t="s">
        <v>277</v>
      </c>
      <c r="C38" s="328"/>
      <c r="D38" s="328"/>
      <c r="E38" s="350">
        <f t="shared" si="3"/>
        <v>0</v>
      </c>
      <c r="F38" s="328"/>
      <c r="G38" s="328"/>
      <c r="H38" s="353">
        <f t="shared" si="4"/>
        <v>0</v>
      </c>
    </row>
    <row r="39" spans="1:8" s="319" customFormat="1">
      <c r="A39" s="320" t="s">
        <v>85</v>
      </c>
      <c r="B39" s="321"/>
      <c r="C39" s="322"/>
      <c r="D39" s="322"/>
      <c r="E39" s="350">
        <f t="shared" si="3"/>
        <v>0</v>
      </c>
      <c r="F39" s="322"/>
      <c r="G39" s="322"/>
      <c r="H39" s="353">
        <f t="shared" si="4"/>
        <v>0</v>
      </c>
    </row>
    <row r="40" spans="1:8" s="319" customFormat="1" ht="27.75" customHeight="1">
      <c r="A40" s="790" t="s">
        <v>288</v>
      </c>
      <c r="B40" s="791"/>
      <c r="C40" s="322"/>
      <c r="D40" s="322"/>
      <c r="E40" s="350">
        <f t="shared" si="3"/>
        <v>0</v>
      </c>
      <c r="F40" s="322"/>
      <c r="G40" s="322"/>
      <c r="H40" s="353">
        <f t="shared" si="4"/>
        <v>0</v>
      </c>
    </row>
    <row r="41" spans="1:8" s="319" customFormat="1" ht="8.25" customHeight="1">
      <c r="A41" s="329"/>
      <c r="B41" s="330"/>
      <c r="C41" s="322"/>
      <c r="D41" s="322"/>
      <c r="E41" s="350"/>
      <c r="F41" s="322"/>
      <c r="G41" s="322"/>
      <c r="H41" s="353"/>
    </row>
    <row r="42" spans="1:8" s="319" customFormat="1" ht="17.100000000000001" customHeight="1">
      <c r="A42" s="329" t="s">
        <v>289</v>
      </c>
      <c r="B42" s="330"/>
      <c r="C42" s="348">
        <f t="shared" ref="C42:D42" si="5">SUM(C43:C46)</f>
        <v>2955207969.7600002</v>
      </c>
      <c r="D42" s="348">
        <f t="shared" si="5"/>
        <v>0</v>
      </c>
      <c r="E42" s="348">
        <f>SUM(E43:E46)</f>
        <v>2955207969.7600002</v>
      </c>
      <c r="F42" s="348">
        <f>SUM(F43:F46)</f>
        <v>1819482183.46</v>
      </c>
      <c r="G42" s="348">
        <f>SUM(G43:G46)</f>
        <v>1819482183.46</v>
      </c>
      <c r="H42" s="348">
        <f>SUM(H43:H46)</f>
        <v>-1135725786.3000002</v>
      </c>
    </row>
    <row r="43" spans="1:8" s="319" customFormat="1" ht="17.100000000000001" customHeight="1">
      <c r="A43" s="331"/>
      <c r="B43" s="332" t="s">
        <v>290</v>
      </c>
      <c r="C43" s="322"/>
      <c r="D43" s="322"/>
      <c r="E43" s="350">
        <f t="shared" si="3"/>
        <v>0</v>
      </c>
      <c r="F43" s="322"/>
      <c r="G43" s="322"/>
      <c r="H43" s="353">
        <f t="shared" si="4"/>
        <v>0</v>
      </c>
    </row>
    <row r="44" spans="1:8" s="319" customFormat="1" ht="17.100000000000001" customHeight="1">
      <c r="A44" s="331"/>
      <c r="B44" s="332" t="s">
        <v>291</v>
      </c>
      <c r="C44" s="298">
        <v>72185555</v>
      </c>
      <c r="D44" s="322"/>
      <c r="E44" s="350">
        <f t="shared" si="3"/>
        <v>72185555</v>
      </c>
      <c r="F44" s="298">
        <v>69595172</v>
      </c>
      <c r="G44" s="298">
        <v>69595172</v>
      </c>
      <c r="H44" s="353">
        <f t="shared" si="4"/>
        <v>-2590383</v>
      </c>
    </row>
    <row r="45" spans="1:8" s="319" customFormat="1" ht="29.25" customHeight="1">
      <c r="A45" s="331"/>
      <c r="B45" s="333" t="s">
        <v>292</v>
      </c>
      <c r="C45" s="298">
        <v>2121161651</v>
      </c>
      <c r="D45" s="322"/>
      <c r="E45" s="350">
        <f t="shared" si="3"/>
        <v>2121161651</v>
      </c>
      <c r="F45" s="298">
        <v>1313296936.8099999</v>
      </c>
      <c r="G45" s="298">
        <v>1313296936.8099999</v>
      </c>
      <c r="H45" s="353">
        <f t="shared" si="4"/>
        <v>-807864714.19000006</v>
      </c>
    </row>
    <row r="46" spans="1:8" s="319" customFormat="1" ht="29.25" customHeight="1">
      <c r="A46" s="331"/>
      <c r="B46" s="333" t="s">
        <v>293</v>
      </c>
      <c r="C46" s="298">
        <v>761860763.75999999</v>
      </c>
      <c r="D46" s="322"/>
      <c r="E46" s="350">
        <f t="shared" si="3"/>
        <v>761860763.75999999</v>
      </c>
      <c r="F46" s="298">
        <v>436590074.64999998</v>
      </c>
      <c r="G46" s="298">
        <v>436590074.64999998</v>
      </c>
      <c r="H46" s="353">
        <f t="shared" si="4"/>
        <v>-325270689.11000001</v>
      </c>
    </row>
    <row r="47" spans="1:8" s="319" customFormat="1" ht="6" customHeight="1">
      <c r="A47" s="331"/>
      <c r="B47" s="332"/>
      <c r="C47" s="298"/>
      <c r="D47" s="322"/>
      <c r="E47" s="350"/>
      <c r="F47" s="298"/>
      <c r="G47" s="322"/>
      <c r="H47" s="353"/>
    </row>
    <row r="48" spans="1:8" s="319" customFormat="1" ht="17.100000000000001" customHeight="1">
      <c r="A48" s="329" t="s">
        <v>294</v>
      </c>
      <c r="B48" s="330"/>
      <c r="C48" s="348">
        <f>C49</f>
        <v>0</v>
      </c>
      <c r="D48" s="348">
        <f t="shared" ref="D48:H48" si="6">D49</f>
        <v>0</v>
      </c>
      <c r="E48" s="348">
        <f t="shared" si="6"/>
        <v>0</v>
      </c>
      <c r="F48" s="348">
        <f t="shared" si="6"/>
        <v>0</v>
      </c>
      <c r="G48" s="348">
        <f t="shared" si="6"/>
        <v>0</v>
      </c>
      <c r="H48" s="348">
        <f t="shared" si="6"/>
        <v>0</v>
      </c>
    </row>
    <row r="49" spans="1:8" s="319" customFormat="1" ht="17.100000000000001" customHeight="1">
      <c r="A49" s="329"/>
      <c r="B49" s="334" t="s">
        <v>282</v>
      </c>
      <c r="C49" s="322"/>
      <c r="D49" s="322"/>
      <c r="E49" s="350">
        <f t="shared" si="3"/>
        <v>0</v>
      </c>
      <c r="F49" s="322"/>
      <c r="G49" s="322"/>
      <c r="H49" s="353">
        <f t="shared" si="4"/>
        <v>0</v>
      </c>
    </row>
    <row r="50" spans="1:8" s="319" customFormat="1" ht="12.75" customHeight="1" thickBot="1">
      <c r="A50" s="335"/>
      <c r="B50" s="336"/>
      <c r="C50" s="337"/>
      <c r="D50" s="337"/>
      <c r="E50" s="352"/>
      <c r="F50" s="337"/>
      <c r="G50" s="337"/>
      <c r="H50" s="338"/>
    </row>
    <row r="51" spans="1:8" ht="21.75" customHeight="1" thickBot="1">
      <c r="A51" s="782" t="s">
        <v>137</v>
      </c>
      <c r="B51" s="783"/>
      <c r="C51" s="349">
        <f>C29+C42+C48</f>
        <v>2955207969.7600002</v>
      </c>
      <c r="D51" s="349">
        <f t="shared" ref="D51:H51" si="7">D29+D42+D48</f>
        <v>0</v>
      </c>
      <c r="E51" s="349">
        <f t="shared" si="7"/>
        <v>2955207969.7600002</v>
      </c>
      <c r="F51" s="349">
        <f t="shared" si="7"/>
        <v>1819482183.46</v>
      </c>
      <c r="G51" s="349">
        <f t="shared" si="7"/>
        <v>1819482183.46</v>
      </c>
      <c r="H51" s="349">
        <f t="shared" si="7"/>
        <v>-1135725786.3000002</v>
      </c>
    </row>
    <row r="52" spans="1:8" ht="22.5" customHeight="1" thickBot="1">
      <c r="A52" s="303"/>
      <c r="B52" s="303"/>
      <c r="C52" s="339"/>
      <c r="D52" s="339"/>
      <c r="E52" s="339"/>
      <c r="F52" s="340"/>
      <c r="G52" s="672" t="s">
        <v>283</v>
      </c>
      <c r="H52" s="673" t="str">
        <f>IF(($G$51-$C$51)&lt;=0,"",$G$51-$C$51)</f>
        <v/>
      </c>
    </row>
    <row r="53" spans="1:8" ht="8.25" customHeight="1">
      <c r="A53" s="341"/>
      <c r="B53" s="170"/>
    </row>
    <row r="54" spans="1:8">
      <c r="A54" s="356"/>
      <c r="B54" s="170"/>
      <c r="H54" s="669"/>
    </row>
    <row r="55" spans="1:8">
      <c r="A55" s="357"/>
      <c r="B55" s="358" t="s">
        <v>295</v>
      </c>
      <c r="C55" s="359"/>
      <c r="D55" s="359"/>
      <c r="E55" s="359"/>
      <c r="F55" s="359"/>
      <c r="G55" s="359"/>
      <c r="H55" s="359"/>
    </row>
    <row r="56" spans="1:8">
      <c r="A56" s="357"/>
      <c r="B56" s="358" t="s">
        <v>296</v>
      </c>
      <c r="C56" s="359"/>
      <c r="D56" s="359"/>
      <c r="E56" s="359"/>
      <c r="F56" s="359"/>
      <c r="G56" s="359"/>
      <c r="H56" s="359"/>
    </row>
    <row r="57" spans="1:8">
      <c r="A57" s="357"/>
      <c r="B57" s="358"/>
      <c r="C57" s="359"/>
      <c r="D57" s="359"/>
      <c r="E57" s="359"/>
      <c r="F57" s="359"/>
      <c r="G57" s="359"/>
      <c r="H57" s="359"/>
    </row>
  </sheetData>
  <sheetProtection sheet="1" objects="1" scenarios="1" insertHyperlinks="0"/>
  <mergeCells count="12">
    <mergeCell ref="A51:B51"/>
    <mergeCell ref="A1:H1"/>
    <mergeCell ref="A2:H2"/>
    <mergeCell ref="A3:H3"/>
    <mergeCell ref="A4:H4"/>
    <mergeCell ref="A6:B7"/>
    <mergeCell ref="A24:B24"/>
    <mergeCell ref="A32:B32"/>
    <mergeCell ref="A36:B36"/>
    <mergeCell ref="A40:B40"/>
    <mergeCell ref="A27:B27"/>
    <mergeCell ref="C5:G5"/>
  </mergeCells>
  <printOptions horizontalCentered="1"/>
  <pageMargins left="0.39370078740157483" right="0.39370078740157483" top="0.39370078740157483" bottom="0.51181102362204722" header="0.31496062992125984" footer="0.31496062992125984"/>
  <pageSetup scale="98" fitToHeight="2" orientation="landscape" r:id="rId1"/>
  <headerFooter>
    <oddFooter>&amp;RHoja &amp;P de &amp;N</oddFooter>
  </headerFooter>
  <rowBreaks count="1" manualBreakCount="1">
    <brk id="26" max="8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tabColor theme="9" tint="-0.249977111117893"/>
    <pageSetUpPr fitToPage="1"/>
  </sheetPr>
  <dimension ref="A1:E23"/>
  <sheetViews>
    <sheetView zoomScaleSheetLayoutView="100" workbookViewId="0">
      <selection activeCell="D13" sqref="D13"/>
    </sheetView>
  </sheetViews>
  <sheetFormatPr baseColWidth="10" defaultColWidth="11.42578125" defaultRowHeight="16.5"/>
  <cols>
    <col min="1" max="1" width="1.42578125" style="170" customWidth="1"/>
    <col min="2" max="2" width="43.85546875" style="170" customWidth="1"/>
    <col min="3" max="4" width="25.7109375" style="170" customWidth="1"/>
    <col min="5" max="5" width="62" style="355" customWidth="1"/>
    <col min="6" max="16384" width="11.42578125" style="170"/>
  </cols>
  <sheetData>
    <row r="1" spans="1:5">
      <c r="A1" s="745" t="s">
        <v>0</v>
      </c>
      <c r="B1" s="745"/>
      <c r="C1" s="745"/>
      <c r="D1" s="745"/>
    </row>
    <row r="2" spans="1:5" s="231" customFormat="1" ht="15.75">
      <c r="A2" s="745" t="s">
        <v>297</v>
      </c>
      <c r="B2" s="745"/>
      <c r="C2" s="745"/>
      <c r="D2" s="745"/>
      <c r="E2" s="633" t="s">
        <v>68</v>
      </c>
    </row>
    <row r="3" spans="1:5" s="231" customFormat="1">
      <c r="A3" s="746" t="s">
        <v>260</v>
      </c>
      <c r="B3" s="746"/>
      <c r="C3" s="746"/>
      <c r="D3" s="746"/>
      <c r="E3" s="632"/>
    </row>
    <row r="4" spans="1:5" s="231" customFormat="1">
      <c r="A4" s="746" t="s">
        <v>922</v>
      </c>
      <c r="B4" s="746"/>
      <c r="C4" s="746"/>
      <c r="D4" s="746"/>
      <c r="E4" s="632"/>
    </row>
    <row r="5" spans="1:5" s="233" customFormat="1" ht="17.25" thickBot="1">
      <c r="A5" s="232"/>
      <c r="B5" s="747" t="s">
        <v>298</v>
      </c>
      <c r="C5" s="747"/>
      <c r="D5" s="360" t="s">
        <v>921</v>
      </c>
      <c r="E5" s="634"/>
    </row>
    <row r="6" spans="1:5" s="234" customFormat="1" ht="27" customHeight="1" thickBot="1">
      <c r="A6" s="794" t="s">
        <v>300</v>
      </c>
      <c r="B6" s="795"/>
      <c r="C6" s="368"/>
      <c r="D6" s="369">
        <f>'ETCA-II-10 '!F24</f>
        <v>1819482183.46</v>
      </c>
      <c r="E6" s="635" t="str">
        <f>IF(D6&lt;&gt;'ETCA-II-10 '!F24,"ERROR!!!!! EL MONTO NO COINCIDE CON LO REPORTADO EN EL FORMATO ETCA-II-10 EN EL TOTAL DE INGRESOS DEVEGADO ANUAL","")</f>
        <v/>
      </c>
    </row>
    <row r="7" spans="1:5" s="363" customFormat="1" ht="9.75" customHeight="1">
      <c r="A7" s="381"/>
      <c r="B7" s="361"/>
      <c r="C7" s="362"/>
      <c r="D7" s="383"/>
      <c r="E7" s="636"/>
    </row>
    <row r="8" spans="1:5" s="363" customFormat="1" ht="17.25" customHeight="1" thickBot="1">
      <c r="A8" s="382" t="s">
        <v>301</v>
      </c>
      <c r="B8" s="364"/>
      <c r="C8" s="384"/>
      <c r="D8" s="384"/>
      <c r="E8" s="636"/>
    </row>
    <row r="9" spans="1:5" ht="20.100000000000001" customHeight="1" thickBot="1">
      <c r="A9" s="370" t="s">
        <v>302</v>
      </c>
      <c r="B9" s="371"/>
      <c r="C9" s="372"/>
      <c r="D9" s="373">
        <f>SUM(C10:C14)</f>
        <v>0</v>
      </c>
      <c r="E9" s="635"/>
    </row>
    <row r="10" spans="1:5" ht="20.100000000000001" customHeight="1">
      <c r="A10" s="237"/>
      <c r="B10" s="390" t="s">
        <v>303</v>
      </c>
      <c r="C10" s="374"/>
      <c r="D10" s="637"/>
      <c r="E10" s="635"/>
    </row>
    <row r="11" spans="1:5" ht="33" customHeight="1">
      <c r="A11" s="237"/>
      <c r="B11" s="391" t="s">
        <v>304</v>
      </c>
      <c r="C11" s="374"/>
      <c r="D11" s="637"/>
      <c r="E11" s="635"/>
    </row>
    <row r="12" spans="1:5" ht="20.100000000000001" customHeight="1">
      <c r="A12" s="238"/>
      <c r="B12" s="391" t="s">
        <v>305</v>
      </c>
      <c r="C12" s="374"/>
      <c r="D12" s="637"/>
      <c r="E12" s="635"/>
    </row>
    <row r="13" spans="1:5" ht="20.100000000000001" customHeight="1">
      <c r="A13" s="238"/>
      <c r="B13" s="391" t="s">
        <v>306</v>
      </c>
      <c r="C13" s="374"/>
      <c r="D13" s="637"/>
      <c r="E13" s="635"/>
    </row>
    <row r="14" spans="1:5" ht="24.75" customHeight="1" thickBot="1">
      <c r="A14" s="365" t="s">
        <v>307</v>
      </c>
      <c r="B14" s="394"/>
      <c r="C14" s="375"/>
      <c r="D14" s="638"/>
      <c r="E14" s="635"/>
    </row>
    <row r="15" spans="1:5" ht="7.5" customHeight="1">
      <c r="A15" s="395"/>
      <c r="B15" s="385"/>
      <c r="C15" s="386"/>
      <c r="D15" s="387"/>
      <c r="E15" s="635"/>
    </row>
    <row r="16" spans="1:5" ht="20.100000000000001" customHeight="1" thickBot="1">
      <c r="A16" s="396" t="s">
        <v>308</v>
      </c>
      <c r="B16" s="388"/>
      <c r="C16" s="389"/>
      <c r="D16" s="366"/>
      <c r="E16" s="635"/>
    </row>
    <row r="17" spans="1:5" ht="20.100000000000001" customHeight="1" thickBot="1">
      <c r="A17" s="370" t="s">
        <v>309</v>
      </c>
      <c r="B17" s="371"/>
      <c r="C17" s="372"/>
      <c r="D17" s="373">
        <f>SUM(C18:C22)</f>
        <v>0</v>
      </c>
      <c r="E17" s="635"/>
    </row>
    <row r="18" spans="1:5" ht="20.100000000000001" customHeight="1">
      <c r="A18" s="238"/>
      <c r="B18" s="390" t="s">
        <v>310</v>
      </c>
      <c r="C18" s="376"/>
      <c r="D18" s="637"/>
      <c r="E18" s="635"/>
    </row>
    <row r="19" spans="1:5" ht="20.100000000000001" customHeight="1">
      <c r="A19" s="238"/>
      <c r="B19" s="391" t="s">
        <v>311</v>
      </c>
      <c r="C19" s="376"/>
      <c r="D19" s="637"/>
      <c r="E19" s="635"/>
    </row>
    <row r="20" spans="1:5" ht="20.100000000000001" customHeight="1">
      <c r="A20" s="238"/>
      <c r="B20" s="391" t="s">
        <v>312</v>
      </c>
      <c r="C20" s="376"/>
      <c r="D20" s="637"/>
      <c r="E20" s="635"/>
    </row>
    <row r="21" spans="1:5" ht="20.100000000000001" customHeight="1">
      <c r="A21" s="367" t="s">
        <v>313</v>
      </c>
      <c r="B21" s="392"/>
      <c r="C21" s="376"/>
      <c r="D21" s="637"/>
      <c r="E21" s="635"/>
    </row>
    <row r="22" spans="1:5" ht="20.100000000000001" customHeight="1" thickBot="1">
      <c r="A22" s="238"/>
      <c r="B22" s="393"/>
      <c r="C22" s="377"/>
      <c r="D22" s="637"/>
      <c r="E22" s="635"/>
    </row>
    <row r="23" spans="1:5" ht="26.25" customHeight="1" thickBot="1">
      <c r="A23" s="378" t="s">
        <v>314</v>
      </c>
      <c r="B23" s="379"/>
      <c r="C23" s="380"/>
      <c r="D23" s="369">
        <f>D6+D9-D17</f>
        <v>1819482183.46</v>
      </c>
      <c r="E23" s="635" t="str">
        <f>IF(D23&lt;&gt;'ETCA-I-02'!C27,"ERROR!!!!! EL MONTO NO COINCIDE CON LO REPORTADO EN EL FORMATO ETCA-I-02 EN EL TOTAL DE INGRESOS Y OTROS BENEFICIOS","")</f>
        <v>ERROR!!!!! EL MONTO NO COINCIDE CON LO REPORTADO EN EL FORMATO ETCA-I-02 EN EL TOTAL DE INGRESOS Y OTROS BENEFICIOS</v>
      </c>
    </row>
  </sheetData>
  <sheetProtection sheet="1" objects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81"/>
  <sheetViews>
    <sheetView topLeftCell="A55" zoomScale="110" zoomScaleNormal="110" zoomScaleSheetLayoutView="100" workbookViewId="0">
      <selection activeCell="E69" sqref="E69"/>
    </sheetView>
  </sheetViews>
  <sheetFormatPr baseColWidth="10" defaultColWidth="11.42578125" defaultRowHeight="16.5"/>
  <cols>
    <col min="1" max="1" width="52.28515625" style="170" bestFit="1" customWidth="1"/>
    <col min="2" max="7" width="13.7109375" style="170" customWidth="1"/>
    <col min="8" max="16384" width="11.42578125" style="170"/>
  </cols>
  <sheetData>
    <row r="1" spans="1:7">
      <c r="A1" s="745" t="s">
        <v>0</v>
      </c>
      <c r="B1" s="745"/>
      <c r="C1" s="745"/>
      <c r="D1" s="745"/>
      <c r="E1" s="745"/>
      <c r="F1" s="745"/>
      <c r="G1" s="745"/>
    </row>
    <row r="2" spans="1:7" s="231" customFormat="1" ht="15.75">
      <c r="A2" s="745" t="s">
        <v>315</v>
      </c>
      <c r="B2" s="745"/>
      <c r="C2" s="745"/>
      <c r="D2" s="745"/>
      <c r="E2" s="745"/>
      <c r="F2" s="745"/>
      <c r="G2" s="745"/>
    </row>
    <row r="3" spans="1:7" s="231" customFormat="1" ht="15.75">
      <c r="A3" s="745" t="s">
        <v>316</v>
      </c>
      <c r="B3" s="745"/>
      <c r="C3" s="745"/>
      <c r="D3" s="745"/>
      <c r="E3" s="745"/>
      <c r="F3" s="745"/>
      <c r="G3" s="745"/>
    </row>
    <row r="4" spans="1:7" s="231" customFormat="1">
      <c r="A4" s="746" t="s">
        <v>3</v>
      </c>
      <c r="B4" s="746"/>
      <c r="C4" s="746"/>
      <c r="D4" s="746"/>
      <c r="E4" s="746"/>
      <c r="F4" s="746"/>
      <c r="G4" s="746"/>
    </row>
    <row r="5" spans="1:7" s="231" customFormat="1">
      <c r="A5" s="746" t="s">
        <v>317</v>
      </c>
      <c r="B5" s="746"/>
      <c r="C5" s="746"/>
      <c r="D5" s="746"/>
      <c r="E5" s="746"/>
      <c r="F5" s="746"/>
      <c r="G5" s="746"/>
    </row>
    <row r="6" spans="1:7" s="233" customFormat="1" ht="17.25" thickBot="1">
      <c r="A6" s="232"/>
      <c r="C6" s="712" t="s">
        <v>5</v>
      </c>
      <c r="D6" s="712"/>
      <c r="E6" s="712"/>
      <c r="F6" s="360" t="s">
        <v>6</v>
      </c>
      <c r="G6" s="233" t="s">
        <v>318</v>
      </c>
    </row>
    <row r="7" spans="1:7" s="399" customFormat="1" ht="36">
      <c r="A7" s="796" t="s">
        <v>319</v>
      </c>
      <c r="B7" s="397" t="s">
        <v>320</v>
      </c>
      <c r="C7" s="397" t="s">
        <v>321</v>
      </c>
      <c r="D7" s="410" t="s">
        <v>322</v>
      </c>
      <c r="E7" s="398" t="s">
        <v>323</v>
      </c>
      <c r="F7" s="398" t="s">
        <v>324</v>
      </c>
      <c r="G7" s="648" t="s">
        <v>325</v>
      </c>
    </row>
    <row r="8" spans="1:7" s="402" customFormat="1" ht="13.5" thickBot="1">
      <c r="A8" s="797"/>
      <c r="B8" s="400" t="s">
        <v>268</v>
      </c>
      <c r="C8" s="400" t="s">
        <v>269</v>
      </c>
      <c r="D8" s="411" t="s">
        <v>326</v>
      </c>
      <c r="E8" s="401" t="s">
        <v>271</v>
      </c>
      <c r="F8" s="401" t="s">
        <v>272</v>
      </c>
      <c r="G8" s="649" t="s">
        <v>327</v>
      </c>
    </row>
    <row r="9" spans="1:7" s="404" customFormat="1" ht="16.5" customHeight="1">
      <c r="A9" s="406" t="s">
        <v>96</v>
      </c>
      <c r="B9" s="412">
        <f>SUM(B10:B16)</f>
        <v>2184163430</v>
      </c>
      <c r="C9" s="412">
        <f>SUM(C10:C16)</f>
        <v>-146518679.25999999</v>
      </c>
      <c r="D9" s="412">
        <f>B9+C9</f>
        <v>2037644750.74</v>
      </c>
      <c r="E9" s="412">
        <f>SUM(E10:E16)</f>
        <v>0</v>
      </c>
      <c r="F9" s="412">
        <f>SUM(F10:F16)</f>
        <v>490065595.56</v>
      </c>
      <c r="G9" s="650">
        <f>D9-E9</f>
        <v>2037644750.74</v>
      </c>
    </row>
    <row r="10" spans="1:7" s="404" customFormat="1" ht="14.25">
      <c r="A10" s="407" t="s">
        <v>328</v>
      </c>
      <c r="B10" s="403">
        <v>990651514</v>
      </c>
      <c r="C10" s="403">
        <v>-47573477.469999999</v>
      </c>
      <c r="D10" s="412">
        <f t="shared" ref="D10:D72" si="0">B10+C10</f>
        <v>943078036.52999997</v>
      </c>
      <c r="E10" s="403">
        <v>0</v>
      </c>
      <c r="F10" s="403">
        <v>212573590.06999999</v>
      </c>
      <c r="G10" s="650">
        <f t="shared" ref="G10:G73" si="1">D10-E10</f>
        <v>943078036.52999997</v>
      </c>
    </row>
    <row r="11" spans="1:7" s="404" customFormat="1" ht="14.25">
      <c r="A11" s="407" t="s">
        <v>329</v>
      </c>
      <c r="B11" s="403">
        <v>336192039.56999999</v>
      </c>
      <c r="C11" s="403">
        <v>-115984807.84</v>
      </c>
      <c r="D11" s="412">
        <f t="shared" si="0"/>
        <v>220207231.72999999</v>
      </c>
      <c r="E11" s="403">
        <v>0</v>
      </c>
      <c r="F11" s="403">
        <v>58106758.980000004</v>
      </c>
      <c r="G11" s="650">
        <f t="shared" si="1"/>
        <v>220207231.72999999</v>
      </c>
    </row>
    <row r="12" spans="1:7" s="404" customFormat="1" ht="14.25">
      <c r="A12" s="407" t="s">
        <v>330</v>
      </c>
      <c r="B12" s="403">
        <v>105064162.59</v>
      </c>
      <c r="C12" s="403">
        <v>-3139155.56</v>
      </c>
      <c r="D12" s="412">
        <f t="shared" si="0"/>
        <v>101925007.03</v>
      </c>
      <c r="E12" s="403">
        <v>0</v>
      </c>
      <c r="F12" s="403">
        <v>30921072.530000001</v>
      </c>
      <c r="G12" s="650">
        <f t="shared" si="1"/>
        <v>101925007.03</v>
      </c>
    </row>
    <row r="13" spans="1:7" s="404" customFormat="1" ht="14.25">
      <c r="A13" s="407" t="s">
        <v>331</v>
      </c>
      <c r="B13" s="403">
        <v>206867062.84</v>
      </c>
      <c r="C13" s="403">
        <v>-16133211.140000001</v>
      </c>
      <c r="D13" s="412">
        <f t="shared" si="0"/>
        <v>190733851.69999999</v>
      </c>
      <c r="E13" s="403">
        <v>0</v>
      </c>
      <c r="F13" s="403">
        <v>34464098.280000001</v>
      </c>
      <c r="G13" s="650">
        <f t="shared" si="1"/>
        <v>190733851.69999999</v>
      </c>
    </row>
    <row r="14" spans="1:7" s="404" customFormat="1" ht="14.25">
      <c r="A14" s="407" t="s">
        <v>332</v>
      </c>
      <c r="B14" s="403">
        <v>477122333</v>
      </c>
      <c r="C14" s="403">
        <v>18378288.379999999</v>
      </c>
      <c r="D14" s="412">
        <f t="shared" si="0"/>
        <v>495500621.38</v>
      </c>
      <c r="E14" s="403">
        <v>0</v>
      </c>
      <c r="F14" s="403">
        <v>128354212.25</v>
      </c>
      <c r="G14" s="650">
        <f t="shared" si="1"/>
        <v>495500621.38</v>
      </c>
    </row>
    <row r="15" spans="1:7" s="404" customFormat="1" ht="14.25">
      <c r="A15" s="407" t="s">
        <v>333</v>
      </c>
      <c r="B15" s="403"/>
      <c r="C15" s="403"/>
      <c r="D15" s="412">
        <f t="shared" si="0"/>
        <v>0</v>
      </c>
      <c r="E15" s="403"/>
      <c r="F15" s="403"/>
      <c r="G15" s="650">
        <f t="shared" si="1"/>
        <v>0</v>
      </c>
    </row>
    <row r="16" spans="1:7" s="404" customFormat="1" ht="14.25">
      <c r="A16" s="407" t="s">
        <v>334</v>
      </c>
      <c r="B16" s="403">
        <v>68266318</v>
      </c>
      <c r="C16" s="403">
        <v>17933684.370000001</v>
      </c>
      <c r="D16" s="412">
        <f t="shared" si="0"/>
        <v>86200002.370000005</v>
      </c>
      <c r="E16" s="403">
        <v>0</v>
      </c>
      <c r="F16" s="403">
        <v>25645863.449999999</v>
      </c>
      <c r="G16" s="650">
        <f t="shared" si="1"/>
        <v>86200002.370000005</v>
      </c>
    </row>
    <row r="17" spans="1:7" s="404" customFormat="1" ht="16.5" customHeight="1">
      <c r="A17" s="408" t="s">
        <v>97</v>
      </c>
      <c r="B17" s="412">
        <f>SUM(B18:B26)</f>
        <v>455375965.75</v>
      </c>
      <c r="C17" s="412">
        <f>SUM(C18:C26)</f>
        <v>23006354.319999997</v>
      </c>
      <c r="D17" s="412">
        <f>B17+C17</f>
        <v>478382320.06999999</v>
      </c>
      <c r="E17" s="412">
        <f>SUM(E18:E26)</f>
        <v>1636783.79</v>
      </c>
      <c r="F17" s="412">
        <f>SUM(F18:F26)</f>
        <v>6727888.9900000002</v>
      </c>
      <c r="G17" s="650">
        <f t="shared" si="1"/>
        <v>476745536.27999997</v>
      </c>
    </row>
    <row r="18" spans="1:7" s="404" customFormat="1" ht="30" customHeight="1">
      <c r="A18" s="407" t="s">
        <v>335</v>
      </c>
      <c r="B18" s="403">
        <v>19022525.68</v>
      </c>
      <c r="C18" s="403">
        <v>14755856.75</v>
      </c>
      <c r="D18" s="412">
        <f t="shared" si="0"/>
        <v>33778382.43</v>
      </c>
      <c r="E18" s="403">
        <v>116490.96</v>
      </c>
      <c r="F18" s="403">
        <v>419824.51</v>
      </c>
      <c r="G18" s="650">
        <f t="shared" si="1"/>
        <v>33661891.469999999</v>
      </c>
    </row>
    <row r="19" spans="1:7" s="404" customFormat="1" ht="14.25">
      <c r="A19" s="407" t="s">
        <v>336</v>
      </c>
      <c r="B19" s="403">
        <v>49647195</v>
      </c>
      <c r="C19" s="403">
        <v>-29118569.719999999</v>
      </c>
      <c r="D19" s="412">
        <f t="shared" si="0"/>
        <v>20528625.280000001</v>
      </c>
      <c r="E19" s="403">
        <v>25010.73</v>
      </c>
      <c r="F19" s="403">
        <v>585288.9</v>
      </c>
      <c r="G19" s="650">
        <f t="shared" si="1"/>
        <v>20503614.550000001</v>
      </c>
    </row>
    <row r="20" spans="1:7" s="404" customFormat="1" ht="14.25">
      <c r="A20" s="407" t="s">
        <v>337</v>
      </c>
      <c r="B20" s="403">
        <v>11072</v>
      </c>
      <c r="C20" s="403">
        <v>-3638.54</v>
      </c>
      <c r="D20" s="412">
        <f t="shared" si="0"/>
        <v>7433.46</v>
      </c>
      <c r="E20" s="403">
        <v>0</v>
      </c>
      <c r="F20" s="403">
        <v>0</v>
      </c>
      <c r="G20" s="650">
        <f t="shared" si="1"/>
        <v>7433.46</v>
      </c>
    </row>
    <row r="21" spans="1:7" s="404" customFormat="1" ht="14.25">
      <c r="A21" s="407" t="s">
        <v>338</v>
      </c>
      <c r="B21" s="403">
        <v>2883821</v>
      </c>
      <c r="C21" s="403">
        <v>-118599.06</v>
      </c>
      <c r="D21" s="412">
        <f t="shared" si="0"/>
        <v>2765221.94</v>
      </c>
      <c r="E21" s="403">
        <v>9569.01</v>
      </c>
      <c r="F21" s="403">
        <v>60313.79</v>
      </c>
      <c r="G21" s="650">
        <f t="shared" si="1"/>
        <v>2755652.93</v>
      </c>
    </row>
    <row r="22" spans="1:7" s="404" customFormat="1" ht="14.25">
      <c r="A22" s="407" t="s">
        <v>339</v>
      </c>
      <c r="B22" s="403">
        <v>340334401.99000001</v>
      </c>
      <c r="C22" s="403">
        <v>33852258.579999998</v>
      </c>
      <c r="D22" s="412">
        <f t="shared" si="0"/>
        <v>374186660.56999999</v>
      </c>
      <c r="E22" s="403">
        <v>1299529.21</v>
      </c>
      <c r="F22" s="403">
        <v>1537436.04</v>
      </c>
      <c r="G22" s="650">
        <f t="shared" si="1"/>
        <v>372887131.36000001</v>
      </c>
    </row>
    <row r="23" spans="1:7" s="404" customFormat="1" ht="14.25">
      <c r="A23" s="407" t="s">
        <v>340</v>
      </c>
      <c r="B23" s="403">
        <v>23936715</v>
      </c>
      <c r="C23" s="403">
        <v>2745125.83</v>
      </c>
      <c r="D23" s="412">
        <f t="shared" si="0"/>
        <v>26681840.829999998</v>
      </c>
      <c r="E23" s="403">
        <v>120595.43</v>
      </c>
      <c r="F23" s="403">
        <v>3945283.38</v>
      </c>
      <c r="G23" s="650">
        <f t="shared" si="1"/>
        <v>26561245.399999999</v>
      </c>
    </row>
    <row r="24" spans="1:7" s="404" customFormat="1" ht="14.25">
      <c r="A24" s="407" t="s">
        <v>341</v>
      </c>
      <c r="B24" s="403">
        <v>14955024.08</v>
      </c>
      <c r="C24" s="403">
        <v>-794874.02</v>
      </c>
      <c r="D24" s="412">
        <f t="shared" si="0"/>
        <v>14160150.060000001</v>
      </c>
      <c r="E24" s="403">
        <v>43479.12</v>
      </c>
      <c r="F24" s="403">
        <v>78979.08</v>
      </c>
      <c r="G24" s="650">
        <f t="shared" si="1"/>
        <v>14116670.940000001</v>
      </c>
    </row>
    <row r="25" spans="1:7" s="404" customFormat="1" ht="14.25">
      <c r="A25" s="407" t="s">
        <v>342</v>
      </c>
      <c r="B25" s="403">
        <v>0</v>
      </c>
      <c r="C25" s="403">
        <v>279</v>
      </c>
      <c r="D25" s="412">
        <f t="shared" si="0"/>
        <v>279</v>
      </c>
      <c r="E25" s="403">
        <v>0</v>
      </c>
      <c r="F25" s="403">
        <v>0</v>
      </c>
      <c r="G25" s="650">
        <f t="shared" si="1"/>
        <v>279</v>
      </c>
    </row>
    <row r="26" spans="1:7" s="404" customFormat="1" ht="14.25">
      <c r="A26" s="407" t="s">
        <v>343</v>
      </c>
      <c r="B26" s="403">
        <v>4585211</v>
      </c>
      <c r="C26" s="403">
        <v>1688515.5</v>
      </c>
      <c r="D26" s="412">
        <f t="shared" si="0"/>
        <v>6273726.5</v>
      </c>
      <c r="E26" s="403">
        <v>22109.33</v>
      </c>
      <c r="F26" s="403">
        <v>100763.29000000001</v>
      </c>
      <c r="G26" s="650">
        <f t="shared" si="1"/>
        <v>6251617.1699999999</v>
      </c>
    </row>
    <row r="27" spans="1:7" s="404" customFormat="1" ht="16.5" customHeight="1">
      <c r="A27" s="408" t="s">
        <v>98</v>
      </c>
      <c r="B27" s="412">
        <f>SUM(B28:B36)</f>
        <v>400971424.13</v>
      </c>
      <c r="C27" s="412">
        <f>SUM(C28:C36)</f>
        <v>64178165.109999999</v>
      </c>
      <c r="D27" s="412">
        <f>B27+C27</f>
        <v>465149589.24000001</v>
      </c>
      <c r="E27" s="412">
        <f>SUM(E28:E36)</f>
        <v>18012368.850000001</v>
      </c>
      <c r="F27" s="412">
        <f>SUM(F28:F36)</f>
        <v>10500986.800000001</v>
      </c>
      <c r="G27" s="650">
        <f t="shared" si="1"/>
        <v>447137220.38999999</v>
      </c>
    </row>
    <row r="28" spans="1:7" s="404" customFormat="1" ht="14.25">
      <c r="A28" s="407" t="s">
        <v>344</v>
      </c>
      <c r="B28" s="403">
        <v>98423630.120000005</v>
      </c>
      <c r="C28" s="403">
        <v>-53530292.18</v>
      </c>
      <c r="D28" s="412">
        <f t="shared" si="0"/>
        <v>44893337.940000005</v>
      </c>
      <c r="E28" s="403">
        <v>98470.59</v>
      </c>
      <c r="F28" s="403">
        <v>2349428.34</v>
      </c>
      <c r="G28" s="650">
        <f t="shared" si="1"/>
        <v>44794867.350000001</v>
      </c>
    </row>
    <row r="29" spans="1:7" s="404" customFormat="1" ht="14.25">
      <c r="A29" s="407" t="s">
        <v>345</v>
      </c>
      <c r="B29" s="403">
        <v>16886021</v>
      </c>
      <c r="C29" s="403">
        <v>3304565.92</v>
      </c>
      <c r="D29" s="412">
        <f t="shared" si="0"/>
        <v>20190586.920000002</v>
      </c>
      <c r="E29" s="403">
        <v>121800</v>
      </c>
      <c r="F29" s="403">
        <v>7978</v>
      </c>
      <c r="G29" s="650">
        <f t="shared" si="1"/>
        <v>20068786.920000002</v>
      </c>
    </row>
    <row r="30" spans="1:7" s="404" customFormat="1" ht="14.25">
      <c r="A30" s="407" t="s">
        <v>346</v>
      </c>
      <c r="B30" s="403">
        <v>43015663</v>
      </c>
      <c r="C30" s="403">
        <v>3236297.12</v>
      </c>
      <c r="D30" s="412">
        <f t="shared" si="0"/>
        <v>46251960.119999997</v>
      </c>
      <c r="E30" s="403">
        <v>20937.990000000002</v>
      </c>
      <c r="F30" s="403">
        <v>1021172.59</v>
      </c>
      <c r="G30" s="650">
        <f t="shared" si="1"/>
        <v>46231022.129999995</v>
      </c>
    </row>
    <row r="31" spans="1:7" s="404" customFormat="1" ht="14.25">
      <c r="A31" s="407" t="s">
        <v>347</v>
      </c>
      <c r="B31" s="403">
        <v>2573571</v>
      </c>
      <c r="C31" s="403">
        <v>24221617.59</v>
      </c>
      <c r="D31" s="412">
        <f t="shared" si="0"/>
        <v>26795188.59</v>
      </c>
      <c r="E31" s="403">
        <v>434.81</v>
      </c>
      <c r="F31" s="403">
        <v>796681.95</v>
      </c>
      <c r="G31" s="650">
        <f t="shared" si="1"/>
        <v>26794753.780000001</v>
      </c>
    </row>
    <row r="32" spans="1:7" s="404" customFormat="1" ht="22.5">
      <c r="A32" s="407" t="s">
        <v>348</v>
      </c>
      <c r="B32" s="403">
        <v>106369781</v>
      </c>
      <c r="C32" s="403">
        <v>6358976.9800000004</v>
      </c>
      <c r="D32" s="412">
        <f t="shared" si="0"/>
        <v>112728757.98</v>
      </c>
      <c r="E32" s="403">
        <v>15495323.810000001</v>
      </c>
      <c r="F32" s="403">
        <v>279410.24</v>
      </c>
      <c r="G32" s="650">
        <f t="shared" si="1"/>
        <v>97233434.170000002</v>
      </c>
    </row>
    <row r="33" spans="1:7" s="404" customFormat="1" ht="14.25">
      <c r="A33" s="407" t="s">
        <v>349</v>
      </c>
      <c r="B33" s="403">
        <v>150340</v>
      </c>
      <c r="C33" s="403">
        <v>4701339.32</v>
      </c>
      <c r="D33" s="412">
        <f t="shared" si="0"/>
        <v>4851679.32</v>
      </c>
      <c r="E33" s="403">
        <v>1911952.99</v>
      </c>
      <c r="F33" s="403">
        <v>1452308.1700000002</v>
      </c>
      <c r="G33" s="650">
        <f t="shared" si="1"/>
        <v>2939726.33</v>
      </c>
    </row>
    <row r="34" spans="1:7" s="404" customFormat="1" ht="14.25">
      <c r="A34" s="407" t="s">
        <v>350</v>
      </c>
      <c r="B34" s="403">
        <v>33237355</v>
      </c>
      <c r="C34" s="403">
        <v>4746929.83</v>
      </c>
      <c r="D34" s="412">
        <f t="shared" si="0"/>
        <v>37984284.829999998</v>
      </c>
      <c r="E34" s="403">
        <v>264551.32</v>
      </c>
      <c r="F34" s="403">
        <v>2372378.52</v>
      </c>
      <c r="G34" s="650">
        <f t="shared" si="1"/>
        <v>37719733.509999998</v>
      </c>
    </row>
    <row r="35" spans="1:7" s="404" customFormat="1" ht="15" thickBot="1">
      <c r="A35" s="415" t="s">
        <v>351</v>
      </c>
      <c r="B35" s="416">
        <v>8054153</v>
      </c>
      <c r="C35" s="416">
        <v>7043610.7999999998</v>
      </c>
      <c r="D35" s="417">
        <f t="shared" si="0"/>
        <v>15097763.800000001</v>
      </c>
      <c r="E35" s="416">
        <v>60247.34</v>
      </c>
      <c r="F35" s="416">
        <v>1580418.9600000002</v>
      </c>
      <c r="G35" s="651">
        <f t="shared" si="1"/>
        <v>15037516.460000001</v>
      </c>
    </row>
    <row r="36" spans="1:7" s="404" customFormat="1" ht="14.25">
      <c r="A36" s="407" t="s">
        <v>352</v>
      </c>
      <c r="B36" s="403">
        <v>92260910.00999999</v>
      </c>
      <c r="C36" s="403">
        <v>64095119.729999997</v>
      </c>
      <c r="D36" s="412">
        <f t="shared" si="0"/>
        <v>156356029.73999998</v>
      </c>
      <c r="E36" s="403">
        <v>38650</v>
      </c>
      <c r="F36" s="403">
        <v>641210.03</v>
      </c>
      <c r="G36" s="650">
        <f t="shared" si="1"/>
        <v>156317379.73999998</v>
      </c>
    </row>
    <row r="37" spans="1:7" s="404" customFormat="1" ht="21" customHeight="1">
      <c r="A37" s="408" t="s">
        <v>288</v>
      </c>
      <c r="B37" s="412">
        <f>SUM(B38:B46)</f>
        <v>634412740.67999995</v>
      </c>
      <c r="C37" s="412">
        <f>SUM(C38:C46)</f>
        <v>-642684.24</v>
      </c>
      <c r="D37" s="412">
        <f>B37+C37</f>
        <v>633770056.43999994</v>
      </c>
      <c r="E37" s="412">
        <f>SUM(E38:E46)</f>
        <v>0</v>
      </c>
      <c r="F37" s="412">
        <f>SUM(F38:F46)</f>
        <v>307590</v>
      </c>
      <c r="G37" s="650">
        <f t="shared" si="1"/>
        <v>633770056.43999994</v>
      </c>
    </row>
    <row r="38" spans="1:7" s="404" customFormat="1" ht="14.25">
      <c r="A38" s="407" t="s">
        <v>99</v>
      </c>
      <c r="B38" s="403">
        <v>633053140.67999995</v>
      </c>
      <c r="C38" s="403">
        <v>154.88999999999999</v>
      </c>
      <c r="D38" s="412">
        <f t="shared" si="0"/>
        <v>633053295.56999993</v>
      </c>
      <c r="E38" s="403"/>
      <c r="F38" s="403"/>
      <c r="G38" s="650">
        <f t="shared" si="1"/>
        <v>633053295.56999993</v>
      </c>
    </row>
    <row r="39" spans="1:7" s="404" customFormat="1" ht="14.25">
      <c r="A39" s="407" t="s">
        <v>100</v>
      </c>
      <c r="B39" s="403"/>
      <c r="C39" s="403"/>
      <c r="D39" s="412">
        <f t="shared" si="0"/>
        <v>0</v>
      </c>
      <c r="E39" s="403"/>
      <c r="F39" s="403"/>
      <c r="G39" s="650">
        <f t="shared" si="1"/>
        <v>0</v>
      </c>
    </row>
    <row r="40" spans="1:7" s="404" customFormat="1" ht="14.25">
      <c r="A40" s="407" t="s">
        <v>101</v>
      </c>
      <c r="B40" s="403">
        <v>0</v>
      </c>
      <c r="C40" s="403">
        <v>150000</v>
      </c>
      <c r="D40" s="412">
        <f t="shared" si="0"/>
        <v>150000</v>
      </c>
      <c r="E40" s="403">
        <v>0</v>
      </c>
      <c r="F40" s="403">
        <v>150000</v>
      </c>
      <c r="G40" s="650">
        <f t="shared" si="1"/>
        <v>150000</v>
      </c>
    </row>
    <row r="41" spans="1:7" s="404" customFormat="1" ht="14.25">
      <c r="A41" s="407" t="s">
        <v>102</v>
      </c>
      <c r="B41" s="403">
        <v>1359600</v>
      </c>
      <c r="C41" s="403">
        <v>-792839.13</v>
      </c>
      <c r="D41" s="412">
        <f t="shared" si="0"/>
        <v>566760.87</v>
      </c>
      <c r="E41" s="403">
        <v>0</v>
      </c>
      <c r="F41" s="403">
        <v>157590</v>
      </c>
      <c r="G41" s="650">
        <f t="shared" si="1"/>
        <v>566760.87</v>
      </c>
    </row>
    <row r="42" spans="1:7" s="404" customFormat="1" ht="14.25">
      <c r="A42" s="407" t="s">
        <v>103</v>
      </c>
      <c r="B42" s="403"/>
      <c r="C42" s="403"/>
      <c r="D42" s="412">
        <f t="shared" si="0"/>
        <v>0</v>
      </c>
      <c r="E42" s="403"/>
      <c r="F42" s="403"/>
      <c r="G42" s="650">
        <f t="shared" si="1"/>
        <v>0</v>
      </c>
    </row>
    <row r="43" spans="1:7" s="404" customFormat="1" ht="14.25">
      <c r="A43" s="407" t="s">
        <v>353</v>
      </c>
      <c r="B43" s="403"/>
      <c r="C43" s="403"/>
      <c r="D43" s="412">
        <f t="shared" si="0"/>
        <v>0</v>
      </c>
      <c r="E43" s="403"/>
      <c r="F43" s="403"/>
      <c r="G43" s="650">
        <f t="shared" si="1"/>
        <v>0</v>
      </c>
    </row>
    <row r="44" spans="1:7" s="404" customFormat="1" ht="14.25">
      <c r="A44" s="407" t="s">
        <v>105</v>
      </c>
      <c r="B44" s="403"/>
      <c r="C44" s="403"/>
      <c r="D44" s="412">
        <f t="shared" si="0"/>
        <v>0</v>
      </c>
      <c r="E44" s="403"/>
      <c r="F44" s="403"/>
      <c r="G44" s="650">
        <f t="shared" si="1"/>
        <v>0</v>
      </c>
    </row>
    <row r="45" spans="1:7" s="404" customFormat="1" ht="14.25">
      <c r="A45" s="407" t="s">
        <v>106</v>
      </c>
      <c r="B45" s="403"/>
      <c r="C45" s="403"/>
      <c r="D45" s="412">
        <f t="shared" si="0"/>
        <v>0</v>
      </c>
      <c r="E45" s="403"/>
      <c r="F45" s="403"/>
      <c r="G45" s="650">
        <f t="shared" si="1"/>
        <v>0</v>
      </c>
    </row>
    <row r="46" spans="1:7" s="404" customFormat="1" ht="14.25">
      <c r="A46" s="407" t="s">
        <v>107</v>
      </c>
      <c r="B46" s="403"/>
      <c r="C46" s="403"/>
      <c r="D46" s="412">
        <f t="shared" si="0"/>
        <v>0</v>
      </c>
      <c r="E46" s="403"/>
      <c r="F46" s="403"/>
      <c r="G46" s="650">
        <f t="shared" si="1"/>
        <v>0</v>
      </c>
    </row>
    <row r="47" spans="1:7" s="404" customFormat="1" ht="16.5" customHeight="1">
      <c r="A47" s="408" t="s">
        <v>354</v>
      </c>
      <c r="B47" s="412">
        <f>SUM(B48:B56)</f>
        <v>5087663.88</v>
      </c>
      <c r="C47" s="412">
        <f>SUM(C48:C56)</f>
        <v>56034774</v>
      </c>
      <c r="D47" s="412">
        <f>B47+C47</f>
        <v>61122437.880000003</v>
      </c>
      <c r="E47" s="412">
        <f>SUM(E48:E56)</f>
        <v>2049015.31</v>
      </c>
      <c r="F47" s="412">
        <f>SUM(F48:F56)</f>
        <v>5956</v>
      </c>
      <c r="G47" s="650">
        <f t="shared" si="1"/>
        <v>59073422.57</v>
      </c>
    </row>
    <row r="48" spans="1:7" s="404" customFormat="1" ht="14.25">
      <c r="A48" s="407" t="s">
        <v>355</v>
      </c>
      <c r="B48" s="403">
        <v>1192283.8799999999</v>
      </c>
      <c r="C48" s="403">
        <v>5140779.0199999996</v>
      </c>
      <c r="D48" s="412">
        <f t="shared" si="0"/>
        <v>6333062.8999999994</v>
      </c>
      <c r="E48" s="403">
        <v>1509256.59</v>
      </c>
      <c r="F48" s="403">
        <v>5956</v>
      </c>
      <c r="G48" s="650">
        <f>D48-E48</f>
        <v>4823806.3099999996</v>
      </c>
    </row>
    <row r="49" spans="1:7" s="404" customFormat="1" ht="14.25">
      <c r="A49" s="407" t="s">
        <v>356</v>
      </c>
      <c r="B49" s="403">
        <v>0</v>
      </c>
      <c r="C49" s="403">
        <v>600530.41</v>
      </c>
      <c r="D49" s="412">
        <f t="shared" si="0"/>
        <v>600530.41</v>
      </c>
      <c r="E49" s="403">
        <v>0</v>
      </c>
      <c r="F49" s="403">
        <v>0</v>
      </c>
      <c r="G49" s="650">
        <f t="shared" si="1"/>
        <v>600530.41</v>
      </c>
    </row>
    <row r="50" spans="1:7" s="404" customFormat="1" ht="14.25">
      <c r="A50" s="407" t="s">
        <v>357</v>
      </c>
      <c r="B50" s="403">
        <v>3692306</v>
      </c>
      <c r="C50" s="403">
        <v>41024587.600000001</v>
      </c>
      <c r="D50" s="412">
        <f t="shared" si="0"/>
        <v>44716893.600000001</v>
      </c>
      <c r="E50" s="403">
        <v>54858.720000000001</v>
      </c>
      <c r="F50" s="403">
        <v>0</v>
      </c>
      <c r="G50" s="650">
        <f t="shared" si="1"/>
        <v>44662034.880000003</v>
      </c>
    </row>
    <row r="51" spans="1:7" s="404" customFormat="1" ht="14.25">
      <c r="A51" s="407" t="s">
        <v>358</v>
      </c>
      <c r="B51" s="403">
        <v>203074</v>
      </c>
      <c r="C51" s="403">
        <v>7939580.2400000002</v>
      </c>
      <c r="D51" s="412">
        <f t="shared" si="0"/>
        <v>8142654.2400000002</v>
      </c>
      <c r="E51" s="403">
        <v>484900</v>
      </c>
      <c r="F51" s="403">
        <v>0</v>
      </c>
      <c r="G51" s="650">
        <f t="shared" si="1"/>
        <v>7657754.2400000002</v>
      </c>
    </row>
    <row r="52" spans="1:7" s="404" customFormat="1" ht="14.25">
      <c r="A52" s="407" t="s">
        <v>359</v>
      </c>
      <c r="B52" s="403"/>
      <c r="C52" s="403"/>
      <c r="D52" s="412">
        <f t="shared" si="0"/>
        <v>0</v>
      </c>
      <c r="E52" s="403"/>
      <c r="F52" s="403"/>
      <c r="G52" s="650">
        <f t="shared" si="1"/>
        <v>0</v>
      </c>
    </row>
    <row r="53" spans="1:7" s="404" customFormat="1" ht="14.25">
      <c r="A53" s="407" t="s">
        <v>360</v>
      </c>
      <c r="B53" s="403">
        <v>0</v>
      </c>
      <c r="C53" s="403">
        <v>1249296.73</v>
      </c>
      <c r="D53" s="412">
        <f t="shared" si="0"/>
        <v>1249296.73</v>
      </c>
      <c r="E53" s="403"/>
      <c r="F53" s="403"/>
      <c r="G53" s="650">
        <f t="shared" si="1"/>
        <v>1249296.73</v>
      </c>
    </row>
    <row r="54" spans="1:7" s="404" customFormat="1" ht="14.25">
      <c r="A54" s="407" t="s">
        <v>361</v>
      </c>
      <c r="B54" s="403"/>
      <c r="C54" s="403"/>
      <c r="D54" s="412">
        <f t="shared" si="0"/>
        <v>0</v>
      </c>
      <c r="E54" s="403"/>
      <c r="F54" s="403"/>
      <c r="G54" s="650">
        <f t="shared" si="1"/>
        <v>0</v>
      </c>
    </row>
    <row r="55" spans="1:7" s="404" customFormat="1" ht="14.25">
      <c r="A55" s="407" t="s">
        <v>362</v>
      </c>
      <c r="B55" s="403"/>
      <c r="C55" s="403"/>
      <c r="D55" s="412">
        <f t="shared" si="0"/>
        <v>0</v>
      </c>
      <c r="E55" s="403"/>
      <c r="F55" s="403"/>
      <c r="G55" s="650">
        <f t="shared" si="1"/>
        <v>0</v>
      </c>
    </row>
    <row r="56" spans="1:7" s="404" customFormat="1" ht="14.25">
      <c r="A56" s="407" t="s">
        <v>39</v>
      </c>
      <c r="B56" s="403">
        <v>0</v>
      </c>
      <c r="C56" s="403">
        <v>80000</v>
      </c>
      <c r="D56" s="412">
        <f t="shared" si="0"/>
        <v>80000</v>
      </c>
      <c r="E56" s="403"/>
      <c r="F56" s="403"/>
      <c r="G56" s="650">
        <f t="shared" si="1"/>
        <v>80000</v>
      </c>
    </row>
    <row r="57" spans="1:7" s="404" customFormat="1" ht="16.5" customHeight="1">
      <c r="A57" s="408" t="s">
        <v>124</v>
      </c>
      <c r="B57" s="412">
        <f>SUM(B58:B60)</f>
        <v>16213831</v>
      </c>
      <c r="C57" s="412">
        <f>SUM(C58:C60)</f>
        <v>91113531.010000005</v>
      </c>
      <c r="D57" s="412">
        <f>B57+C57</f>
        <v>107327362.01000001</v>
      </c>
      <c r="E57" s="412">
        <f>SUM(E58:E60)</f>
        <v>2682902.7800000003</v>
      </c>
      <c r="F57" s="412">
        <f>SUM(F58:F60)</f>
        <v>13475906.459999999</v>
      </c>
      <c r="G57" s="650">
        <f t="shared" si="1"/>
        <v>104644459.23</v>
      </c>
    </row>
    <row r="58" spans="1:7" s="404" customFormat="1" ht="14.25">
      <c r="A58" s="407" t="s">
        <v>363</v>
      </c>
      <c r="B58" s="403">
        <v>0</v>
      </c>
      <c r="C58" s="403">
        <v>34140503.240000002</v>
      </c>
      <c r="D58" s="412">
        <f t="shared" si="0"/>
        <v>34140503.240000002</v>
      </c>
      <c r="E58" s="403">
        <v>1972491.87</v>
      </c>
      <c r="F58" s="403">
        <v>1758202.7</v>
      </c>
      <c r="G58" s="650">
        <f t="shared" si="1"/>
        <v>32168011.370000001</v>
      </c>
    </row>
    <row r="59" spans="1:7" s="404" customFormat="1" ht="14.25">
      <c r="A59" s="407" t="s">
        <v>364</v>
      </c>
      <c r="B59" s="403">
        <v>16213831</v>
      </c>
      <c r="C59" s="403">
        <v>56973027.770000003</v>
      </c>
      <c r="D59" s="412">
        <f t="shared" si="0"/>
        <v>73186858.770000011</v>
      </c>
      <c r="E59" s="403">
        <v>710410.91</v>
      </c>
      <c r="F59" s="403">
        <v>11717703.76</v>
      </c>
      <c r="G59" s="650">
        <f t="shared" si="1"/>
        <v>72476447.860000014</v>
      </c>
    </row>
    <row r="60" spans="1:7" s="404" customFormat="1" ht="14.25">
      <c r="A60" s="407" t="s">
        <v>365</v>
      </c>
      <c r="B60" s="403"/>
      <c r="C60" s="403"/>
      <c r="D60" s="412">
        <f t="shared" si="0"/>
        <v>0</v>
      </c>
      <c r="E60" s="403"/>
      <c r="F60" s="403"/>
      <c r="G60" s="650">
        <f t="shared" si="1"/>
        <v>0</v>
      </c>
    </row>
    <row r="61" spans="1:7" s="404" customFormat="1" ht="16.5" customHeight="1">
      <c r="A61" s="408" t="s">
        <v>366</v>
      </c>
      <c r="B61" s="412">
        <f>SUM(B62:B68)</f>
        <v>0</v>
      </c>
      <c r="C61" s="412">
        <f>SUM(C62:C68)</f>
        <v>0</v>
      </c>
      <c r="D61" s="412">
        <f>B61+C61</f>
        <v>0</v>
      </c>
      <c r="E61" s="412">
        <f>SUM(E62:E68)</f>
        <v>0</v>
      </c>
      <c r="F61" s="412">
        <f>SUM(F62:F68)</f>
        <v>0</v>
      </c>
      <c r="G61" s="650">
        <f t="shared" si="1"/>
        <v>0</v>
      </c>
    </row>
    <row r="62" spans="1:7" s="404" customFormat="1" ht="14.25">
      <c r="A62" s="407" t="s">
        <v>367</v>
      </c>
      <c r="B62" s="403"/>
      <c r="C62" s="403"/>
      <c r="D62" s="412">
        <f t="shared" si="0"/>
        <v>0</v>
      </c>
      <c r="E62" s="403"/>
      <c r="F62" s="403"/>
      <c r="G62" s="650">
        <f t="shared" si="1"/>
        <v>0</v>
      </c>
    </row>
    <row r="63" spans="1:7" s="404" customFormat="1" ht="15" thickBot="1">
      <c r="A63" s="415" t="s">
        <v>368</v>
      </c>
      <c r="B63" s="416"/>
      <c r="C63" s="416"/>
      <c r="D63" s="417">
        <f t="shared" si="0"/>
        <v>0</v>
      </c>
      <c r="E63" s="416"/>
      <c r="F63" s="416"/>
      <c r="G63" s="651">
        <f t="shared" si="1"/>
        <v>0</v>
      </c>
    </row>
    <row r="64" spans="1:7" s="404" customFormat="1" ht="14.25">
      <c r="A64" s="407" t="s">
        <v>369</v>
      </c>
      <c r="B64" s="403"/>
      <c r="C64" s="403"/>
      <c r="D64" s="412">
        <f t="shared" si="0"/>
        <v>0</v>
      </c>
      <c r="E64" s="403"/>
      <c r="F64" s="403"/>
      <c r="G64" s="650">
        <f t="shared" si="1"/>
        <v>0</v>
      </c>
    </row>
    <row r="65" spans="1:7" s="404" customFormat="1" ht="14.25">
      <c r="A65" s="407" t="s">
        <v>370</v>
      </c>
      <c r="B65" s="403"/>
      <c r="C65" s="403"/>
      <c r="D65" s="412">
        <f t="shared" si="0"/>
        <v>0</v>
      </c>
      <c r="E65" s="403"/>
      <c r="F65" s="403"/>
      <c r="G65" s="650">
        <f t="shared" si="1"/>
        <v>0</v>
      </c>
    </row>
    <row r="66" spans="1:7" s="404" customFormat="1" ht="14.25">
      <c r="A66" s="407" t="s">
        <v>371</v>
      </c>
      <c r="B66" s="403"/>
      <c r="C66" s="403"/>
      <c r="D66" s="412">
        <f t="shared" si="0"/>
        <v>0</v>
      </c>
      <c r="E66" s="403"/>
      <c r="F66" s="403"/>
      <c r="G66" s="650">
        <f t="shared" si="1"/>
        <v>0</v>
      </c>
    </row>
    <row r="67" spans="1:7" s="404" customFormat="1" ht="14.25">
      <c r="A67" s="407" t="s">
        <v>372</v>
      </c>
      <c r="B67" s="403"/>
      <c r="C67" s="403"/>
      <c r="D67" s="412">
        <f t="shared" si="0"/>
        <v>0</v>
      </c>
      <c r="E67" s="403"/>
      <c r="F67" s="403"/>
      <c r="G67" s="650">
        <f t="shared" si="1"/>
        <v>0</v>
      </c>
    </row>
    <row r="68" spans="1:7" s="404" customFormat="1" ht="14.25">
      <c r="A68" s="407" t="s">
        <v>373</v>
      </c>
      <c r="B68" s="403"/>
      <c r="C68" s="403"/>
      <c r="D68" s="412">
        <f t="shared" si="0"/>
        <v>0</v>
      </c>
      <c r="E68" s="403"/>
      <c r="F68" s="403"/>
      <c r="G68" s="650">
        <f t="shared" si="1"/>
        <v>0</v>
      </c>
    </row>
    <row r="69" spans="1:7" s="404" customFormat="1" ht="16.5" customHeight="1">
      <c r="A69" s="408" t="s">
        <v>85</v>
      </c>
      <c r="B69" s="412">
        <f>SUM(B70:B72)</f>
        <v>0</v>
      </c>
      <c r="C69" s="412">
        <f>SUM(C70:C72)</f>
        <v>0</v>
      </c>
      <c r="D69" s="412">
        <f>B69+C69</f>
        <v>0</v>
      </c>
      <c r="E69" s="412">
        <f>SUM(E70:E72)</f>
        <v>0</v>
      </c>
      <c r="F69" s="412">
        <f>SUM(F70:F72)</f>
        <v>0</v>
      </c>
      <c r="G69" s="650">
        <f t="shared" si="1"/>
        <v>0</v>
      </c>
    </row>
    <row r="70" spans="1:7" s="404" customFormat="1" ht="14.25">
      <c r="A70" s="407" t="s">
        <v>109</v>
      </c>
      <c r="B70" s="403"/>
      <c r="C70" s="403"/>
      <c r="D70" s="412">
        <f t="shared" si="0"/>
        <v>0</v>
      </c>
      <c r="E70" s="403"/>
      <c r="F70" s="403"/>
      <c r="G70" s="650">
        <f t="shared" si="1"/>
        <v>0</v>
      </c>
    </row>
    <row r="71" spans="1:7" s="404" customFormat="1" ht="14.25">
      <c r="A71" s="407" t="s">
        <v>52</v>
      </c>
      <c r="B71" s="403"/>
      <c r="C71" s="403"/>
      <c r="D71" s="412">
        <f t="shared" si="0"/>
        <v>0</v>
      </c>
      <c r="E71" s="403"/>
      <c r="F71" s="403"/>
      <c r="G71" s="650">
        <f t="shared" si="1"/>
        <v>0</v>
      </c>
    </row>
    <row r="72" spans="1:7" s="404" customFormat="1" ht="14.25">
      <c r="A72" s="407" t="s">
        <v>110</v>
      </c>
      <c r="B72" s="403"/>
      <c r="C72" s="403"/>
      <c r="D72" s="412">
        <f t="shared" si="0"/>
        <v>0</v>
      </c>
      <c r="E72" s="403"/>
      <c r="F72" s="403"/>
      <c r="G72" s="650">
        <f t="shared" si="1"/>
        <v>0</v>
      </c>
    </row>
    <row r="73" spans="1:7" s="404" customFormat="1" ht="16.5" customHeight="1">
      <c r="A73" s="408" t="s">
        <v>374</v>
      </c>
      <c r="B73" s="412">
        <f>SUM(B74:B80)</f>
        <v>0</v>
      </c>
      <c r="C73" s="412">
        <f>SUM(C74:C80)</f>
        <v>134933622.59</v>
      </c>
      <c r="D73" s="412">
        <f>B73+C73</f>
        <v>134933622.59</v>
      </c>
      <c r="E73" s="412">
        <f>SUM(E74:E80)</f>
        <v>0</v>
      </c>
      <c r="F73" s="412">
        <f>SUM(F74:F80)</f>
        <v>0</v>
      </c>
      <c r="G73" s="650">
        <f t="shared" si="1"/>
        <v>134933622.59</v>
      </c>
    </row>
    <row r="74" spans="1:7" s="404" customFormat="1" ht="14.25">
      <c r="A74" s="407" t="s">
        <v>375</v>
      </c>
      <c r="B74" s="403"/>
      <c r="C74" s="403"/>
      <c r="D74" s="412">
        <f t="shared" ref="D74:D80" si="2">B74+C74</f>
        <v>0</v>
      </c>
      <c r="E74" s="403"/>
      <c r="F74" s="403"/>
      <c r="G74" s="650">
        <f t="shared" ref="G74:G81" si="3">D74-E74</f>
        <v>0</v>
      </c>
    </row>
    <row r="75" spans="1:7" s="404" customFormat="1" ht="14.25">
      <c r="A75" s="407" t="s">
        <v>112</v>
      </c>
      <c r="B75" s="403"/>
      <c r="C75" s="403"/>
      <c r="D75" s="412">
        <f t="shared" si="2"/>
        <v>0</v>
      </c>
      <c r="E75" s="403"/>
      <c r="F75" s="403"/>
      <c r="G75" s="650">
        <f t="shared" si="3"/>
        <v>0</v>
      </c>
    </row>
    <row r="76" spans="1:7" s="404" customFormat="1" ht="14.25">
      <c r="A76" s="407" t="s">
        <v>113</v>
      </c>
      <c r="B76" s="403"/>
      <c r="C76" s="403"/>
      <c r="D76" s="412">
        <f t="shared" si="2"/>
        <v>0</v>
      </c>
      <c r="E76" s="403"/>
      <c r="F76" s="403"/>
      <c r="G76" s="650">
        <f t="shared" si="3"/>
        <v>0</v>
      </c>
    </row>
    <row r="77" spans="1:7" s="404" customFormat="1" ht="14.25">
      <c r="A77" s="407" t="s">
        <v>114</v>
      </c>
      <c r="B77" s="403"/>
      <c r="C77" s="403"/>
      <c r="D77" s="412">
        <f t="shared" si="2"/>
        <v>0</v>
      </c>
      <c r="E77" s="403"/>
      <c r="F77" s="403"/>
      <c r="G77" s="650">
        <f t="shared" si="3"/>
        <v>0</v>
      </c>
    </row>
    <row r="78" spans="1:7" s="404" customFormat="1" ht="14.25">
      <c r="A78" s="407" t="s">
        <v>115</v>
      </c>
      <c r="B78" s="403"/>
      <c r="C78" s="403"/>
      <c r="D78" s="412">
        <f t="shared" si="2"/>
        <v>0</v>
      </c>
      <c r="E78" s="403"/>
      <c r="F78" s="403"/>
      <c r="G78" s="650">
        <f t="shared" si="3"/>
        <v>0</v>
      </c>
    </row>
    <row r="79" spans="1:7" s="404" customFormat="1" ht="14.25">
      <c r="A79" s="407" t="s">
        <v>116</v>
      </c>
      <c r="B79" s="403"/>
      <c r="C79" s="403"/>
      <c r="D79" s="412">
        <f t="shared" si="2"/>
        <v>0</v>
      </c>
      <c r="E79" s="403"/>
      <c r="F79" s="403"/>
      <c r="G79" s="650">
        <f t="shared" si="3"/>
        <v>0</v>
      </c>
    </row>
    <row r="80" spans="1:7" s="404" customFormat="1" ht="15" thickBot="1">
      <c r="A80" s="415" t="s">
        <v>376</v>
      </c>
      <c r="B80" s="416">
        <v>0</v>
      </c>
      <c r="C80" s="416">
        <v>134933622.59</v>
      </c>
      <c r="D80" s="417">
        <f t="shared" si="2"/>
        <v>134933622.59</v>
      </c>
      <c r="E80" s="416"/>
      <c r="F80" s="416"/>
      <c r="G80" s="651">
        <f t="shared" si="3"/>
        <v>134933622.59</v>
      </c>
    </row>
    <row r="81" spans="1:7" s="405" customFormat="1" ht="17.25" customHeight="1" thickBot="1">
      <c r="A81" s="409" t="s">
        <v>377</v>
      </c>
      <c r="B81" s="413">
        <f>B73+B69+B61+B57+B47+B37+B27+B17+B9</f>
        <v>3696225055.4400001</v>
      </c>
      <c r="C81" s="413">
        <f>C73+C69+C61+C57+C47+C37+C27+C17+C9</f>
        <v>222105083.53000003</v>
      </c>
      <c r="D81" s="413">
        <f>B81+C81</f>
        <v>3918330138.9700003</v>
      </c>
      <c r="E81" s="413">
        <f>E73+E69+E61+E57+E47+E37+E27+E17+E9</f>
        <v>24381070.73</v>
      </c>
      <c r="F81" s="413">
        <f>F73+F69+F61+F57+F47+F37+F27+F17+F9</f>
        <v>521083923.81</v>
      </c>
      <c r="G81" s="414">
        <f t="shared" si="3"/>
        <v>3893949068.2400002</v>
      </c>
    </row>
  </sheetData>
  <sheetProtection sheet="1" objects="1" scenarios="1" insertHyperlinks="0"/>
  <mergeCells count="6"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91" fitToHeight="3" orientation="landscape" r:id="rId1"/>
  <headerFooter>
    <oddFooter>&amp;RHoja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G30"/>
  <sheetViews>
    <sheetView zoomScale="110" zoomScaleNormal="110" zoomScaleSheetLayoutView="100" workbookViewId="0">
      <selection activeCell="A17" sqref="A17:F17"/>
    </sheetView>
  </sheetViews>
  <sheetFormatPr baseColWidth="10" defaultColWidth="11.42578125" defaultRowHeight="16.5"/>
  <cols>
    <col min="1" max="1" width="36.5703125" style="418" customWidth="1"/>
    <col min="2" max="2" width="13.7109375" style="418" customWidth="1"/>
    <col min="3" max="3" width="12" style="418" customWidth="1"/>
    <col min="4" max="4" width="13" style="418" customWidth="1"/>
    <col min="5" max="5" width="13.7109375" style="418" customWidth="1"/>
    <col min="6" max="6" width="15.7109375" style="418" customWidth="1"/>
    <col min="7" max="7" width="12.140625" style="418" customWidth="1"/>
    <col min="8" max="16384" width="11.42578125" style="418"/>
  </cols>
  <sheetData>
    <row r="1" spans="1:7">
      <c r="A1" s="745" t="s">
        <v>0</v>
      </c>
      <c r="B1" s="745"/>
      <c r="C1" s="745"/>
      <c r="D1" s="745"/>
      <c r="E1" s="745"/>
      <c r="F1" s="745"/>
      <c r="G1" s="745"/>
    </row>
    <row r="2" spans="1:7" s="419" customFormat="1" ht="15.75">
      <c r="A2" s="745" t="s">
        <v>315</v>
      </c>
      <c r="B2" s="745"/>
      <c r="C2" s="745"/>
      <c r="D2" s="745"/>
      <c r="E2" s="745"/>
      <c r="F2" s="745"/>
      <c r="G2" s="745"/>
    </row>
    <row r="3" spans="1:7" s="419" customFormat="1" ht="15.75">
      <c r="A3" s="745" t="s">
        <v>378</v>
      </c>
      <c r="B3" s="745"/>
      <c r="C3" s="745"/>
      <c r="D3" s="745"/>
      <c r="E3" s="745"/>
      <c r="F3" s="745"/>
      <c r="G3" s="745"/>
    </row>
    <row r="4" spans="1:7" s="419" customFormat="1">
      <c r="A4" s="746" t="s">
        <v>3</v>
      </c>
      <c r="B4" s="746"/>
      <c r="C4" s="746"/>
      <c r="D4" s="746"/>
      <c r="E4" s="746"/>
      <c r="F4" s="746"/>
      <c r="G4" s="746"/>
    </row>
    <row r="5" spans="1:7" s="419" customFormat="1">
      <c r="A5" s="746" t="s">
        <v>317</v>
      </c>
      <c r="B5" s="746"/>
      <c r="C5" s="746"/>
      <c r="D5" s="746"/>
      <c r="E5" s="746"/>
      <c r="F5" s="746"/>
      <c r="G5" s="746"/>
    </row>
    <row r="6" spans="1:7" s="420" customFormat="1" ht="17.25" thickBot="1">
      <c r="A6" s="232"/>
      <c r="B6" s="747" t="s">
        <v>5</v>
      </c>
      <c r="C6" s="747"/>
      <c r="D6" s="747"/>
      <c r="E6" s="747"/>
      <c r="F6" s="232" t="s">
        <v>6</v>
      </c>
      <c r="G6" s="708" t="s">
        <v>318</v>
      </c>
    </row>
    <row r="7" spans="1:7" s="421" customFormat="1" ht="38.25">
      <c r="A7" s="784" t="s">
        <v>132</v>
      </c>
      <c r="B7" s="286" t="s">
        <v>320</v>
      </c>
      <c r="C7" s="286" t="s">
        <v>321</v>
      </c>
      <c r="D7" s="286" t="s">
        <v>322</v>
      </c>
      <c r="E7" s="286" t="s">
        <v>323</v>
      </c>
      <c r="F7" s="286" t="s">
        <v>324</v>
      </c>
      <c r="G7" s="288" t="s">
        <v>325</v>
      </c>
    </row>
    <row r="8" spans="1:7" s="422" customFormat="1" ht="15.75" customHeight="1" thickBot="1">
      <c r="A8" s="786"/>
      <c r="B8" s="290" t="s">
        <v>268</v>
      </c>
      <c r="C8" s="290" t="s">
        <v>269</v>
      </c>
      <c r="D8" s="290" t="s">
        <v>326</v>
      </c>
      <c r="E8" s="290" t="s">
        <v>271</v>
      </c>
      <c r="F8" s="290" t="s">
        <v>272</v>
      </c>
      <c r="G8" s="292" t="s">
        <v>327</v>
      </c>
    </row>
    <row r="9" spans="1:7" ht="21.75" customHeight="1">
      <c r="A9" s="427" t="s">
        <v>379</v>
      </c>
      <c r="B9" s="428">
        <v>3674923560.4299998</v>
      </c>
      <c r="C9" s="428">
        <v>74956778.519999951</v>
      </c>
      <c r="D9" s="431">
        <f>C9+B9</f>
        <v>3749880338.9499998</v>
      </c>
      <c r="E9" s="428">
        <v>19649152.640000001</v>
      </c>
      <c r="F9" s="428">
        <v>507602061.35000002</v>
      </c>
      <c r="G9" s="435">
        <f>D9-E9</f>
        <v>3730231186.3099999</v>
      </c>
    </row>
    <row r="10" spans="1:7" ht="22.5" customHeight="1">
      <c r="A10" s="427" t="s">
        <v>380</v>
      </c>
      <c r="B10" s="428">
        <v>21301494.879999999</v>
      </c>
      <c r="C10" s="428">
        <v>147148305.00999999</v>
      </c>
      <c r="D10" s="431">
        <f t="shared" ref="D10:D13" si="0">C10+B10</f>
        <v>168449799.88999999</v>
      </c>
      <c r="E10" s="428">
        <v>4731918.09</v>
      </c>
      <c r="F10" s="428">
        <v>13481862.460000001</v>
      </c>
      <c r="G10" s="435">
        <f t="shared" ref="G10:G13" si="1">D10-E10</f>
        <v>163717881.79999998</v>
      </c>
    </row>
    <row r="11" spans="1:7" ht="22.5" customHeight="1">
      <c r="A11" s="427" t="s">
        <v>381</v>
      </c>
      <c r="B11" s="428"/>
      <c r="C11" s="428"/>
      <c r="D11" s="431">
        <f t="shared" si="0"/>
        <v>0</v>
      </c>
      <c r="E11" s="428"/>
      <c r="F11" s="428"/>
      <c r="G11" s="435">
        <f t="shared" si="1"/>
        <v>0</v>
      </c>
    </row>
    <row r="12" spans="1:7" ht="23.25" customHeight="1">
      <c r="A12" s="427" t="s">
        <v>103</v>
      </c>
      <c r="B12" s="428"/>
      <c r="C12" s="428"/>
      <c r="D12" s="431">
        <f t="shared" si="0"/>
        <v>0</v>
      </c>
      <c r="E12" s="428"/>
      <c r="F12" s="428"/>
      <c r="G12" s="435">
        <f t="shared" si="1"/>
        <v>0</v>
      </c>
    </row>
    <row r="13" spans="1:7" ht="22.5" customHeight="1">
      <c r="A13" s="427" t="s">
        <v>109</v>
      </c>
      <c r="B13" s="428"/>
      <c r="C13" s="428"/>
      <c r="D13" s="431">
        <f t="shared" si="0"/>
        <v>0</v>
      </c>
      <c r="E13" s="428"/>
      <c r="F13" s="428"/>
      <c r="G13" s="435">
        <f t="shared" si="1"/>
        <v>0</v>
      </c>
    </row>
    <row r="14" spans="1:7" ht="10.5" customHeight="1" thickBot="1">
      <c r="A14" s="429"/>
      <c r="B14" s="430"/>
      <c r="C14" s="430"/>
      <c r="D14" s="432"/>
      <c r="E14" s="430"/>
      <c r="F14" s="430"/>
      <c r="G14" s="652"/>
    </row>
    <row r="15" spans="1:7" ht="16.5" customHeight="1" thickBot="1">
      <c r="A15" s="717" t="s">
        <v>377</v>
      </c>
      <c r="B15" s="433">
        <f>SUM(B9:B14)</f>
        <v>3696225055.3099999</v>
      </c>
      <c r="C15" s="433">
        <f>SUM(C9:C14)</f>
        <v>222105083.52999994</v>
      </c>
      <c r="D15" s="434">
        <f>C15+B15</f>
        <v>3918330138.8399997</v>
      </c>
      <c r="E15" s="433">
        <f>SUM(E9:E14)</f>
        <v>24381070.73</v>
      </c>
      <c r="F15" s="433">
        <f>SUM(F9:F14)</f>
        <v>521083923.81</v>
      </c>
      <c r="G15" s="653">
        <f>D15-E15</f>
        <v>3893949068.1099997</v>
      </c>
    </row>
    <row r="16" spans="1:7" ht="12" customHeight="1"/>
    <row r="17" spans="1:7" s="424" customFormat="1" ht="15.75">
      <c r="A17" s="799" t="s">
        <v>382</v>
      </c>
      <c r="B17" s="799"/>
      <c r="C17" s="799"/>
      <c r="D17" s="799"/>
      <c r="E17" s="799"/>
      <c r="F17" s="799"/>
      <c r="G17" s="423"/>
    </row>
    <row r="18" spans="1:7" s="424" customFormat="1" ht="13.5">
      <c r="A18" s="425" t="s">
        <v>383</v>
      </c>
      <c r="B18" s="423"/>
      <c r="C18" s="423"/>
      <c r="D18" s="423"/>
      <c r="E18" s="423"/>
      <c r="F18" s="423"/>
      <c r="G18" s="423"/>
    </row>
    <row r="19" spans="1:7" s="424" customFormat="1" ht="28.5" customHeight="1">
      <c r="A19" s="798" t="s">
        <v>384</v>
      </c>
      <c r="B19" s="798"/>
      <c r="C19" s="798"/>
      <c r="D19" s="798"/>
      <c r="E19" s="798"/>
      <c r="F19" s="798"/>
      <c r="G19" s="798"/>
    </row>
    <row r="20" spans="1:7" s="424" customFormat="1" ht="13.5">
      <c r="A20" s="425" t="s">
        <v>385</v>
      </c>
      <c r="B20" s="423"/>
      <c r="C20" s="423"/>
      <c r="D20" s="423"/>
      <c r="E20" s="423"/>
      <c r="F20" s="423"/>
      <c r="G20" s="423"/>
    </row>
    <row r="21" spans="1:7" s="424" customFormat="1" ht="25.5" customHeight="1">
      <c r="A21" s="798" t="s">
        <v>386</v>
      </c>
      <c r="B21" s="798"/>
      <c r="C21" s="798"/>
      <c r="D21" s="798"/>
      <c r="E21" s="798"/>
      <c r="F21" s="798"/>
      <c r="G21" s="798"/>
    </row>
    <row r="22" spans="1:7" s="424" customFormat="1" ht="13.5">
      <c r="A22" s="800" t="s">
        <v>387</v>
      </c>
      <c r="B22" s="800"/>
      <c r="C22" s="800"/>
      <c r="D22" s="800"/>
      <c r="E22" s="423"/>
      <c r="F22" s="423"/>
      <c r="G22" s="423"/>
    </row>
    <row r="23" spans="1:7" s="424" customFormat="1" ht="13.5" customHeight="1">
      <c r="A23" s="798" t="s">
        <v>388</v>
      </c>
      <c r="B23" s="798"/>
      <c r="C23" s="798"/>
      <c r="D23" s="798"/>
      <c r="E23" s="798"/>
      <c r="F23" s="798"/>
      <c r="G23" s="798"/>
    </row>
    <row r="24" spans="1:7" s="424" customFormat="1" ht="13.5">
      <c r="A24" s="425" t="s">
        <v>389</v>
      </c>
      <c r="B24" s="423"/>
      <c r="C24" s="423"/>
      <c r="D24" s="423"/>
      <c r="E24" s="423"/>
      <c r="F24" s="423"/>
      <c r="G24" s="423"/>
    </row>
    <row r="25" spans="1:7" s="424" customFormat="1" ht="13.5" customHeight="1">
      <c r="A25" s="798" t="s">
        <v>390</v>
      </c>
      <c r="B25" s="798"/>
      <c r="C25" s="798"/>
      <c r="D25" s="798"/>
      <c r="E25" s="798"/>
      <c r="F25" s="798"/>
      <c r="G25" s="798"/>
    </row>
    <row r="26" spans="1:7" s="424" customFormat="1" ht="13.5">
      <c r="A26" s="426"/>
      <c r="B26" s="423"/>
      <c r="C26" s="423"/>
      <c r="D26" s="423"/>
      <c r="E26" s="423"/>
      <c r="F26" s="423"/>
      <c r="G26" s="423"/>
    </row>
    <row r="27" spans="1:7" s="424" customFormat="1" ht="13.5">
      <c r="A27" s="425" t="s">
        <v>391</v>
      </c>
      <c r="B27" s="423"/>
      <c r="C27" s="423"/>
      <c r="D27" s="423"/>
      <c r="E27" s="423"/>
      <c r="F27" s="423"/>
      <c r="G27" s="423"/>
    </row>
    <row r="28" spans="1:7" s="424" customFormat="1" ht="13.5" customHeight="1">
      <c r="A28" s="798" t="s">
        <v>392</v>
      </c>
      <c r="B28" s="798"/>
      <c r="C28" s="798"/>
      <c r="D28" s="798"/>
      <c r="E28" s="798"/>
      <c r="F28" s="798"/>
      <c r="G28" s="798"/>
    </row>
    <row r="29" spans="1:7" s="424" customFormat="1" ht="13.5">
      <c r="A29" s="426"/>
      <c r="B29" s="423"/>
      <c r="C29" s="423"/>
      <c r="D29" s="423"/>
      <c r="E29" s="423"/>
      <c r="F29" s="423"/>
      <c r="G29" s="423"/>
    </row>
    <row r="30" spans="1:7" ht="8.25" customHeight="1"/>
  </sheetData>
  <sheetProtection sheet="1" objects="1" scenarios="1" insertHyperlinks="0"/>
  <mergeCells count="14">
    <mergeCell ref="B6:E6"/>
    <mergeCell ref="A7:A8"/>
    <mergeCell ref="A1:G1"/>
    <mergeCell ref="A2:G2"/>
    <mergeCell ref="A3:G3"/>
    <mergeCell ref="A4:G4"/>
    <mergeCell ref="A5:G5"/>
    <mergeCell ref="A25:G25"/>
    <mergeCell ref="A28:G28"/>
    <mergeCell ref="A17:F17"/>
    <mergeCell ref="A19:G19"/>
    <mergeCell ref="A21:G21"/>
    <mergeCell ref="A22:D22"/>
    <mergeCell ref="A23:G23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G59"/>
  <sheetViews>
    <sheetView topLeftCell="A58" zoomScaleSheetLayoutView="115" workbookViewId="0">
      <selection activeCell="A5" sqref="A5:G5"/>
    </sheetView>
  </sheetViews>
  <sheetFormatPr baseColWidth="10" defaultColWidth="11.42578125" defaultRowHeight="16.5"/>
  <cols>
    <col min="1" max="1" width="39.85546875" style="418" customWidth="1"/>
    <col min="2" max="7" width="13.7109375" style="418" customWidth="1"/>
    <col min="8" max="16384" width="11.42578125" style="418"/>
  </cols>
  <sheetData>
    <row r="1" spans="1:7">
      <c r="A1" s="745" t="s">
        <v>0</v>
      </c>
      <c r="B1" s="745"/>
      <c r="C1" s="745"/>
      <c r="D1" s="745"/>
      <c r="E1" s="745"/>
      <c r="F1" s="745"/>
      <c r="G1" s="745"/>
    </row>
    <row r="2" spans="1:7" s="420" customFormat="1">
      <c r="A2" s="745" t="s">
        <v>315</v>
      </c>
      <c r="B2" s="745"/>
      <c r="C2" s="745"/>
      <c r="D2" s="745"/>
      <c r="E2" s="745"/>
      <c r="F2" s="745"/>
      <c r="G2" s="745"/>
    </row>
    <row r="3" spans="1:7" s="420" customFormat="1">
      <c r="A3" s="745" t="s">
        <v>393</v>
      </c>
      <c r="B3" s="745"/>
      <c r="C3" s="745"/>
      <c r="D3" s="745"/>
      <c r="E3" s="745"/>
      <c r="F3" s="745"/>
      <c r="G3" s="745"/>
    </row>
    <row r="4" spans="1:7" s="420" customFormat="1">
      <c r="A4" s="746" t="s">
        <v>3</v>
      </c>
      <c r="B4" s="746"/>
      <c r="C4" s="746"/>
      <c r="D4" s="746"/>
      <c r="E4" s="746"/>
      <c r="F4" s="746"/>
      <c r="G4" s="746"/>
    </row>
    <row r="5" spans="1:7" s="420" customFormat="1">
      <c r="A5" s="746" t="s">
        <v>317</v>
      </c>
      <c r="B5" s="746"/>
      <c r="C5" s="746"/>
      <c r="D5" s="746"/>
      <c r="E5" s="746"/>
      <c r="F5" s="746"/>
      <c r="G5" s="746"/>
    </row>
    <row r="6" spans="1:7" s="420" customFormat="1" ht="17.25" thickBot="1">
      <c r="A6" s="232"/>
      <c r="B6" s="747" t="s">
        <v>5</v>
      </c>
      <c r="C6" s="747"/>
      <c r="D6" s="747"/>
      <c r="E6" s="747"/>
      <c r="F6" s="232" t="s">
        <v>394</v>
      </c>
      <c r="G6" s="708" t="s">
        <v>318</v>
      </c>
    </row>
    <row r="7" spans="1:7" s="438" customFormat="1" ht="38.25">
      <c r="A7" s="801" t="s">
        <v>393</v>
      </c>
      <c r="B7" s="286" t="s">
        <v>320</v>
      </c>
      <c r="C7" s="286" t="s">
        <v>321</v>
      </c>
      <c r="D7" s="286" t="s">
        <v>322</v>
      </c>
      <c r="E7" s="286" t="s">
        <v>323</v>
      </c>
      <c r="F7" s="286" t="s">
        <v>324</v>
      </c>
      <c r="G7" s="288" t="s">
        <v>325</v>
      </c>
    </row>
    <row r="8" spans="1:7" s="441" customFormat="1" ht="17.25" thickBot="1">
      <c r="A8" s="802"/>
      <c r="B8" s="439" t="s">
        <v>268</v>
      </c>
      <c r="C8" s="439" t="s">
        <v>269</v>
      </c>
      <c r="D8" s="439" t="s">
        <v>326</v>
      </c>
      <c r="E8" s="439" t="s">
        <v>271</v>
      </c>
      <c r="F8" s="439" t="s">
        <v>272</v>
      </c>
      <c r="G8" s="440" t="s">
        <v>327</v>
      </c>
    </row>
    <row r="9" spans="1:7" ht="21" customHeight="1">
      <c r="A9" s="442" t="s">
        <v>395</v>
      </c>
      <c r="B9" s="428">
        <v>145694017</v>
      </c>
      <c r="C9" s="428">
        <v>1269708.3400000001</v>
      </c>
      <c r="D9" s="431">
        <f>IF($A9="","",B9+C9)</f>
        <v>146963725.34</v>
      </c>
      <c r="E9" s="428">
        <v>2622257.23</v>
      </c>
      <c r="F9" s="428">
        <v>23771353.32</v>
      </c>
      <c r="G9" s="435">
        <f>IF($A9="","",D9-E9)</f>
        <v>144341468.11000001</v>
      </c>
    </row>
    <row r="10" spans="1:7" ht="21" customHeight="1">
      <c r="A10" s="442" t="s">
        <v>396</v>
      </c>
      <c r="B10" s="428">
        <v>2485200</v>
      </c>
      <c r="C10" s="428">
        <v>842056.33</v>
      </c>
      <c r="D10" s="431">
        <f t="shared" ref="D10:D57" si="0">IF($A10="","",B10+C10)</f>
        <v>3327256.33</v>
      </c>
      <c r="E10" s="428">
        <v>33060</v>
      </c>
      <c r="F10" s="428">
        <v>1535398.47</v>
      </c>
      <c r="G10" s="435">
        <f t="shared" ref="G10:G59" si="1">IF($A10="","",D10-E10)</f>
        <v>3294196.33</v>
      </c>
    </row>
    <row r="11" spans="1:7" ht="21" customHeight="1">
      <c r="A11" s="442" t="s">
        <v>397</v>
      </c>
      <c r="B11" s="428">
        <v>1668608</v>
      </c>
      <c r="C11" s="428">
        <v>485755.97</v>
      </c>
      <c r="D11" s="431">
        <f t="shared" si="0"/>
        <v>2154363.9699999997</v>
      </c>
      <c r="E11" s="428">
        <v>11305</v>
      </c>
      <c r="F11" s="428">
        <v>721040.29</v>
      </c>
      <c r="G11" s="435">
        <f t="shared" si="1"/>
        <v>2143058.9699999997</v>
      </c>
    </row>
    <row r="12" spans="1:7" ht="21" customHeight="1">
      <c r="A12" s="442" t="s">
        <v>398</v>
      </c>
      <c r="B12" s="428">
        <v>23056084.649999999</v>
      </c>
      <c r="C12" s="428">
        <v>76443834.819999993</v>
      </c>
      <c r="D12" s="431">
        <f t="shared" si="0"/>
        <v>99499919.469999999</v>
      </c>
      <c r="E12" s="428">
        <v>101000.32000000001</v>
      </c>
      <c r="F12" s="428">
        <v>5103788.83</v>
      </c>
      <c r="G12" s="435">
        <f t="shared" si="1"/>
        <v>99398919.150000006</v>
      </c>
    </row>
    <row r="13" spans="1:7" ht="21" customHeight="1">
      <c r="A13" s="442" t="s">
        <v>399</v>
      </c>
      <c r="B13" s="428">
        <v>30488137.120000001</v>
      </c>
      <c r="C13" s="428">
        <v>46669410.920000002</v>
      </c>
      <c r="D13" s="431">
        <f t="shared" si="0"/>
        <v>77157548.040000007</v>
      </c>
      <c r="E13" s="428">
        <v>84717.290000000008</v>
      </c>
      <c r="F13" s="428">
        <v>15841267.090000002</v>
      </c>
      <c r="G13" s="435">
        <f t="shared" si="1"/>
        <v>77072830.75</v>
      </c>
    </row>
    <row r="14" spans="1:7" ht="21" customHeight="1">
      <c r="A14" s="442" t="s">
        <v>400</v>
      </c>
      <c r="B14" s="428">
        <v>9127381.4199999999</v>
      </c>
      <c r="C14" s="428">
        <v>695378.15</v>
      </c>
      <c r="D14" s="431">
        <f t="shared" si="0"/>
        <v>9822759.5700000003</v>
      </c>
      <c r="E14" s="428">
        <v>33060</v>
      </c>
      <c r="F14" s="428">
        <v>2777136.18</v>
      </c>
      <c r="G14" s="435">
        <f t="shared" si="1"/>
        <v>9789699.5700000003</v>
      </c>
    </row>
    <row r="15" spans="1:7" ht="21" customHeight="1">
      <c r="A15" s="442" t="s">
        <v>401</v>
      </c>
      <c r="B15" s="428">
        <v>3000000</v>
      </c>
      <c r="C15" s="428">
        <v>0</v>
      </c>
      <c r="D15" s="431">
        <f t="shared" si="0"/>
        <v>3000000</v>
      </c>
      <c r="E15" s="428">
        <v>8325</v>
      </c>
      <c r="F15" s="428">
        <v>39677</v>
      </c>
      <c r="G15" s="435">
        <f t="shared" si="1"/>
        <v>2991675</v>
      </c>
    </row>
    <row r="16" spans="1:7" ht="21" customHeight="1">
      <c r="A16" s="442" t="s">
        <v>402</v>
      </c>
      <c r="B16" s="428">
        <v>94585192</v>
      </c>
      <c r="C16" s="428">
        <v>21328724.41</v>
      </c>
      <c r="D16" s="431">
        <f t="shared" si="0"/>
        <v>115913916.41</v>
      </c>
      <c r="E16" s="428">
        <v>37843.17</v>
      </c>
      <c r="F16" s="428">
        <v>3637130.61</v>
      </c>
      <c r="G16" s="435">
        <f t="shared" si="1"/>
        <v>115876073.23999999</v>
      </c>
    </row>
    <row r="17" spans="1:7" ht="21" customHeight="1">
      <c r="A17" s="442" t="s">
        <v>403</v>
      </c>
      <c r="B17" s="428">
        <v>61732319.869999997</v>
      </c>
      <c r="C17" s="428">
        <v>6461221.79</v>
      </c>
      <c r="D17" s="431"/>
      <c r="E17" s="428">
        <v>299549.61</v>
      </c>
      <c r="F17" s="428">
        <v>16866467.780000001</v>
      </c>
      <c r="G17" s="435"/>
    </row>
    <row r="18" spans="1:7" ht="21" customHeight="1">
      <c r="A18" s="442" t="s">
        <v>404</v>
      </c>
      <c r="B18" s="428">
        <v>20053952.949999999</v>
      </c>
      <c r="C18" s="428">
        <v>151228.93</v>
      </c>
      <c r="D18" s="431"/>
      <c r="E18" s="428">
        <v>33060</v>
      </c>
      <c r="F18" s="428">
        <v>2001986.12</v>
      </c>
      <c r="G18" s="435"/>
    </row>
    <row r="19" spans="1:7" ht="21" customHeight="1">
      <c r="A19" s="442" t="s">
        <v>405</v>
      </c>
      <c r="B19" s="428">
        <v>3000000</v>
      </c>
      <c r="C19" s="428">
        <v>73438.94</v>
      </c>
      <c r="D19" s="431"/>
      <c r="E19" s="428">
        <v>68841</v>
      </c>
      <c r="F19" s="428">
        <v>131611.76999999999</v>
      </c>
      <c r="G19" s="435"/>
    </row>
    <row r="20" spans="1:7" ht="21" customHeight="1">
      <c r="A20" s="442" t="s">
        <v>406</v>
      </c>
      <c r="B20" s="428">
        <v>3000000</v>
      </c>
      <c r="C20" s="428">
        <v>-492986.34</v>
      </c>
      <c r="D20" s="431">
        <f t="shared" ref="D20:D27" si="2">IF($A20="","",B20+C20)</f>
        <v>2507013.66</v>
      </c>
      <c r="E20" s="428">
        <v>35950</v>
      </c>
      <c r="F20" s="428">
        <v>156156.65</v>
      </c>
      <c r="G20" s="435">
        <f t="shared" ref="G20:G27" si="3">IF($A20="","",D20-E20)</f>
        <v>2471063.66</v>
      </c>
    </row>
    <row r="21" spans="1:7" ht="21" customHeight="1">
      <c r="A21" s="442" t="s">
        <v>407</v>
      </c>
      <c r="B21" s="428">
        <v>3000000</v>
      </c>
      <c r="C21" s="428">
        <v>128260.02</v>
      </c>
      <c r="D21" s="431">
        <f t="shared" si="2"/>
        <v>3128260.02</v>
      </c>
      <c r="E21" s="428">
        <v>36824.36</v>
      </c>
      <c r="F21" s="428">
        <v>118709.36</v>
      </c>
      <c r="G21" s="435">
        <f t="shared" si="3"/>
        <v>3091435.66</v>
      </c>
    </row>
    <row r="22" spans="1:7" ht="21" customHeight="1">
      <c r="A22" s="442" t="s">
        <v>408</v>
      </c>
      <c r="B22" s="428">
        <v>38485971</v>
      </c>
      <c r="C22" s="428">
        <v>10696407.42</v>
      </c>
      <c r="D22" s="431">
        <f t="shared" si="2"/>
        <v>49182378.420000002</v>
      </c>
      <c r="E22" s="428">
        <v>235929.04</v>
      </c>
      <c r="F22" s="428">
        <v>14113234.73</v>
      </c>
      <c r="G22" s="435">
        <f t="shared" si="3"/>
        <v>48946449.380000003</v>
      </c>
    </row>
    <row r="23" spans="1:7" ht="21" customHeight="1">
      <c r="A23" s="442" t="s">
        <v>409</v>
      </c>
      <c r="B23" s="428">
        <v>1454880</v>
      </c>
      <c r="C23" s="428">
        <v>1056859.71</v>
      </c>
      <c r="D23" s="431">
        <f t="shared" si="2"/>
        <v>2511739.71</v>
      </c>
      <c r="E23" s="428">
        <v>39240</v>
      </c>
      <c r="F23" s="428">
        <v>1271111.1000000001</v>
      </c>
      <c r="G23" s="435">
        <f t="shared" si="3"/>
        <v>2472499.71</v>
      </c>
    </row>
    <row r="24" spans="1:7" ht="21" customHeight="1">
      <c r="A24" s="442" t="s">
        <v>410</v>
      </c>
      <c r="B24" s="428">
        <v>54832111.009999998</v>
      </c>
      <c r="C24" s="428">
        <v>23658653.57</v>
      </c>
      <c r="D24" s="431">
        <f t="shared" si="2"/>
        <v>78490764.579999998</v>
      </c>
      <c r="E24" s="428">
        <v>96042.18</v>
      </c>
      <c r="F24" s="428">
        <v>9670724.3800000008</v>
      </c>
      <c r="G24" s="435">
        <f t="shared" si="3"/>
        <v>78394722.399999991</v>
      </c>
    </row>
    <row r="25" spans="1:7" ht="21" customHeight="1">
      <c r="A25" s="442" t="s">
        <v>411</v>
      </c>
      <c r="B25" s="428">
        <v>632990650.06999993</v>
      </c>
      <c r="C25" s="428">
        <v>112119311.01000001</v>
      </c>
      <c r="D25" s="431">
        <f t="shared" si="2"/>
        <v>745109961.07999992</v>
      </c>
      <c r="E25" s="428">
        <v>1602605.57</v>
      </c>
      <c r="F25" s="428">
        <v>33760938.030000001</v>
      </c>
      <c r="G25" s="435">
        <f t="shared" si="3"/>
        <v>743507355.50999987</v>
      </c>
    </row>
    <row r="26" spans="1:7" ht="21" customHeight="1">
      <c r="A26" s="442" t="s">
        <v>412</v>
      </c>
      <c r="B26" s="428">
        <v>395745714.83000004</v>
      </c>
      <c r="C26" s="428">
        <v>108347872</v>
      </c>
      <c r="D26" s="431">
        <f t="shared" si="2"/>
        <v>504093586.83000004</v>
      </c>
      <c r="E26" s="428">
        <v>1818849.63</v>
      </c>
      <c r="F26" s="428">
        <v>26366386.760000002</v>
      </c>
      <c r="G26" s="435">
        <f t="shared" si="3"/>
        <v>502274737.20000005</v>
      </c>
    </row>
    <row r="27" spans="1:7" ht="21" customHeight="1">
      <c r="A27" s="442" t="s">
        <v>413</v>
      </c>
      <c r="B27" s="428">
        <v>41559166.560000002</v>
      </c>
      <c r="C27" s="428">
        <v>4997983.45</v>
      </c>
      <c r="D27" s="431">
        <f t="shared" si="2"/>
        <v>46557150.010000005</v>
      </c>
      <c r="E27" s="428">
        <v>528960</v>
      </c>
      <c r="F27" s="428">
        <v>7362485.2800000003</v>
      </c>
      <c r="G27" s="435">
        <f t="shared" si="3"/>
        <v>46028190.010000005</v>
      </c>
    </row>
    <row r="28" spans="1:7" ht="21" customHeight="1">
      <c r="A28" s="442" t="s">
        <v>414</v>
      </c>
      <c r="B28" s="428">
        <v>5453190</v>
      </c>
      <c r="C28" s="428">
        <v>414886.11</v>
      </c>
      <c r="D28" s="431"/>
      <c r="E28" s="428">
        <v>132240</v>
      </c>
      <c r="F28" s="428">
        <v>1094647.25</v>
      </c>
      <c r="G28" s="435"/>
    </row>
    <row r="29" spans="1:7" ht="21" customHeight="1">
      <c r="A29" s="442" t="s">
        <v>415</v>
      </c>
      <c r="B29" s="428">
        <v>9711644.1799999997</v>
      </c>
      <c r="C29" s="428">
        <v>-1210477.83</v>
      </c>
      <c r="D29" s="431"/>
      <c r="E29" s="428">
        <v>132240</v>
      </c>
      <c r="F29" s="428">
        <v>1814884.41</v>
      </c>
      <c r="G29" s="435"/>
    </row>
    <row r="30" spans="1:7" ht="21" customHeight="1">
      <c r="A30" s="442" t="s">
        <v>416</v>
      </c>
      <c r="B30" s="428">
        <v>84431499.980000004</v>
      </c>
      <c r="C30" s="428">
        <v>5274415.92</v>
      </c>
      <c r="D30" s="431">
        <f t="shared" si="0"/>
        <v>89705915.900000006</v>
      </c>
      <c r="E30" s="428">
        <v>702818.53</v>
      </c>
      <c r="F30" s="428">
        <v>14467998.42</v>
      </c>
      <c r="G30" s="435">
        <f t="shared" si="1"/>
        <v>89003097.370000005</v>
      </c>
    </row>
    <row r="31" spans="1:7" ht="21" customHeight="1">
      <c r="A31" s="442" t="s">
        <v>417</v>
      </c>
      <c r="B31" s="428">
        <v>32291885.93</v>
      </c>
      <c r="C31" s="428">
        <v>29123.08</v>
      </c>
      <c r="D31" s="431">
        <f t="shared" si="0"/>
        <v>32321009.009999998</v>
      </c>
      <c r="E31" s="428">
        <v>0</v>
      </c>
      <c r="F31" s="428">
        <v>4361673.37</v>
      </c>
      <c r="G31" s="435">
        <f t="shared" si="1"/>
        <v>32321009.009999998</v>
      </c>
    </row>
    <row r="32" spans="1:7" ht="21" customHeight="1">
      <c r="A32" s="442" t="s">
        <v>418</v>
      </c>
      <c r="B32" s="428">
        <v>247183761.67000002</v>
      </c>
      <c r="C32" s="428">
        <v>-4194969.55</v>
      </c>
      <c r="D32" s="431">
        <f t="shared" si="0"/>
        <v>242988792.12</v>
      </c>
      <c r="E32" s="428">
        <v>1660163</v>
      </c>
      <c r="F32" s="428">
        <v>40931975.190000005</v>
      </c>
      <c r="G32" s="435">
        <f t="shared" si="1"/>
        <v>241328629.12</v>
      </c>
    </row>
    <row r="33" spans="1:7" ht="21" customHeight="1">
      <c r="A33" s="442" t="s">
        <v>419</v>
      </c>
      <c r="B33" s="428">
        <v>75805560.199999988</v>
      </c>
      <c r="C33" s="428">
        <v>37874515.270000003</v>
      </c>
      <c r="D33" s="431">
        <f t="shared" si="0"/>
        <v>113680075.47</v>
      </c>
      <c r="E33" s="428">
        <v>2053728.3</v>
      </c>
      <c r="F33" s="428">
        <v>7715094.6399999997</v>
      </c>
      <c r="G33" s="435">
        <f t="shared" si="1"/>
        <v>111626347.17</v>
      </c>
    </row>
    <row r="34" spans="1:7" ht="21" customHeight="1">
      <c r="A34" s="442" t="s">
        <v>420</v>
      </c>
      <c r="B34" s="428">
        <v>51146673.699999996</v>
      </c>
      <c r="C34" s="428">
        <v>11143168.99</v>
      </c>
      <c r="D34" s="431">
        <f t="shared" si="0"/>
        <v>62289842.689999998</v>
      </c>
      <c r="E34" s="428">
        <v>338000</v>
      </c>
      <c r="F34" s="428">
        <v>10173126.539999999</v>
      </c>
      <c r="G34" s="435">
        <f t="shared" si="1"/>
        <v>61951842.689999998</v>
      </c>
    </row>
    <row r="35" spans="1:7" ht="21" customHeight="1">
      <c r="A35" s="442" t="s">
        <v>421</v>
      </c>
      <c r="B35" s="428">
        <v>12245789.58</v>
      </c>
      <c r="C35" s="428">
        <v>-938022.98</v>
      </c>
      <c r="D35" s="431">
        <f t="shared" si="0"/>
        <v>11307766.6</v>
      </c>
      <c r="E35" s="428">
        <v>33060</v>
      </c>
      <c r="F35" s="428">
        <v>1449408.55</v>
      </c>
      <c r="G35" s="435">
        <f t="shared" si="1"/>
        <v>11274706.6</v>
      </c>
    </row>
    <row r="36" spans="1:7" ht="21" customHeight="1">
      <c r="A36" s="442" t="s">
        <v>422</v>
      </c>
      <c r="B36" s="428">
        <v>8180890.2200000007</v>
      </c>
      <c r="C36" s="428">
        <v>313097.84999999998</v>
      </c>
      <c r="D36" s="431">
        <f t="shared" si="0"/>
        <v>8493988.0700000003</v>
      </c>
      <c r="E36" s="428">
        <v>66120</v>
      </c>
      <c r="F36" s="428">
        <v>1306486.26</v>
      </c>
      <c r="G36" s="435">
        <f t="shared" si="1"/>
        <v>8427868.0700000003</v>
      </c>
    </row>
    <row r="37" spans="1:7" ht="21" customHeight="1">
      <c r="A37" s="442" t="s">
        <v>423</v>
      </c>
      <c r="B37" s="428">
        <v>1002715</v>
      </c>
      <c r="C37" s="428">
        <v>961.72</v>
      </c>
      <c r="D37" s="431">
        <f t="shared" si="0"/>
        <v>1003676.72</v>
      </c>
      <c r="E37" s="428">
        <v>66120</v>
      </c>
      <c r="F37" s="428">
        <v>28055.74</v>
      </c>
      <c r="G37" s="435">
        <f t="shared" si="1"/>
        <v>937556.72</v>
      </c>
    </row>
    <row r="38" spans="1:7" ht="21" customHeight="1">
      <c r="A38" s="442" t="s">
        <v>424</v>
      </c>
      <c r="B38" s="428">
        <v>899328</v>
      </c>
      <c r="C38" s="428">
        <v>28230.41</v>
      </c>
      <c r="D38" s="431">
        <f t="shared" si="0"/>
        <v>927558.41</v>
      </c>
      <c r="E38" s="428">
        <v>0</v>
      </c>
      <c r="F38" s="428">
        <v>253561.17</v>
      </c>
      <c r="G38" s="435">
        <f t="shared" si="1"/>
        <v>927558.41</v>
      </c>
    </row>
    <row r="39" spans="1:7" ht="21" customHeight="1">
      <c r="A39" s="442" t="s">
        <v>425</v>
      </c>
      <c r="B39" s="428">
        <v>6522032.29</v>
      </c>
      <c r="C39" s="428">
        <v>1999170.9</v>
      </c>
      <c r="D39" s="431">
        <f t="shared" ref="D39:D48" si="4">IF($A39="","",B39+C39)</f>
        <v>8521203.1899999995</v>
      </c>
      <c r="E39" s="428">
        <v>99180</v>
      </c>
      <c r="F39" s="428">
        <v>1251711.6000000001</v>
      </c>
      <c r="G39" s="435">
        <f t="shared" ref="G39:G49" si="5">IF($A39="","",D39-E39)</f>
        <v>8422023.1899999995</v>
      </c>
    </row>
    <row r="40" spans="1:7" ht="21" customHeight="1">
      <c r="A40" s="442" t="s">
        <v>426</v>
      </c>
      <c r="B40" s="428">
        <v>283227006.84000003</v>
      </c>
      <c r="C40" s="428">
        <v>-53858408.780000001</v>
      </c>
      <c r="D40" s="431">
        <f t="shared" si="4"/>
        <v>229368598.06000003</v>
      </c>
      <c r="E40" s="428">
        <v>1166281.6000000001</v>
      </c>
      <c r="F40" s="428">
        <v>47807988.300000004</v>
      </c>
      <c r="G40" s="435">
        <f t="shared" si="5"/>
        <v>228202316.46000004</v>
      </c>
    </row>
    <row r="41" spans="1:7" ht="21" customHeight="1">
      <c r="A41" s="442" t="s">
        <v>427</v>
      </c>
      <c r="B41" s="428">
        <v>60737048.219999999</v>
      </c>
      <c r="C41" s="428">
        <v>59345.75</v>
      </c>
      <c r="D41" s="431">
        <f t="shared" si="4"/>
        <v>60796393.969999999</v>
      </c>
      <c r="E41" s="428">
        <v>237530.68</v>
      </c>
      <c r="F41" s="428">
        <v>13510743.629999999</v>
      </c>
      <c r="G41" s="435">
        <f t="shared" si="5"/>
        <v>60558863.289999999</v>
      </c>
    </row>
    <row r="42" spans="1:7" ht="21" customHeight="1">
      <c r="A42" s="442" t="s">
        <v>428</v>
      </c>
      <c r="B42" s="428">
        <v>28848174.490000002</v>
      </c>
      <c r="C42" s="428">
        <v>-4261886.2</v>
      </c>
      <c r="D42" s="431">
        <f t="shared" ref="D42" si="6">IF($A42="","",B42+C42)</f>
        <v>24586288.290000003</v>
      </c>
      <c r="E42" s="428">
        <v>147622.64000000001</v>
      </c>
      <c r="F42" s="428">
        <v>5550976.8900000006</v>
      </c>
      <c r="G42" s="435">
        <f t="shared" ref="G42:G47" si="7">IF($A42="","",D42-E42)</f>
        <v>24438665.650000002</v>
      </c>
    </row>
    <row r="43" spans="1:7" ht="21" customHeight="1">
      <c r="A43" s="442" t="s">
        <v>429</v>
      </c>
      <c r="B43" s="428">
        <v>24613941.199999999</v>
      </c>
      <c r="C43" s="428">
        <v>7382435.2000000002</v>
      </c>
      <c r="D43" s="431">
        <f>IF($A43="","",B43+C43)</f>
        <v>31996376.399999999</v>
      </c>
      <c r="E43" s="428">
        <v>2003882</v>
      </c>
      <c r="F43" s="428">
        <v>6544679.3200000003</v>
      </c>
      <c r="G43" s="435">
        <f t="shared" si="7"/>
        <v>29992494.399999999</v>
      </c>
    </row>
    <row r="44" spans="1:7" ht="21" customHeight="1">
      <c r="A44" s="442" t="s">
        <v>430</v>
      </c>
      <c r="B44" s="428">
        <v>81105492.75</v>
      </c>
      <c r="C44" s="428">
        <v>-26905421.539999999</v>
      </c>
      <c r="D44" s="431">
        <f t="shared" ref="D44:D47" si="8">IF($A44="","",B44+C44)</f>
        <v>54200071.210000001</v>
      </c>
      <c r="E44" s="428">
        <v>306398.09999999998</v>
      </c>
      <c r="F44" s="428">
        <v>9273168.4799999986</v>
      </c>
      <c r="G44" s="435">
        <f t="shared" si="7"/>
        <v>53893673.109999999</v>
      </c>
    </row>
    <row r="45" spans="1:7" ht="21" customHeight="1">
      <c r="A45" s="442" t="s">
        <v>431</v>
      </c>
      <c r="B45" s="428">
        <v>59407267.230000004</v>
      </c>
      <c r="C45" s="428">
        <v>-10025719.859999999</v>
      </c>
      <c r="D45" s="431">
        <f t="shared" si="8"/>
        <v>49381547.370000005</v>
      </c>
      <c r="E45" s="428">
        <v>462840</v>
      </c>
      <c r="F45" s="428">
        <v>10025857.790000001</v>
      </c>
      <c r="G45" s="435">
        <f t="shared" si="7"/>
        <v>48918707.370000005</v>
      </c>
    </row>
    <row r="46" spans="1:7" ht="21" customHeight="1">
      <c r="A46" s="442" t="s">
        <v>432</v>
      </c>
      <c r="B46" s="428">
        <v>87363194.870000005</v>
      </c>
      <c r="C46" s="428">
        <v>-19008934.920000002</v>
      </c>
      <c r="D46" s="431">
        <f t="shared" si="8"/>
        <v>68354259.950000003</v>
      </c>
      <c r="E46" s="428">
        <v>429780</v>
      </c>
      <c r="F46" s="428">
        <v>13923130.879999999</v>
      </c>
      <c r="G46" s="435">
        <f t="shared" si="7"/>
        <v>67924479.950000003</v>
      </c>
    </row>
    <row r="47" spans="1:7" ht="21" customHeight="1">
      <c r="A47" s="442" t="s">
        <v>433</v>
      </c>
      <c r="B47" s="428">
        <v>42972370.960000001</v>
      </c>
      <c r="C47" s="428">
        <v>-2687937.6</v>
      </c>
      <c r="D47" s="431">
        <f t="shared" si="8"/>
        <v>40284433.359999999</v>
      </c>
      <c r="E47" s="428">
        <v>462840</v>
      </c>
      <c r="F47" s="428">
        <v>5981064.6200000001</v>
      </c>
      <c r="G47" s="435">
        <f t="shared" si="7"/>
        <v>39821593.359999999</v>
      </c>
    </row>
    <row r="48" spans="1:7" ht="21" customHeight="1">
      <c r="A48" s="442" t="s">
        <v>434</v>
      </c>
      <c r="B48" s="428">
        <v>78144626.269999996</v>
      </c>
      <c r="C48" s="428">
        <v>-16960269.969999999</v>
      </c>
      <c r="D48" s="431">
        <f t="shared" si="4"/>
        <v>61184356.299999997</v>
      </c>
      <c r="E48" s="428">
        <v>556599.69999999995</v>
      </c>
      <c r="F48" s="428">
        <v>10137078.789999999</v>
      </c>
      <c r="G48" s="435">
        <f t="shared" si="5"/>
        <v>60627756.599999994</v>
      </c>
    </row>
    <row r="49" spans="1:7" ht="21" customHeight="1">
      <c r="A49" s="442" t="s">
        <v>435</v>
      </c>
      <c r="B49" s="428">
        <v>91198703.900000006</v>
      </c>
      <c r="C49" s="428">
        <v>-16141439.58</v>
      </c>
      <c r="D49" s="431">
        <f>IF($A49="","",B49+C49)</f>
        <v>75057264.320000008</v>
      </c>
      <c r="E49" s="428">
        <v>1328299.3799999999</v>
      </c>
      <c r="F49" s="428">
        <v>16952269.82</v>
      </c>
      <c r="G49" s="435">
        <f t="shared" si="5"/>
        <v>73728964.940000013</v>
      </c>
    </row>
    <row r="50" spans="1:7" ht="21" customHeight="1">
      <c r="A50" s="442" t="s">
        <v>436</v>
      </c>
      <c r="B50" s="428">
        <v>38732747.390000001</v>
      </c>
      <c r="C50" s="428">
        <v>12503317.970000001</v>
      </c>
      <c r="D50" s="431"/>
      <c r="E50" s="428">
        <v>230072.9</v>
      </c>
      <c r="F50" s="428">
        <v>12707012.220000001</v>
      </c>
      <c r="G50" s="435"/>
    </row>
    <row r="51" spans="1:7" ht="21" customHeight="1">
      <c r="A51" s="442" t="s">
        <v>437</v>
      </c>
      <c r="B51" s="428">
        <v>42801766.549999997</v>
      </c>
      <c r="C51" s="428">
        <v>945638.48</v>
      </c>
      <c r="D51" s="431"/>
      <c r="E51" s="428">
        <v>440616.99</v>
      </c>
      <c r="F51" s="428">
        <v>9355186.3900000006</v>
      </c>
      <c r="G51" s="435"/>
    </row>
    <row r="52" spans="1:7" ht="21" customHeight="1">
      <c r="A52" s="442" t="s">
        <v>438</v>
      </c>
      <c r="B52" s="428">
        <v>62448251.769999996</v>
      </c>
      <c r="C52" s="428">
        <v>-11304186.23</v>
      </c>
      <c r="D52" s="431"/>
      <c r="E52" s="428">
        <v>535920</v>
      </c>
      <c r="F52" s="428">
        <v>10795385.450000001</v>
      </c>
      <c r="G52" s="435"/>
    </row>
    <row r="53" spans="1:7" ht="21" customHeight="1">
      <c r="A53" s="442" t="s">
        <v>439</v>
      </c>
      <c r="B53" s="428">
        <v>185459218.16</v>
      </c>
      <c r="C53" s="428">
        <v>-46763125.740000002</v>
      </c>
      <c r="D53" s="431"/>
      <c r="E53" s="428">
        <v>721126.41</v>
      </c>
      <c r="F53" s="428">
        <v>25242394.850000001</v>
      </c>
      <c r="G53" s="435"/>
    </row>
    <row r="54" spans="1:7" ht="21" customHeight="1">
      <c r="A54" s="442" t="s">
        <v>440</v>
      </c>
      <c r="B54" s="428">
        <v>79828098.590000004</v>
      </c>
      <c r="C54" s="428">
        <v>-11014899.25</v>
      </c>
      <c r="D54" s="431">
        <f t="shared" si="0"/>
        <v>68813199.340000004</v>
      </c>
      <c r="E54" s="428">
        <v>712025.5</v>
      </c>
      <c r="F54" s="428">
        <v>15039436.520000001</v>
      </c>
      <c r="G54" s="435">
        <f t="shared" si="1"/>
        <v>68101173.840000004</v>
      </c>
    </row>
    <row r="55" spans="1:7" ht="21" customHeight="1">
      <c r="A55" s="442" t="s">
        <v>441</v>
      </c>
      <c r="B55" s="428">
        <v>160787060.37</v>
      </c>
      <c r="C55" s="428">
        <v>-28471184.710000001</v>
      </c>
      <c r="D55" s="431">
        <f t="shared" ref="D55" si="9">IF($A55="","",B55+C55)</f>
        <v>132315875.66</v>
      </c>
      <c r="E55" s="428">
        <v>333237.59999999998</v>
      </c>
      <c r="F55" s="428">
        <v>25953360.150000002</v>
      </c>
      <c r="G55" s="435">
        <f t="shared" ref="G55" si="10">IF($A55="","",D55-E55)</f>
        <v>131982638.06</v>
      </c>
    </row>
    <row r="56" spans="1:7" ht="21" customHeight="1">
      <c r="A56" s="442" t="s">
        <v>442</v>
      </c>
      <c r="B56" s="428">
        <v>78910703.269999996</v>
      </c>
      <c r="C56" s="428">
        <v>282834.89</v>
      </c>
      <c r="D56" s="431">
        <f t="shared" ref="D56" si="11">IF($A56="","",B56+C56)</f>
        <v>79193538.159999996</v>
      </c>
      <c r="E56" s="428">
        <v>633708</v>
      </c>
      <c r="F56" s="428">
        <v>12896359.210000001</v>
      </c>
      <c r="G56" s="435">
        <f t="shared" ref="G56" si="12">IF($A56="","",D56-E56)</f>
        <v>78559830.159999996</v>
      </c>
    </row>
    <row r="57" spans="1:7" ht="21" customHeight="1">
      <c r="A57" s="442" t="s">
        <v>443</v>
      </c>
      <c r="B57" s="428">
        <v>41850838.259999998</v>
      </c>
      <c r="C57" s="428">
        <v>-6586165.71</v>
      </c>
      <c r="D57" s="431">
        <f t="shared" si="0"/>
        <v>35264672.549999997</v>
      </c>
      <c r="E57" s="428">
        <v>132240</v>
      </c>
      <c r="F57" s="428">
        <v>7663531.7000000002</v>
      </c>
      <c r="G57" s="435">
        <f t="shared" si="1"/>
        <v>35132432.549999997</v>
      </c>
    </row>
    <row r="58" spans="1:7" ht="21" customHeight="1" thickBot="1">
      <c r="A58" s="442" t="s">
        <v>444</v>
      </c>
      <c r="B58" s="428">
        <v>66954187.090000004</v>
      </c>
      <c r="C58" s="428">
        <v>-10746127.66</v>
      </c>
      <c r="D58" s="431">
        <f>IF($A58="","",B58+C58)</f>
        <v>56208059.430000007</v>
      </c>
      <c r="E58" s="428">
        <v>528960</v>
      </c>
      <c r="F58" s="428">
        <v>11629071.91</v>
      </c>
      <c r="G58" s="435">
        <f t="shared" si="1"/>
        <v>55679099.430000007</v>
      </c>
    </row>
    <row r="59" spans="1:7" ht="21" customHeight="1" thickBot="1">
      <c r="A59" s="443" t="s">
        <v>377</v>
      </c>
      <c r="B59" s="444">
        <f>SUM(B9:B58)</f>
        <v>3696225055.4099998</v>
      </c>
      <c r="C59" s="444">
        <f>SUM(C9:C58)</f>
        <v>222105083.86999997</v>
      </c>
      <c r="D59" s="444">
        <f>IF($A59="","",B59+C59)</f>
        <v>3918330139.2799997</v>
      </c>
      <c r="E59" s="444">
        <f>SUM(E9:E58)</f>
        <v>24381070.729999997</v>
      </c>
      <c r="F59" s="444">
        <f>SUM(F9:F58)</f>
        <v>521083923.80999994</v>
      </c>
      <c r="G59" s="445">
        <f t="shared" si="1"/>
        <v>3893949068.5499997</v>
      </c>
    </row>
  </sheetData>
  <sheetProtection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51181102362204722" right="0.15748031496062992" top="0.74803149606299213" bottom="0.74803149606299213" header="0.31496062992125984" footer="0.31496062992125984"/>
  <pageSetup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5"/>
  <sheetViews>
    <sheetView topLeftCell="A10" zoomScaleSheetLayoutView="100" workbookViewId="0">
      <selection activeCell="C23" sqref="C23"/>
    </sheetView>
  </sheetViews>
  <sheetFormatPr baseColWidth="10" defaultColWidth="11.42578125" defaultRowHeight="16.5"/>
  <cols>
    <col min="1" max="1" width="39.85546875" style="418" customWidth="1"/>
    <col min="2" max="7" width="13.7109375" style="418" customWidth="1"/>
    <col min="8" max="16384" width="11.42578125" style="418"/>
  </cols>
  <sheetData>
    <row r="1" spans="1:7">
      <c r="A1" s="745" t="s">
        <v>0</v>
      </c>
      <c r="B1" s="745"/>
      <c r="C1" s="745"/>
      <c r="D1" s="745"/>
      <c r="E1" s="745"/>
      <c r="F1" s="745"/>
      <c r="G1" s="745"/>
    </row>
    <row r="2" spans="1:7" s="420" customFormat="1">
      <c r="A2" s="745" t="s">
        <v>315</v>
      </c>
      <c r="B2" s="745"/>
      <c r="C2" s="745"/>
      <c r="D2" s="745"/>
      <c r="E2" s="745"/>
      <c r="F2" s="745"/>
      <c r="G2" s="745"/>
    </row>
    <row r="3" spans="1:7" s="420" customFormat="1">
      <c r="A3" s="746" t="s">
        <v>445</v>
      </c>
      <c r="B3" s="746"/>
      <c r="C3" s="746"/>
      <c r="D3" s="746"/>
      <c r="E3" s="746"/>
      <c r="F3" s="746"/>
      <c r="G3" s="746"/>
    </row>
    <row r="4" spans="1:7" s="420" customFormat="1">
      <c r="A4" s="746" t="s">
        <v>3</v>
      </c>
      <c r="B4" s="746"/>
      <c r="C4" s="746"/>
      <c r="D4" s="746"/>
      <c r="E4" s="746"/>
      <c r="F4" s="746"/>
      <c r="G4" s="746"/>
    </row>
    <row r="5" spans="1:7" s="420" customFormat="1">
      <c r="A5" s="746" t="s">
        <v>317</v>
      </c>
      <c r="B5" s="746"/>
      <c r="C5" s="746"/>
      <c r="D5" s="746"/>
      <c r="E5" s="746"/>
      <c r="F5" s="746"/>
      <c r="G5" s="746"/>
    </row>
    <row r="6" spans="1:7" s="420" customFormat="1" ht="17.25" thickBot="1">
      <c r="A6" s="232"/>
      <c r="B6" s="747" t="s">
        <v>5</v>
      </c>
      <c r="C6" s="747"/>
      <c r="D6" s="747"/>
      <c r="E6" s="747"/>
      <c r="F6" s="84" t="s">
        <v>6</v>
      </c>
      <c r="G6" s="646" t="s">
        <v>318</v>
      </c>
    </row>
    <row r="7" spans="1:7" s="438" customFormat="1" ht="53.25" customHeight="1">
      <c r="A7" s="803" t="s">
        <v>445</v>
      </c>
      <c r="B7" s="447" t="s">
        <v>320</v>
      </c>
      <c r="C7" s="447" t="s">
        <v>321</v>
      </c>
      <c r="D7" s="447" t="s">
        <v>322</v>
      </c>
      <c r="E7" s="447" t="s">
        <v>323</v>
      </c>
      <c r="F7" s="447" t="s">
        <v>324</v>
      </c>
      <c r="G7" s="448" t="s">
        <v>325</v>
      </c>
    </row>
    <row r="8" spans="1:7" s="446" customFormat="1" ht="15.75" customHeight="1" thickBot="1">
      <c r="A8" s="804"/>
      <c r="B8" s="439" t="s">
        <v>268</v>
      </c>
      <c r="C8" s="439" t="s">
        <v>269</v>
      </c>
      <c r="D8" s="439" t="s">
        <v>326</v>
      </c>
      <c r="E8" s="439" t="s">
        <v>271</v>
      </c>
      <c r="F8" s="439" t="s">
        <v>272</v>
      </c>
      <c r="G8" s="440" t="s">
        <v>327</v>
      </c>
    </row>
    <row r="9" spans="1:7" ht="30" customHeight="1">
      <c r="A9" s="449"/>
      <c r="B9" s="450"/>
      <c r="C9" s="450"/>
      <c r="D9" s="451"/>
      <c r="E9" s="450"/>
      <c r="F9" s="450"/>
      <c r="G9" s="452"/>
    </row>
    <row r="10" spans="1:7" ht="30" customHeight="1">
      <c r="A10" s="427" t="s">
        <v>446</v>
      </c>
      <c r="B10" s="453"/>
      <c r="C10" s="453"/>
      <c r="D10" s="454">
        <f>B10+C10</f>
        <v>0</v>
      </c>
      <c r="E10" s="453"/>
      <c r="F10" s="453"/>
      <c r="G10" s="460">
        <f>D10-E10</f>
        <v>0</v>
      </c>
    </row>
    <row r="11" spans="1:7" ht="30" customHeight="1">
      <c r="A11" s="427" t="s">
        <v>447</v>
      </c>
      <c r="B11" s="453"/>
      <c r="C11" s="453"/>
      <c r="D11" s="454">
        <f t="shared" ref="D11:D13" si="0">B11+C11</f>
        <v>0</v>
      </c>
      <c r="E11" s="453"/>
      <c r="F11" s="453"/>
      <c r="G11" s="460">
        <f t="shared" ref="G11:G13" si="1">D11-E11</f>
        <v>0</v>
      </c>
    </row>
    <row r="12" spans="1:7" ht="30" customHeight="1">
      <c r="A12" s="427" t="s">
        <v>448</v>
      </c>
      <c r="B12" s="453"/>
      <c r="C12" s="453"/>
      <c r="D12" s="454">
        <f t="shared" si="0"/>
        <v>0</v>
      </c>
      <c r="E12" s="453"/>
      <c r="F12" s="453"/>
      <c r="G12" s="460">
        <f t="shared" si="1"/>
        <v>0</v>
      </c>
    </row>
    <row r="13" spans="1:7" ht="30" customHeight="1">
      <c r="A13" s="427" t="s">
        <v>449</v>
      </c>
      <c r="B13" s="453">
        <v>3696225055.4099998</v>
      </c>
      <c r="C13" s="453">
        <v>222105083.86999997</v>
      </c>
      <c r="D13" s="454">
        <f t="shared" si="0"/>
        <v>3918330139.2799997</v>
      </c>
      <c r="E13" s="453">
        <v>24381070.729999997</v>
      </c>
      <c r="F13" s="453">
        <v>521083923.80999994</v>
      </c>
      <c r="G13" s="460">
        <f t="shared" si="1"/>
        <v>3893949068.5499997</v>
      </c>
    </row>
    <row r="14" spans="1:7" ht="30" customHeight="1" thickBot="1">
      <c r="A14" s="429"/>
      <c r="B14" s="455"/>
      <c r="C14" s="455"/>
      <c r="D14" s="456"/>
      <c r="E14" s="455"/>
      <c r="F14" s="455"/>
      <c r="G14" s="654"/>
    </row>
    <row r="15" spans="1:7" s="438" customFormat="1" ht="30" customHeight="1" thickBot="1">
      <c r="A15" s="717" t="s">
        <v>377</v>
      </c>
      <c r="B15" s="457">
        <f>SUM(B10:B13)</f>
        <v>3696225055.4099998</v>
      </c>
      <c r="C15" s="457">
        <f>SUM(C10:C13)</f>
        <v>222105083.86999997</v>
      </c>
      <c r="D15" s="457">
        <f>B15+C15</f>
        <v>3918330139.2799997</v>
      </c>
      <c r="E15" s="457">
        <f>SUM(E10:E13)</f>
        <v>24381070.729999997</v>
      </c>
      <c r="F15" s="457">
        <f>SUM(F10:F13)</f>
        <v>521083923.80999994</v>
      </c>
      <c r="G15" s="655">
        <f>D15-E15</f>
        <v>3893949068.5499997</v>
      </c>
    </row>
  </sheetData>
  <sheetProtection sheet="1" objects="1" scenarios="1" insertHyperlinks="0"/>
  <mergeCells count="7">
    <mergeCell ref="A7:A8"/>
    <mergeCell ref="A5:G5"/>
    <mergeCell ref="A1:G1"/>
    <mergeCell ref="A2:G2"/>
    <mergeCell ref="A3:G3"/>
    <mergeCell ref="A4:G4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7"/>
  <sheetViews>
    <sheetView topLeftCell="A6" zoomScaleSheetLayoutView="100" workbookViewId="0">
      <selection activeCell="J21" sqref="J21:J24"/>
    </sheetView>
  </sheetViews>
  <sheetFormatPr baseColWidth="10" defaultColWidth="11.42578125" defaultRowHeight="16.5"/>
  <cols>
    <col min="1" max="1" width="39.85546875" style="418" customWidth="1"/>
    <col min="2" max="7" width="13.7109375" style="418" customWidth="1"/>
    <col min="8" max="16384" width="11.42578125" style="418"/>
  </cols>
  <sheetData>
    <row r="1" spans="1:7">
      <c r="A1" s="746" t="s">
        <v>0</v>
      </c>
      <c r="B1" s="746"/>
      <c r="C1" s="746"/>
      <c r="D1" s="746"/>
      <c r="E1" s="746"/>
      <c r="F1" s="746"/>
      <c r="G1" s="746"/>
    </row>
    <row r="2" spans="1:7">
      <c r="A2" s="746" t="s">
        <v>315</v>
      </c>
      <c r="B2" s="746"/>
      <c r="C2" s="746"/>
      <c r="D2" s="746"/>
      <c r="E2" s="746"/>
      <c r="F2" s="746"/>
      <c r="G2" s="746"/>
    </row>
    <row r="3" spans="1:7">
      <c r="A3" s="746" t="s">
        <v>450</v>
      </c>
      <c r="B3" s="746"/>
      <c r="C3" s="746"/>
      <c r="D3" s="746"/>
      <c r="E3" s="746"/>
      <c r="F3" s="746"/>
      <c r="G3" s="746"/>
    </row>
    <row r="4" spans="1:7">
      <c r="A4" s="746" t="s">
        <v>3</v>
      </c>
      <c r="B4" s="746"/>
      <c r="C4" s="746"/>
      <c r="D4" s="746"/>
      <c r="E4" s="746"/>
      <c r="F4" s="746"/>
      <c r="G4" s="746"/>
    </row>
    <row r="5" spans="1:7">
      <c r="A5" s="746" t="s">
        <v>317</v>
      </c>
      <c r="B5" s="746"/>
      <c r="C5" s="746"/>
      <c r="D5" s="746"/>
      <c r="E5" s="746"/>
      <c r="F5" s="746"/>
      <c r="G5" s="746"/>
    </row>
    <row r="6" spans="1:7" ht="17.25" thickBot="1">
      <c r="A6" s="232"/>
      <c r="B6" s="747" t="s">
        <v>5</v>
      </c>
      <c r="C6" s="747"/>
      <c r="D6" s="747"/>
      <c r="E6" s="747"/>
      <c r="F6" s="84" t="s">
        <v>6</v>
      </c>
      <c r="G6" s="646" t="s">
        <v>318</v>
      </c>
    </row>
    <row r="7" spans="1:7" s="424" customFormat="1" ht="40.5">
      <c r="A7" s="805" t="s">
        <v>132</v>
      </c>
      <c r="B7" s="458" t="s">
        <v>320</v>
      </c>
      <c r="C7" s="458" t="s">
        <v>321</v>
      </c>
      <c r="D7" s="458" t="s">
        <v>322</v>
      </c>
      <c r="E7" s="458" t="s">
        <v>323</v>
      </c>
      <c r="F7" s="458" t="s">
        <v>324</v>
      </c>
      <c r="G7" s="459" t="s">
        <v>325</v>
      </c>
    </row>
    <row r="8" spans="1:7" s="424" customFormat="1" ht="15.75" customHeight="1" thickBot="1">
      <c r="A8" s="806"/>
      <c r="B8" s="439" t="s">
        <v>268</v>
      </c>
      <c r="C8" s="439" t="s">
        <v>269</v>
      </c>
      <c r="D8" s="439" t="s">
        <v>326</v>
      </c>
      <c r="E8" s="439" t="s">
        <v>271</v>
      </c>
      <c r="F8" s="439" t="s">
        <v>272</v>
      </c>
      <c r="G8" s="440" t="s">
        <v>327</v>
      </c>
    </row>
    <row r="9" spans="1:7">
      <c r="A9" s="449"/>
      <c r="B9" s="453"/>
      <c r="C9" s="453"/>
      <c r="D9" s="454"/>
      <c r="E9" s="453"/>
      <c r="F9" s="453"/>
      <c r="G9" s="460"/>
    </row>
    <row r="10" spans="1:7" ht="25.5">
      <c r="A10" s="461" t="s">
        <v>451</v>
      </c>
      <c r="B10" s="453">
        <v>3696225055.4099998</v>
      </c>
      <c r="C10" s="453">
        <v>222105083.86999997</v>
      </c>
      <c r="D10" s="454">
        <f>IF(A10="","",B10+C10)</f>
        <v>3918330139.2799997</v>
      </c>
      <c r="E10" s="453">
        <v>24381070.729999997</v>
      </c>
      <c r="F10" s="453">
        <v>521083923.80999994</v>
      </c>
      <c r="G10" s="460">
        <f>IF(A10="","",D10-E10)</f>
        <v>3893949068.5499997</v>
      </c>
    </row>
    <row r="11" spans="1:7" ht="8.25" customHeight="1">
      <c r="A11" s="461"/>
      <c r="B11" s="453"/>
      <c r="C11" s="453"/>
      <c r="D11" s="454" t="str">
        <f t="shared" ref="D11:D24" si="0">IF(A11="","",B11+C11)</f>
        <v/>
      </c>
      <c r="E11" s="453"/>
      <c r="F11" s="453"/>
      <c r="G11" s="460" t="str">
        <f t="shared" ref="G11:G24" si="1">IF(A11="","",D11-E11)</f>
        <v/>
      </c>
    </row>
    <row r="12" spans="1:7">
      <c r="A12" s="461" t="s">
        <v>452</v>
      </c>
      <c r="B12" s="453"/>
      <c r="C12" s="453"/>
      <c r="D12" s="454">
        <f t="shared" si="0"/>
        <v>0</v>
      </c>
      <c r="E12" s="453"/>
      <c r="F12" s="453"/>
      <c r="G12" s="460">
        <f t="shared" si="1"/>
        <v>0</v>
      </c>
    </row>
    <row r="13" spans="1:7" ht="8.25" customHeight="1">
      <c r="A13" s="461"/>
      <c r="B13" s="453"/>
      <c r="C13" s="453"/>
      <c r="D13" s="454" t="str">
        <f t="shared" si="0"/>
        <v/>
      </c>
      <c r="E13" s="453"/>
      <c r="F13" s="453"/>
      <c r="G13" s="460" t="str">
        <f t="shared" si="1"/>
        <v/>
      </c>
    </row>
    <row r="14" spans="1:7" ht="25.5">
      <c r="A14" s="461" t="s">
        <v>453</v>
      </c>
      <c r="B14" s="453"/>
      <c r="C14" s="453"/>
      <c r="D14" s="454">
        <f t="shared" si="0"/>
        <v>0</v>
      </c>
      <c r="E14" s="453"/>
      <c r="F14" s="453"/>
      <c r="G14" s="460">
        <f t="shared" si="1"/>
        <v>0</v>
      </c>
    </row>
    <row r="15" spans="1:7" ht="8.25" customHeight="1">
      <c r="A15" s="461"/>
      <c r="B15" s="453"/>
      <c r="C15" s="453"/>
      <c r="D15" s="454" t="str">
        <f t="shared" si="0"/>
        <v/>
      </c>
      <c r="E15" s="453"/>
      <c r="F15" s="453"/>
      <c r="G15" s="460" t="str">
        <f t="shared" si="1"/>
        <v/>
      </c>
    </row>
    <row r="16" spans="1:7" ht="25.5">
      <c r="A16" s="461" t="s">
        <v>454</v>
      </c>
      <c r="B16" s="453"/>
      <c r="C16" s="453"/>
      <c r="D16" s="454">
        <f t="shared" si="0"/>
        <v>0</v>
      </c>
      <c r="E16" s="453"/>
      <c r="F16" s="453"/>
      <c r="G16" s="460">
        <f t="shared" si="1"/>
        <v>0</v>
      </c>
    </row>
    <row r="17" spans="1:7" ht="8.25" customHeight="1">
      <c r="A17" s="461"/>
      <c r="B17" s="453"/>
      <c r="C17" s="453"/>
      <c r="D17" s="454" t="str">
        <f t="shared" si="0"/>
        <v/>
      </c>
      <c r="E17" s="453"/>
      <c r="F17" s="453"/>
      <c r="G17" s="460" t="str">
        <f t="shared" si="1"/>
        <v/>
      </c>
    </row>
    <row r="18" spans="1:7" ht="25.5">
      <c r="A18" s="461" t="s">
        <v>455</v>
      </c>
      <c r="B18" s="453"/>
      <c r="C18" s="453"/>
      <c r="D18" s="454">
        <f t="shared" si="0"/>
        <v>0</v>
      </c>
      <c r="E18" s="453"/>
      <c r="F18" s="453"/>
      <c r="G18" s="460">
        <f t="shared" si="1"/>
        <v>0</v>
      </c>
    </row>
    <row r="19" spans="1:7" ht="8.25" customHeight="1">
      <c r="A19" s="461"/>
      <c r="B19" s="453"/>
      <c r="C19" s="453"/>
      <c r="D19" s="454" t="str">
        <f t="shared" si="0"/>
        <v/>
      </c>
      <c r="E19" s="453"/>
      <c r="F19" s="453"/>
      <c r="G19" s="460" t="str">
        <f t="shared" si="1"/>
        <v/>
      </c>
    </row>
    <row r="20" spans="1:7" ht="25.5">
      <c r="A20" s="461" t="s">
        <v>456</v>
      </c>
      <c r="B20" s="453"/>
      <c r="C20" s="453"/>
      <c r="D20" s="454">
        <f t="shared" si="0"/>
        <v>0</v>
      </c>
      <c r="E20" s="453"/>
      <c r="F20" s="453"/>
      <c r="G20" s="460">
        <f t="shared" si="1"/>
        <v>0</v>
      </c>
    </row>
    <row r="21" spans="1:7" ht="8.25" customHeight="1">
      <c r="A21" s="461"/>
      <c r="B21" s="453"/>
      <c r="C21" s="453"/>
      <c r="D21" s="454" t="str">
        <f t="shared" si="0"/>
        <v/>
      </c>
      <c r="E21" s="453"/>
      <c r="F21" s="453"/>
      <c r="G21" s="460" t="str">
        <f t="shared" si="1"/>
        <v/>
      </c>
    </row>
    <row r="22" spans="1:7" ht="25.5">
      <c r="A22" s="461" t="s">
        <v>457</v>
      </c>
      <c r="B22" s="453"/>
      <c r="C22" s="453"/>
      <c r="D22" s="454">
        <f t="shared" si="0"/>
        <v>0</v>
      </c>
      <c r="E22" s="453"/>
      <c r="F22" s="453"/>
      <c r="G22" s="460">
        <f t="shared" si="1"/>
        <v>0</v>
      </c>
    </row>
    <row r="23" spans="1:7" ht="8.25" customHeight="1" thickBot="1">
      <c r="A23" s="449"/>
      <c r="B23" s="453"/>
      <c r="C23" s="453"/>
      <c r="D23" s="454" t="str">
        <f t="shared" si="0"/>
        <v/>
      </c>
      <c r="E23" s="453"/>
      <c r="F23" s="453"/>
      <c r="G23" s="460" t="str">
        <f t="shared" si="1"/>
        <v/>
      </c>
    </row>
    <row r="24" spans="1:7" ht="25.5" customHeight="1" thickBot="1">
      <c r="A24" s="443" t="s">
        <v>377</v>
      </c>
      <c r="B24" s="444">
        <f>SUM(B10:B22)</f>
        <v>3696225055.4099998</v>
      </c>
      <c r="C24" s="444">
        <f>SUM(C10:C22)</f>
        <v>222105083.86999997</v>
      </c>
      <c r="D24" s="444">
        <f t="shared" si="0"/>
        <v>3918330139.2799997</v>
      </c>
      <c r="E24" s="444">
        <f>SUM(E10:E23)</f>
        <v>24381070.729999997</v>
      </c>
      <c r="F24" s="444">
        <f>SUM(F10:F23)</f>
        <v>521083923.80999994</v>
      </c>
      <c r="G24" s="445">
        <f t="shared" si="1"/>
        <v>3893949068.5499997</v>
      </c>
    </row>
    <row r="26" spans="1:7">
      <c r="F26" s="438"/>
    </row>
    <row r="27" spans="1:7">
      <c r="F27" s="438"/>
    </row>
  </sheetData>
  <sheetProtection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45"/>
  <sheetViews>
    <sheetView zoomScaleSheetLayoutView="100" workbookViewId="0">
      <selection activeCell="A6" sqref="A6"/>
    </sheetView>
  </sheetViews>
  <sheetFormatPr baseColWidth="10" defaultColWidth="11.42578125" defaultRowHeight="15"/>
  <cols>
    <col min="1" max="1" width="36.7109375" style="462" customWidth="1"/>
    <col min="2" max="5" width="11.42578125" style="478"/>
    <col min="6" max="6" width="11.85546875" style="478" customWidth="1"/>
    <col min="7" max="7" width="11.42578125" style="478"/>
    <col min="8" max="16384" width="11.42578125" style="462"/>
  </cols>
  <sheetData>
    <row r="1" spans="1:7" ht="16.5">
      <c r="A1" s="746" t="s">
        <v>0</v>
      </c>
      <c r="B1" s="746"/>
      <c r="C1" s="746"/>
      <c r="D1" s="746"/>
      <c r="E1" s="746"/>
      <c r="F1" s="746"/>
      <c r="G1" s="746"/>
    </row>
    <row r="2" spans="1:7" ht="16.5">
      <c r="A2" s="746" t="s">
        <v>315</v>
      </c>
      <c r="B2" s="746"/>
      <c r="C2" s="746"/>
      <c r="D2" s="746"/>
      <c r="E2" s="746"/>
      <c r="F2" s="746"/>
      <c r="G2" s="746"/>
    </row>
    <row r="3" spans="1:7" ht="16.5">
      <c r="A3" s="746" t="s">
        <v>458</v>
      </c>
      <c r="B3" s="746"/>
      <c r="C3" s="746"/>
      <c r="D3" s="746"/>
      <c r="E3" s="746"/>
      <c r="F3" s="746"/>
      <c r="G3" s="746"/>
    </row>
    <row r="4" spans="1:7" ht="16.5">
      <c r="A4" s="746" t="s">
        <v>3</v>
      </c>
      <c r="B4" s="746"/>
      <c r="C4" s="746"/>
      <c r="D4" s="746"/>
      <c r="E4" s="746"/>
      <c r="F4" s="746"/>
      <c r="G4" s="746"/>
    </row>
    <row r="5" spans="1:7" ht="16.5">
      <c r="A5" s="746" t="s">
        <v>317</v>
      </c>
      <c r="B5" s="746"/>
      <c r="C5" s="746"/>
      <c r="D5" s="746"/>
      <c r="E5" s="746"/>
      <c r="F5" s="746"/>
      <c r="G5" s="746"/>
    </row>
    <row r="6" spans="1:7" ht="17.25" thickBot="1">
      <c r="A6" s="232"/>
      <c r="B6" s="807"/>
      <c r="C6" s="807"/>
      <c r="D6" s="807"/>
      <c r="E6" s="807"/>
      <c r="F6" s="463" t="s">
        <v>6</v>
      </c>
      <c r="G6" s="647" t="s">
        <v>318</v>
      </c>
    </row>
    <row r="7" spans="1:7" s="466" customFormat="1" ht="40.5">
      <c r="A7" s="805" t="s">
        <v>132</v>
      </c>
      <c r="B7" s="464" t="s">
        <v>320</v>
      </c>
      <c r="C7" s="464" t="s">
        <v>321</v>
      </c>
      <c r="D7" s="464" t="s">
        <v>322</v>
      </c>
      <c r="E7" s="464" t="s">
        <v>323</v>
      </c>
      <c r="F7" s="464" t="s">
        <v>324</v>
      </c>
      <c r="G7" s="465" t="s">
        <v>325</v>
      </c>
    </row>
    <row r="8" spans="1:7" s="466" customFormat="1" ht="15.75" customHeight="1" thickBot="1">
      <c r="A8" s="806"/>
      <c r="B8" s="467" t="s">
        <v>268</v>
      </c>
      <c r="C8" s="467" t="s">
        <v>269</v>
      </c>
      <c r="D8" s="467" t="s">
        <v>326</v>
      </c>
      <c r="E8" s="467" t="s">
        <v>271</v>
      </c>
      <c r="F8" s="467" t="s">
        <v>272</v>
      </c>
      <c r="G8" s="468" t="s">
        <v>327</v>
      </c>
    </row>
    <row r="9" spans="1:7" ht="16.5">
      <c r="A9" s="469"/>
      <c r="B9" s="470"/>
      <c r="C9" s="470"/>
      <c r="D9" s="470"/>
      <c r="E9" s="470"/>
      <c r="F9" s="470"/>
      <c r="G9" s="471"/>
    </row>
    <row r="10" spans="1:7">
      <c r="A10" s="472" t="s">
        <v>459</v>
      </c>
      <c r="B10" s="479">
        <f>SUM(B11:B18)</f>
        <v>0</v>
      </c>
      <c r="C10" s="479">
        <f>SUM(C11:C18)</f>
        <v>0</v>
      </c>
      <c r="D10" s="479">
        <f>IF(A10="","",B10+C10)</f>
        <v>0</v>
      </c>
      <c r="E10" s="479">
        <f>SUM(E11:E18)</f>
        <v>0</v>
      </c>
      <c r="F10" s="479">
        <f>SUM(F11:F18)</f>
        <v>0</v>
      </c>
      <c r="G10" s="656">
        <f>IF(A10="","",D10-E10)</f>
        <v>0</v>
      </c>
    </row>
    <row r="11" spans="1:7">
      <c r="A11" s="473" t="s">
        <v>460</v>
      </c>
      <c r="B11" s="474"/>
      <c r="C11" s="474"/>
      <c r="D11" s="481">
        <f t="shared" ref="D11:D45" si="0">IF(A11="","",B11+C11)</f>
        <v>0</v>
      </c>
      <c r="E11" s="474"/>
      <c r="F11" s="474"/>
      <c r="G11" s="657">
        <f t="shared" ref="G11:G45" si="1">IF(A11="","",D11-E11)</f>
        <v>0</v>
      </c>
    </row>
    <row r="12" spans="1:7">
      <c r="A12" s="473" t="s">
        <v>461</v>
      </c>
      <c r="B12" s="474"/>
      <c r="C12" s="474"/>
      <c r="D12" s="481">
        <f t="shared" si="0"/>
        <v>0</v>
      </c>
      <c r="E12" s="474"/>
      <c r="F12" s="474"/>
      <c r="G12" s="657">
        <f t="shared" si="1"/>
        <v>0</v>
      </c>
    </row>
    <row r="13" spans="1:7">
      <c r="A13" s="473" t="s">
        <v>462</v>
      </c>
      <c r="B13" s="474"/>
      <c r="C13" s="474"/>
      <c r="D13" s="481">
        <f t="shared" si="0"/>
        <v>0</v>
      </c>
      <c r="E13" s="474"/>
      <c r="F13" s="474"/>
      <c r="G13" s="657">
        <f t="shared" si="1"/>
        <v>0</v>
      </c>
    </row>
    <row r="14" spans="1:7">
      <c r="A14" s="473" t="s">
        <v>463</v>
      </c>
      <c r="B14" s="474"/>
      <c r="C14" s="474"/>
      <c r="D14" s="481">
        <f t="shared" si="0"/>
        <v>0</v>
      </c>
      <c r="E14" s="474"/>
      <c r="F14" s="474"/>
      <c r="G14" s="657">
        <f t="shared" si="1"/>
        <v>0</v>
      </c>
    </row>
    <row r="15" spans="1:7">
      <c r="A15" s="473" t="s">
        <v>464</v>
      </c>
      <c r="B15" s="474"/>
      <c r="C15" s="474"/>
      <c r="D15" s="481">
        <f t="shared" si="0"/>
        <v>0</v>
      </c>
      <c r="E15" s="474"/>
      <c r="F15" s="474"/>
      <c r="G15" s="657">
        <f t="shared" si="1"/>
        <v>0</v>
      </c>
    </row>
    <row r="16" spans="1:7">
      <c r="A16" s="473" t="s">
        <v>465</v>
      </c>
      <c r="B16" s="474"/>
      <c r="C16" s="474"/>
      <c r="D16" s="481">
        <f t="shared" si="0"/>
        <v>0</v>
      </c>
      <c r="E16" s="474"/>
      <c r="F16" s="474"/>
      <c r="G16" s="657">
        <f t="shared" si="1"/>
        <v>0</v>
      </c>
    </row>
    <row r="17" spans="1:7">
      <c r="A17" s="473" t="s">
        <v>466</v>
      </c>
      <c r="B17" s="474"/>
      <c r="C17" s="474"/>
      <c r="D17" s="481">
        <f t="shared" si="0"/>
        <v>0</v>
      </c>
      <c r="E17" s="474"/>
      <c r="F17" s="474"/>
      <c r="G17" s="657">
        <f t="shared" si="1"/>
        <v>0</v>
      </c>
    </row>
    <row r="18" spans="1:7">
      <c r="A18" s="473" t="s">
        <v>352</v>
      </c>
      <c r="B18" s="474"/>
      <c r="C18" s="474"/>
      <c r="D18" s="481">
        <f t="shared" si="0"/>
        <v>0</v>
      </c>
      <c r="E18" s="474"/>
      <c r="F18" s="474"/>
      <c r="G18" s="657">
        <f t="shared" si="1"/>
        <v>0</v>
      </c>
    </row>
    <row r="19" spans="1:7">
      <c r="A19" s="475"/>
      <c r="B19" s="474"/>
      <c r="C19" s="474"/>
      <c r="D19" s="481" t="str">
        <f t="shared" si="0"/>
        <v/>
      </c>
      <c r="E19" s="474"/>
      <c r="F19" s="474"/>
      <c r="G19" s="657" t="str">
        <f t="shared" si="1"/>
        <v/>
      </c>
    </row>
    <row r="20" spans="1:7">
      <c r="A20" s="472" t="s">
        <v>467</v>
      </c>
      <c r="B20" s="479">
        <f>SUM(B21:B27)</f>
        <v>3696225055.4099998</v>
      </c>
      <c r="C20" s="479">
        <f>SUM(C21:C27)</f>
        <v>222105083.86999997</v>
      </c>
      <c r="D20" s="479">
        <f t="shared" si="0"/>
        <v>3918330139.2799997</v>
      </c>
      <c r="E20" s="479">
        <f>SUM(E21:E27)</f>
        <v>24381070.729999997</v>
      </c>
      <c r="F20" s="479">
        <f>SUM(F21:F27)</f>
        <v>521083923.80999994</v>
      </c>
      <c r="G20" s="656">
        <f t="shared" si="1"/>
        <v>3893949068.5499997</v>
      </c>
    </row>
    <row r="21" spans="1:7">
      <c r="A21" s="473" t="s">
        <v>468</v>
      </c>
      <c r="B21" s="474"/>
      <c r="C21" s="474"/>
      <c r="D21" s="481">
        <f t="shared" si="0"/>
        <v>0</v>
      </c>
      <c r="E21" s="474"/>
      <c r="F21" s="474"/>
      <c r="G21" s="657">
        <f t="shared" si="1"/>
        <v>0</v>
      </c>
    </row>
    <row r="22" spans="1:7">
      <c r="A22" s="473" t="s">
        <v>469</v>
      </c>
      <c r="B22" s="474"/>
      <c r="C22" s="474"/>
      <c r="D22" s="481">
        <f t="shared" si="0"/>
        <v>0</v>
      </c>
      <c r="E22" s="474"/>
      <c r="F22" s="474"/>
      <c r="G22" s="657">
        <f t="shared" si="1"/>
        <v>0</v>
      </c>
    </row>
    <row r="23" spans="1:7">
      <c r="A23" s="473" t="s">
        <v>470</v>
      </c>
      <c r="B23" s="474">
        <v>3696225055.4099998</v>
      </c>
      <c r="C23" s="474">
        <v>222105083.86999997</v>
      </c>
      <c r="D23" s="481">
        <f t="shared" si="0"/>
        <v>3918330139.2799997</v>
      </c>
      <c r="E23" s="474">
        <v>24381070.729999997</v>
      </c>
      <c r="F23" s="474">
        <v>521083923.80999994</v>
      </c>
      <c r="G23" s="657">
        <f t="shared" si="1"/>
        <v>3893949068.5499997</v>
      </c>
    </row>
    <row r="24" spans="1:7" ht="22.5">
      <c r="A24" s="473" t="s">
        <v>471</v>
      </c>
      <c r="B24" s="474"/>
      <c r="C24" s="474"/>
      <c r="D24" s="481">
        <f t="shared" si="0"/>
        <v>0</v>
      </c>
      <c r="E24" s="474"/>
      <c r="F24" s="474"/>
      <c r="G24" s="657">
        <f t="shared" si="1"/>
        <v>0</v>
      </c>
    </row>
    <row r="25" spans="1:7">
      <c r="A25" s="473" t="s">
        <v>472</v>
      </c>
      <c r="B25" s="474"/>
      <c r="C25" s="474"/>
      <c r="D25" s="481">
        <f t="shared" si="0"/>
        <v>0</v>
      </c>
      <c r="E25" s="474"/>
      <c r="F25" s="474"/>
      <c r="G25" s="657">
        <f t="shared" si="1"/>
        <v>0</v>
      </c>
    </row>
    <row r="26" spans="1:7">
      <c r="A26" s="473" t="s">
        <v>473</v>
      </c>
      <c r="B26" s="474"/>
      <c r="C26" s="474"/>
      <c r="D26" s="481">
        <f t="shared" si="0"/>
        <v>0</v>
      </c>
      <c r="E26" s="474"/>
      <c r="F26" s="474"/>
      <c r="G26" s="657">
        <f t="shared" si="1"/>
        <v>0</v>
      </c>
    </row>
    <row r="27" spans="1:7">
      <c r="A27" s="473" t="s">
        <v>474</v>
      </c>
      <c r="B27" s="474"/>
      <c r="C27" s="474"/>
      <c r="D27" s="481">
        <f t="shared" si="0"/>
        <v>0</v>
      </c>
      <c r="E27" s="474"/>
      <c r="F27" s="474"/>
      <c r="G27" s="657">
        <f t="shared" si="1"/>
        <v>0</v>
      </c>
    </row>
    <row r="28" spans="1:7">
      <c r="A28" s="475"/>
      <c r="B28" s="474"/>
      <c r="C28" s="474"/>
      <c r="D28" s="481" t="str">
        <f t="shared" si="0"/>
        <v/>
      </c>
      <c r="E28" s="474"/>
      <c r="F28" s="474"/>
      <c r="G28" s="657" t="str">
        <f t="shared" si="1"/>
        <v/>
      </c>
    </row>
    <row r="29" spans="1:7">
      <c r="A29" s="472" t="s">
        <v>475</v>
      </c>
      <c r="B29" s="479">
        <f>SUM(B30:B38)</f>
        <v>0</v>
      </c>
      <c r="C29" s="479">
        <f>SUM(C30:C38)</f>
        <v>0</v>
      </c>
      <c r="D29" s="479">
        <f t="shared" si="0"/>
        <v>0</v>
      </c>
      <c r="E29" s="479">
        <f>SUM(E30:E38)</f>
        <v>0</v>
      </c>
      <c r="F29" s="479">
        <f>SUM(F30:F38)</f>
        <v>0</v>
      </c>
      <c r="G29" s="656">
        <f t="shared" si="1"/>
        <v>0</v>
      </c>
    </row>
    <row r="30" spans="1:7" ht="22.5">
      <c r="A30" s="473" t="s">
        <v>476</v>
      </c>
      <c r="B30" s="474"/>
      <c r="C30" s="474"/>
      <c r="D30" s="481">
        <f t="shared" si="0"/>
        <v>0</v>
      </c>
      <c r="E30" s="474"/>
      <c r="F30" s="474"/>
      <c r="G30" s="657">
        <f t="shared" si="1"/>
        <v>0</v>
      </c>
    </row>
    <row r="31" spans="1:7">
      <c r="A31" s="473" t="s">
        <v>477</v>
      </c>
      <c r="B31" s="474"/>
      <c r="C31" s="474"/>
      <c r="D31" s="481">
        <f t="shared" si="0"/>
        <v>0</v>
      </c>
      <c r="E31" s="474"/>
      <c r="F31" s="474"/>
      <c r="G31" s="657">
        <f t="shared" si="1"/>
        <v>0</v>
      </c>
    </row>
    <row r="32" spans="1:7">
      <c r="A32" s="473" t="s">
        <v>478</v>
      </c>
      <c r="B32" s="474"/>
      <c r="C32" s="474"/>
      <c r="D32" s="481">
        <f t="shared" si="0"/>
        <v>0</v>
      </c>
      <c r="E32" s="474"/>
      <c r="F32" s="474"/>
      <c r="G32" s="657">
        <f t="shared" si="1"/>
        <v>0</v>
      </c>
    </row>
    <row r="33" spans="1:7">
      <c r="A33" s="473" t="s">
        <v>479</v>
      </c>
      <c r="B33" s="474"/>
      <c r="C33" s="474"/>
      <c r="D33" s="481">
        <f t="shared" si="0"/>
        <v>0</v>
      </c>
      <c r="E33" s="474"/>
      <c r="F33" s="474"/>
      <c r="G33" s="657">
        <f t="shared" si="1"/>
        <v>0</v>
      </c>
    </row>
    <row r="34" spans="1:7">
      <c r="A34" s="473" t="s">
        <v>480</v>
      </c>
      <c r="B34" s="474"/>
      <c r="C34" s="474"/>
      <c r="D34" s="481">
        <f t="shared" si="0"/>
        <v>0</v>
      </c>
      <c r="E34" s="474"/>
      <c r="F34" s="474"/>
      <c r="G34" s="657">
        <f t="shared" si="1"/>
        <v>0</v>
      </c>
    </row>
    <row r="35" spans="1:7">
      <c r="A35" s="473" t="s">
        <v>481</v>
      </c>
      <c r="B35" s="474"/>
      <c r="C35" s="474"/>
      <c r="D35" s="481">
        <f t="shared" si="0"/>
        <v>0</v>
      </c>
      <c r="E35" s="474"/>
      <c r="F35" s="474"/>
      <c r="G35" s="657">
        <f t="shared" si="1"/>
        <v>0</v>
      </c>
    </row>
    <row r="36" spans="1:7">
      <c r="A36" s="473" t="s">
        <v>482</v>
      </c>
      <c r="B36" s="474"/>
      <c r="C36" s="474"/>
      <c r="D36" s="481">
        <f t="shared" si="0"/>
        <v>0</v>
      </c>
      <c r="E36" s="474"/>
      <c r="F36" s="474"/>
      <c r="G36" s="657">
        <f t="shared" si="1"/>
        <v>0</v>
      </c>
    </row>
    <row r="37" spans="1:7">
      <c r="A37" s="473" t="s">
        <v>483</v>
      </c>
      <c r="B37" s="474"/>
      <c r="C37" s="474"/>
      <c r="D37" s="481">
        <f t="shared" si="0"/>
        <v>0</v>
      </c>
      <c r="E37" s="474"/>
      <c r="F37" s="474"/>
      <c r="G37" s="657">
        <f t="shared" si="1"/>
        <v>0</v>
      </c>
    </row>
    <row r="38" spans="1:7">
      <c r="A38" s="473" t="s">
        <v>484</v>
      </c>
      <c r="B38" s="474"/>
      <c r="C38" s="474"/>
      <c r="D38" s="481">
        <f t="shared" si="0"/>
        <v>0</v>
      </c>
      <c r="E38" s="474"/>
      <c r="F38" s="474"/>
      <c r="G38" s="657">
        <f t="shared" si="1"/>
        <v>0</v>
      </c>
    </row>
    <row r="39" spans="1:7">
      <c r="A39" s="475"/>
      <c r="B39" s="474"/>
      <c r="C39" s="474"/>
      <c r="D39" s="481" t="str">
        <f t="shared" si="0"/>
        <v/>
      </c>
      <c r="E39" s="474"/>
      <c r="F39" s="474"/>
      <c r="G39" s="657" t="str">
        <f t="shared" si="1"/>
        <v/>
      </c>
    </row>
    <row r="40" spans="1:7" ht="22.5">
      <c r="A40" s="472" t="s">
        <v>485</v>
      </c>
      <c r="B40" s="479">
        <f>SUM(B41:B44)</f>
        <v>0</v>
      </c>
      <c r="C40" s="479">
        <f>SUM(C41:C44)</f>
        <v>0</v>
      </c>
      <c r="D40" s="479">
        <f t="shared" si="0"/>
        <v>0</v>
      </c>
      <c r="E40" s="479">
        <f>SUM(E41:E44)</f>
        <v>0</v>
      </c>
      <c r="F40" s="479">
        <f>SUM(F41:F44)</f>
        <v>0</v>
      </c>
      <c r="G40" s="656">
        <f t="shared" si="1"/>
        <v>0</v>
      </c>
    </row>
    <row r="41" spans="1:7" ht="22.5">
      <c r="A41" s="476" t="s">
        <v>486</v>
      </c>
      <c r="B41" s="474"/>
      <c r="C41" s="474"/>
      <c r="D41" s="481">
        <f t="shared" si="0"/>
        <v>0</v>
      </c>
      <c r="E41" s="474"/>
      <c r="F41" s="474"/>
      <c r="G41" s="657">
        <f t="shared" si="1"/>
        <v>0</v>
      </c>
    </row>
    <row r="42" spans="1:7" ht="33.75">
      <c r="A42" s="476" t="s">
        <v>487</v>
      </c>
      <c r="B42" s="474"/>
      <c r="C42" s="474"/>
      <c r="D42" s="481">
        <f t="shared" si="0"/>
        <v>0</v>
      </c>
      <c r="E42" s="474"/>
      <c r="F42" s="474"/>
      <c r="G42" s="657">
        <f t="shared" si="1"/>
        <v>0</v>
      </c>
    </row>
    <row r="43" spans="1:7">
      <c r="A43" s="473" t="s">
        <v>488</v>
      </c>
      <c r="B43" s="474"/>
      <c r="C43" s="474"/>
      <c r="D43" s="481">
        <f t="shared" si="0"/>
        <v>0</v>
      </c>
      <c r="E43" s="474"/>
      <c r="F43" s="474"/>
      <c r="G43" s="657">
        <f t="shared" si="1"/>
        <v>0</v>
      </c>
    </row>
    <row r="44" spans="1:7" ht="15.75" thickBot="1">
      <c r="A44" s="473" t="s">
        <v>489</v>
      </c>
      <c r="B44" s="474"/>
      <c r="C44" s="474"/>
      <c r="D44" s="481">
        <f t="shared" si="0"/>
        <v>0</v>
      </c>
      <c r="E44" s="474"/>
      <c r="F44" s="474"/>
      <c r="G44" s="657">
        <f t="shared" si="1"/>
        <v>0</v>
      </c>
    </row>
    <row r="45" spans="1:7" s="466" customFormat="1" ht="28.5" customHeight="1" thickBot="1">
      <c r="A45" s="477" t="s">
        <v>377</v>
      </c>
      <c r="B45" s="480">
        <f>SUM(B10,B20,B29,B40)</f>
        <v>3696225055.4099998</v>
      </c>
      <c r="C45" s="480">
        <f>SUM(C10,C20,C29,C40)</f>
        <v>222105083.86999997</v>
      </c>
      <c r="D45" s="480">
        <f t="shared" si="0"/>
        <v>3918330139.2799997</v>
      </c>
      <c r="E45" s="480">
        <f>SUM(E10,E20,E29,E40)</f>
        <v>24381070.729999997</v>
      </c>
      <c r="F45" s="480">
        <f>SUM(F10,F20,F29,F40)</f>
        <v>521083923.80999994</v>
      </c>
      <c r="G45" s="658">
        <f t="shared" si="1"/>
        <v>3893949068.5499997</v>
      </c>
    </row>
  </sheetData>
  <sheetProtection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9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6">
    <tabColor theme="9" tint="-0.249977111117893"/>
    <pageSetUpPr fitToPage="1"/>
  </sheetPr>
  <dimension ref="A1:D39"/>
  <sheetViews>
    <sheetView view="pageBreakPreview" topLeftCell="A26" zoomScale="90" zoomScaleSheetLayoutView="90" workbookViewId="0">
      <selection activeCell="C39" sqref="C39"/>
    </sheetView>
  </sheetViews>
  <sheetFormatPr baseColWidth="10" defaultColWidth="11.42578125" defaultRowHeight="16.5"/>
  <cols>
    <col min="1" max="1" width="63.28515625" style="418" customWidth="1"/>
    <col min="2" max="2" width="25.7109375" style="418" customWidth="1"/>
    <col min="3" max="3" width="25.7109375" style="621" customWidth="1"/>
    <col min="4" max="4" width="89.140625" style="418" customWidth="1"/>
    <col min="5" max="16384" width="11.42578125" style="418"/>
  </cols>
  <sheetData>
    <row r="1" spans="1:4">
      <c r="A1" s="745" t="s">
        <v>0</v>
      </c>
      <c r="B1" s="745"/>
      <c r="C1" s="745"/>
      <c r="D1" s="642" t="s">
        <v>68</v>
      </c>
    </row>
    <row r="2" spans="1:4" s="419" customFormat="1" ht="15.75">
      <c r="A2" s="745" t="s">
        <v>490</v>
      </c>
      <c r="B2" s="745"/>
      <c r="C2" s="745"/>
    </row>
    <row r="3" spans="1:4" s="419" customFormat="1">
      <c r="A3" s="746" t="s">
        <v>260</v>
      </c>
      <c r="B3" s="746"/>
      <c r="C3" s="746"/>
    </row>
    <row r="4" spans="1:4" s="419" customFormat="1">
      <c r="A4" s="746" t="s">
        <v>155</v>
      </c>
      <c r="B4" s="746"/>
      <c r="C4" s="746"/>
    </row>
    <row r="5" spans="1:4" s="420" customFormat="1">
      <c r="A5" s="604"/>
      <c r="B5" s="604"/>
    </row>
    <row r="6" spans="1:4" s="420" customFormat="1" ht="17.25" thickBot="1">
      <c r="A6" s="232"/>
      <c r="B6" s="605" t="s">
        <v>6</v>
      </c>
      <c r="C6" s="605" t="s">
        <v>491</v>
      </c>
    </row>
    <row r="7" spans="1:4" s="607" customFormat="1" ht="27" customHeight="1" thickBot="1">
      <c r="A7" s="606" t="s">
        <v>492</v>
      </c>
      <c r="B7" s="730">
        <v>521083923.81</v>
      </c>
      <c r="C7" s="369">
        <f>'ETCA-II-11 '!E81</f>
        <v>24381070.73</v>
      </c>
      <c r="D7" s="622" t="str">
        <f>IF(C7&lt;&gt;'ETCA-II-11 '!E81,"ERROR!!!!! EL MONTO NO COINCIDE CON LO REPORTADO EN EL FORMATO ETCA-II-11, EN EL TOTAL DE EGRESOS DEVENGADO ANUAL (4)","")</f>
        <v/>
      </c>
    </row>
    <row r="8" spans="1:4" s="607" customFormat="1" ht="9.75" customHeight="1">
      <c r="A8" s="608"/>
      <c r="B8" s="386"/>
      <c r="C8" s="623"/>
      <c r="D8" s="622"/>
    </row>
    <row r="9" spans="1:4" s="607" customFormat="1" ht="17.25" customHeight="1" thickBot="1">
      <c r="A9" s="609" t="s">
        <v>308</v>
      </c>
      <c r="B9" s="389"/>
      <c r="C9" s="624"/>
      <c r="D9" s="622"/>
    </row>
    <row r="10" spans="1:4" ht="20.100000000000001" customHeight="1">
      <c r="A10" s="610" t="s">
        <v>493</v>
      </c>
      <c r="B10" s="611"/>
      <c r="C10" s="625">
        <f>SUM(B11:B27)</f>
        <v>13581862.460000001</v>
      </c>
      <c r="D10" s="626"/>
    </row>
    <row r="11" spans="1:4" ht="20.100000000000001" customHeight="1">
      <c r="A11" s="612" t="s">
        <v>494</v>
      </c>
      <c r="B11" s="613"/>
      <c r="C11" s="627"/>
      <c r="D11" s="626"/>
    </row>
    <row r="12" spans="1:4" ht="33" customHeight="1">
      <c r="A12" s="612" t="s">
        <v>495</v>
      </c>
      <c r="B12" s="613"/>
      <c r="C12" s="627"/>
      <c r="D12" s="626"/>
    </row>
    <row r="13" spans="1:4" ht="20.100000000000001" customHeight="1">
      <c r="A13" s="612" t="s">
        <v>496</v>
      </c>
      <c r="B13" s="613"/>
      <c r="C13" s="627"/>
      <c r="D13" s="626"/>
    </row>
    <row r="14" spans="1:4" ht="20.100000000000001" customHeight="1">
      <c r="A14" s="612" t="s">
        <v>497</v>
      </c>
      <c r="B14" s="613"/>
      <c r="C14" s="627"/>
      <c r="D14" s="626"/>
    </row>
    <row r="15" spans="1:4" ht="20.100000000000001" customHeight="1">
      <c r="A15" s="612" t="s">
        <v>498</v>
      </c>
      <c r="B15" s="613"/>
      <c r="C15" s="627"/>
      <c r="D15" s="626"/>
    </row>
    <row r="16" spans="1:4" ht="20.100000000000001" customHeight="1">
      <c r="A16" s="612" t="s">
        <v>499</v>
      </c>
      <c r="B16" s="613"/>
      <c r="C16" s="627"/>
      <c r="D16" s="626"/>
    </row>
    <row r="17" spans="1:4" ht="20.100000000000001" customHeight="1">
      <c r="A17" s="612" t="s">
        <v>500</v>
      </c>
      <c r="B17" s="613"/>
      <c r="C17" s="627"/>
      <c r="D17" s="626"/>
    </row>
    <row r="18" spans="1:4" ht="20.100000000000001" customHeight="1">
      <c r="A18" s="612" t="s">
        <v>501</v>
      </c>
      <c r="B18" s="728">
        <v>5956</v>
      </c>
      <c r="C18" s="627"/>
      <c r="D18" s="626"/>
    </row>
    <row r="19" spans="1:4" ht="20.100000000000001" customHeight="1">
      <c r="A19" s="612" t="s">
        <v>502</v>
      </c>
      <c r="B19" s="613"/>
      <c r="C19" s="627"/>
      <c r="D19" s="626"/>
    </row>
    <row r="20" spans="1:4" ht="20.100000000000001" customHeight="1">
      <c r="A20" s="612" t="s">
        <v>503</v>
      </c>
      <c r="B20" s="729">
        <v>13575906.460000001</v>
      </c>
      <c r="C20" s="627"/>
      <c r="D20" s="626"/>
    </row>
    <row r="21" spans="1:4" ht="20.100000000000001" customHeight="1">
      <c r="A21" s="612" t="s">
        <v>504</v>
      </c>
      <c r="B21" s="613"/>
      <c r="C21" s="627"/>
      <c r="D21" s="626"/>
    </row>
    <row r="22" spans="1:4" ht="20.100000000000001" customHeight="1">
      <c r="A22" s="612" t="s">
        <v>505</v>
      </c>
      <c r="B22" s="613"/>
      <c r="C22" s="627"/>
      <c r="D22" s="626"/>
    </row>
    <row r="23" spans="1:4" ht="20.100000000000001" customHeight="1">
      <c r="A23" s="612" t="s">
        <v>506</v>
      </c>
      <c r="B23" s="613"/>
      <c r="C23" s="627"/>
      <c r="D23" s="626"/>
    </row>
    <row r="24" spans="1:4" ht="20.100000000000001" customHeight="1">
      <c r="A24" s="612" t="s">
        <v>507</v>
      </c>
      <c r="B24" s="613"/>
      <c r="C24" s="627"/>
      <c r="D24" s="626"/>
    </row>
    <row r="25" spans="1:4" ht="20.100000000000001" customHeight="1">
      <c r="A25" s="612" t="s">
        <v>508</v>
      </c>
      <c r="B25" s="613"/>
      <c r="C25" s="627"/>
      <c r="D25" s="626"/>
    </row>
    <row r="26" spans="1:4" ht="20.100000000000001" customHeight="1">
      <c r="A26" s="612" t="s">
        <v>509</v>
      </c>
      <c r="B26" s="613"/>
      <c r="C26" s="627"/>
      <c r="D26" s="626"/>
    </row>
    <row r="27" spans="1:4" ht="20.100000000000001" customHeight="1" thickBot="1">
      <c r="A27" s="614" t="s">
        <v>510</v>
      </c>
      <c r="B27" s="615"/>
      <c r="C27" s="628"/>
      <c r="D27" s="626"/>
    </row>
    <row r="28" spans="1:4" ht="7.5" customHeight="1">
      <c r="A28" s="616"/>
      <c r="B28" s="386"/>
      <c r="C28" s="629"/>
      <c r="D28" s="626"/>
    </row>
    <row r="29" spans="1:4" ht="20.100000000000001" customHeight="1" thickBot="1">
      <c r="A29" s="617" t="s">
        <v>301</v>
      </c>
      <c r="B29" s="389"/>
      <c r="C29" s="630"/>
      <c r="D29" s="626"/>
    </row>
    <row r="30" spans="1:4" ht="20.100000000000001" customHeight="1">
      <c r="A30" s="610" t="s">
        <v>511</v>
      </c>
      <c r="B30" s="611"/>
      <c r="C30" s="625">
        <f>SUM(B31:B37)</f>
        <v>0</v>
      </c>
      <c r="D30" s="626"/>
    </row>
    <row r="31" spans="1:4">
      <c r="A31" s="612" t="s">
        <v>512</v>
      </c>
      <c r="B31" s="613"/>
      <c r="C31" s="627"/>
      <c r="D31" s="626"/>
    </row>
    <row r="32" spans="1:4" ht="20.100000000000001" customHeight="1">
      <c r="A32" s="612" t="s">
        <v>119</v>
      </c>
      <c r="B32" s="613"/>
      <c r="C32" s="627"/>
      <c r="D32" s="626"/>
    </row>
    <row r="33" spans="1:4" ht="20.100000000000001" customHeight="1">
      <c r="A33" s="612" t="s">
        <v>513</v>
      </c>
      <c r="B33" s="613"/>
      <c r="C33" s="627"/>
      <c r="D33" s="626"/>
    </row>
    <row r="34" spans="1:4" ht="25.5" customHeight="1">
      <c r="A34" s="612" t="s">
        <v>514</v>
      </c>
      <c r="B34" s="613"/>
      <c r="C34" s="627"/>
      <c r="D34" s="626"/>
    </row>
    <row r="35" spans="1:4" ht="20.100000000000001" customHeight="1">
      <c r="A35" s="612" t="s">
        <v>515</v>
      </c>
      <c r="B35" s="613"/>
      <c r="C35" s="627"/>
      <c r="D35" s="626"/>
    </row>
    <row r="36" spans="1:4" ht="20.100000000000001" customHeight="1">
      <c r="A36" s="612" t="s">
        <v>516</v>
      </c>
      <c r="B36" s="613"/>
      <c r="C36" s="627"/>
      <c r="D36" s="626"/>
    </row>
    <row r="37" spans="1:4" ht="20.100000000000001" customHeight="1">
      <c r="A37" s="618" t="s">
        <v>517</v>
      </c>
      <c r="B37" s="613"/>
      <c r="C37" s="627"/>
      <c r="D37" s="626"/>
    </row>
    <row r="38" spans="1:4" ht="20.100000000000001" customHeight="1" thickBot="1">
      <c r="A38" s="619"/>
      <c r="B38" s="620"/>
      <c r="C38" s="628"/>
      <c r="D38" s="626"/>
    </row>
    <row r="39" spans="1:4" ht="26.25" customHeight="1" thickBot="1">
      <c r="A39" s="614" t="s">
        <v>518</v>
      </c>
      <c r="B39" s="731">
        <f>B7-B18-B20</f>
        <v>507502061.35000002</v>
      </c>
      <c r="C39" s="631">
        <f>C7-C10+C30</f>
        <v>10799208.27</v>
      </c>
      <c r="D39" s="626" t="str">
        <f>IF(C39&lt;&gt;'ETCA-I-02'!C64,"ERROR!!!!! EL MONTO NO COINCIDE CON LO REPORTADO EN EL FORMATO ETCA-I-02, EN EL MISMO RUBRO","")</f>
        <v>ERROR!!!!! EL MONTO NO COINCIDE CON LO REPORTADO EN EL FORMATO ETCA-I-02, EN EL MISMO RUBRO</v>
      </c>
    </row>
  </sheetData>
  <sheetProtection sheet="1" objects="1" scenarios="1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97"/>
  <sheetViews>
    <sheetView zoomScaleSheetLayoutView="100" workbookViewId="0">
      <selection activeCell="A5" sqref="A5:I5"/>
    </sheetView>
  </sheetViews>
  <sheetFormatPr baseColWidth="10" defaultColWidth="11.42578125" defaultRowHeight="14.25" customHeight="1"/>
  <cols>
    <col min="1" max="1" width="10.42578125" style="34" customWidth="1"/>
    <col min="2" max="2" width="39.7109375" style="6" customWidth="1"/>
    <col min="3" max="7" width="12.7109375" style="6" customWidth="1"/>
    <col min="8" max="8" width="13.140625" style="6" customWidth="1"/>
    <col min="9" max="9" width="9.42578125" style="6" customWidth="1"/>
    <col min="10" max="16384" width="11.42578125" style="3"/>
  </cols>
  <sheetData>
    <row r="1" spans="1:9" s="6" customFormat="1" ht="14.25" customHeight="1">
      <c r="A1" s="814" t="s">
        <v>0</v>
      </c>
      <c r="B1" s="814"/>
      <c r="C1" s="814"/>
      <c r="D1" s="814"/>
      <c r="E1" s="814"/>
      <c r="F1" s="814"/>
      <c r="G1" s="814"/>
      <c r="H1" s="814"/>
      <c r="I1" s="814"/>
    </row>
    <row r="2" spans="1:9" s="31" customFormat="1" ht="14.25" customHeight="1">
      <c r="A2" s="814" t="s">
        <v>315</v>
      </c>
      <c r="B2" s="814"/>
      <c r="C2" s="814"/>
      <c r="D2" s="814"/>
      <c r="E2" s="814"/>
      <c r="F2" s="814"/>
      <c r="G2" s="814"/>
      <c r="H2" s="814"/>
      <c r="I2" s="814"/>
    </row>
    <row r="3" spans="1:9" s="31" customFormat="1" ht="14.25" customHeight="1">
      <c r="A3" s="814" t="s">
        <v>519</v>
      </c>
      <c r="B3" s="814"/>
      <c r="C3" s="814"/>
      <c r="D3" s="814"/>
      <c r="E3" s="814"/>
      <c r="F3" s="814"/>
      <c r="G3" s="814"/>
      <c r="H3" s="814"/>
      <c r="I3" s="814"/>
    </row>
    <row r="4" spans="1:9" s="31" customFormat="1" ht="14.25" customHeight="1">
      <c r="A4" s="815" t="s">
        <v>3</v>
      </c>
      <c r="B4" s="815"/>
      <c r="C4" s="815"/>
      <c r="D4" s="815"/>
      <c r="E4" s="815"/>
      <c r="F4" s="815"/>
      <c r="G4" s="815"/>
      <c r="H4" s="815"/>
      <c r="I4" s="815"/>
    </row>
    <row r="5" spans="1:9" s="31" customFormat="1" ht="14.25" customHeight="1">
      <c r="A5" s="815" t="s">
        <v>317</v>
      </c>
      <c r="B5" s="815"/>
      <c r="C5" s="815"/>
      <c r="D5" s="815"/>
      <c r="E5" s="815"/>
      <c r="F5" s="815"/>
      <c r="G5" s="815"/>
      <c r="H5" s="815"/>
      <c r="I5" s="815"/>
    </row>
    <row r="6" spans="1:9" s="32" customFormat="1" ht="14.25" customHeight="1" thickBot="1">
      <c r="A6" s="718"/>
      <c r="B6" s="73"/>
      <c r="C6" s="808" t="s">
        <v>5</v>
      </c>
      <c r="D6" s="808"/>
      <c r="E6" s="808"/>
      <c r="F6" s="73"/>
      <c r="G6" s="4" t="s">
        <v>6</v>
      </c>
      <c r="H6" s="809" t="s">
        <v>318</v>
      </c>
      <c r="I6" s="809"/>
    </row>
    <row r="7" spans="1:9" ht="14.25" customHeight="1">
      <c r="A7" s="810" t="s">
        <v>520</v>
      </c>
      <c r="B7" s="811"/>
      <c r="C7" s="283" t="s">
        <v>320</v>
      </c>
      <c r="D7" s="283" t="s">
        <v>321</v>
      </c>
      <c r="E7" s="283" t="s">
        <v>322</v>
      </c>
      <c r="F7" s="284" t="s">
        <v>323</v>
      </c>
      <c r="G7" s="284" t="s">
        <v>324</v>
      </c>
      <c r="H7" s="283" t="s">
        <v>325</v>
      </c>
      <c r="I7" s="285" t="s">
        <v>521</v>
      </c>
    </row>
    <row r="8" spans="1:9" ht="14.25" customHeight="1" thickBot="1">
      <c r="A8" s="812"/>
      <c r="B8" s="813"/>
      <c r="C8" s="436" t="s">
        <v>268</v>
      </c>
      <c r="D8" s="436" t="s">
        <v>269</v>
      </c>
      <c r="E8" s="436" t="s">
        <v>326</v>
      </c>
      <c r="F8" s="507" t="s">
        <v>271</v>
      </c>
      <c r="G8" s="507" t="s">
        <v>272</v>
      </c>
      <c r="H8" s="436" t="s">
        <v>327</v>
      </c>
      <c r="I8" s="437" t="s">
        <v>522</v>
      </c>
    </row>
    <row r="9" spans="1:9" ht="14.25" customHeight="1">
      <c r="A9" s="697"/>
      <c r="B9" s="503"/>
      <c r="C9" s="504"/>
      <c r="D9" s="504"/>
      <c r="E9" s="504"/>
      <c r="F9" s="504"/>
      <c r="G9" s="504"/>
      <c r="H9" s="504"/>
      <c r="I9" s="505"/>
    </row>
    <row r="10" spans="1:9" ht="14.25" customHeight="1">
      <c r="A10" s="698">
        <v>11301</v>
      </c>
      <c r="B10" s="699" t="s">
        <v>523</v>
      </c>
      <c r="C10" s="700">
        <v>829941752</v>
      </c>
      <c r="D10" s="700">
        <v>-47970037.75</v>
      </c>
      <c r="E10" s="700">
        <f>C10+D10</f>
        <v>781971714.25</v>
      </c>
      <c r="F10" s="700">
        <v>0</v>
      </c>
      <c r="G10" s="700">
        <v>180336847.53</v>
      </c>
      <c r="H10" s="700">
        <f>E10-F10</f>
        <v>781971714.25</v>
      </c>
      <c r="I10" s="506">
        <f t="shared" ref="I10:I74" si="0">F10/E10</f>
        <v>0</v>
      </c>
    </row>
    <row r="11" spans="1:9" s="35" customFormat="1" ht="14.25" customHeight="1">
      <c r="A11" s="698">
        <v>11304</v>
      </c>
      <c r="B11" s="699" t="s">
        <v>524</v>
      </c>
      <c r="C11" s="701">
        <v>11503935</v>
      </c>
      <c r="D11" s="701">
        <v>-9066.67</v>
      </c>
      <c r="E11" s="700">
        <f t="shared" ref="E11:E74" si="1">C11+D11</f>
        <v>11494868.33</v>
      </c>
      <c r="F11" s="700">
        <v>0</v>
      </c>
      <c r="G11" s="700">
        <v>0</v>
      </c>
      <c r="H11" s="700">
        <f t="shared" ref="H11:H74" si="2">E11-F11</f>
        <v>11494868.33</v>
      </c>
      <c r="I11" s="506">
        <f t="shared" si="0"/>
        <v>0</v>
      </c>
    </row>
    <row r="12" spans="1:9" s="35" customFormat="1" ht="14.25" customHeight="1">
      <c r="A12" s="698">
        <v>11305</v>
      </c>
      <c r="B12" s="699" t="s">
        <v>525</v>
      </c>
      <c r="C12" s="700">
        <v>37920655</v>
      </c>
      <c r="D12" s="700">
        <v>225233.91</v>
      </c>
      <c r="E12" s="700">
        <f t="shared" si="1"/>
        <v>38145888.909999996</v>
      </c>
      <c r="F12" s="700">
        <v>0</v>
      </c>
      <c r="G12" s="700">
        <v>10249998.699999999</v>
      </c>
      <c r="H12" s="700">
        <f t="shared" si="2"/>
        <v>38145888.909999996</v>
      </c>
      <c r="I12" s="506">
        <f t="shared" si="0"/>
        <v>0</v>
      </c>
    </row>
    <row r="13" spans="1:9" s="35" customFormat="1" ht="14.25" customHeight="1">
      <c r="A13" s="698">
        <v>11306</v>
      </c>
      <c r="B13" s="699" t="s">
        <v>526</v>
      </c>
      <c r="C13" s="700">
        <v>15245793</v>
      </c>
      <c r="D13" s="700">
        <v>0</v>
      </c>
      <c r="E13" s="700">
        <f t="shared" si="1"/>
        <v>15245793</v>
      </c>
      <c r="F13" s="700">
        <v>0</v>
      </c>
      <c r="G13" s="700">
        <v>0</v>
      </c>
      <c r="H13" s="700">
        <f t="shared" si="2"/>
        <v>15245793</v>
      </c>
      <c r="I13" s="506">
        <f t="shared" si="0"/>
        <v>0</v>
      </c>
    </row>
    <row r="14" spans="1:9" s="35" customFormat="1" ht="14.25" customHeight="1">
      <c r="A14" s="698">
        <v>11307</v>
      </c>
      <c r="B14" s="699" t="s">
        <v>527</v>
      </c>
      <c r="C14" s="700">
        <v>9961814</v>
      </c>
      <c r="D14" s="700">
        <v>0</v>
      </c>
      <c r="E14" s="700">
        <f t="shared" si="1"/>
        <v>9961814</v>
      </c>
      <c r="F14" s="700">
        <v>0</v>
      </c>
      <c r="G14" s="700">
        <v>0</v>
      </c>
      <c r="H14" s="700">
        <f t="shared" si="2"/>
        <v>9961814</v>
      </c>
      <c r="I14" s="506">
        <f t="shared" si="0"/>
        <v>0</v>
      </c>
    </row>
    <row r="15" spans="1:9" s="35" customFormat="1" ht="14.25" customHeight="1">
      <c r="A15" s="698">
        <v>11308</v>
      </c>
      <c r="B15" s="699" t="s">
        <v>528</v>
      </c>
      <c r="C15" s="700">
        <v>86077565</v>
      </c>
      <c r="D15" s="700">
        <v>180393.04</v>
      </c>
      <c r="E15" s="700">
        <f t="shared" si="1"/>
        <v>86257958.040000007</v>
      </c>
      <c r="F15" s="700">
        <v>0</v>
      </c>
      <c r="G15" s="700">
        <v>21986743.84</v>
      </c>
      <c r="H15" s="700">
        <f t="shared" si="2"/>
        <v>86257958.040000007</v>
      </c>
      <c r="I15" s="506">
        <f t="shared" si="0"/>
        <v>0</v>
      </c>
    </row>
    <row r="16" spans="1:9" s="35" customFormat="1" ht="14.25" customHeight="1">
      <c r="A16" s="698">
        <v>12101</v>
      </c>
      <c r="B16" s="699" t="s">
        <v>529</v>
      </c>
      <c r="C16" s="700">
        <v>91752</v>
      </c>
      <c r="D16" s="700">
        <v>-30584</v>
      </c>
      <c r="E16" s="700">
        <f t="shared" si="1"/>
        <v>61168</v>
      </c>
      <c r="F16" s="700">
        <v>0</v>
      </c>
      <c r="G16" s="700">
        <v>0</v>
      </c>
      <c r="H16" s="700">
        <f t="shared" si="2"/>
        <v>61168</v>
      </c>
      <c r="I16" s="506">
        <f t="shared" si="0"/>
        <v>0</v>
      </c>
    </row>
    <row r="17" spans="1:9" s="35" customFormat="1" ht="14.25" customHeight="1">
      <c r="A17" s="698">
        <v>12201</v>
      </c>
      <c r="B17" s="699" t="s">
        <v>530</v>
      </c>
      <c r="C17" s="700">
        <v>336100287.56999999</v>
      </c>
      <c r="D17" s="700">
        <v>-115954223.84</v>
      </c>
      <c r="E17" s="700">
        <f t="shared" si="1"/>
        <v>220146063.72999999</v>
      </c>
      <c r="F17" s="700">
        <v>0</v>
      </c>
      <c r="G17" s="700">
        <v>58106758.980000004</v>
      </c>
      <c r="H17" s="700">
        <f t="shared" si="2"/>
        <v>220146063.72999999</v>
      </c>
      <c r="I17" s="506">
        <f t="shared" si="0"/>
        <v>0</v>
      </c>
    </row>
    <row r="18" spans="1:9" s="35" customFormat="1" ht="14.25" customHeight="1">
      <c r="A18" s="698">
        <v>13101</v>
      </c>
      <c r="B18" s="699" t="s">
        <v>531</v>
      </c>
      <c r="C18" s="700">
        <v>6493368</v>
      </c>
      <c r="D18" s="700">
        <v>3566</v>
      </c>
      <c r="E18" s="700">
        <f t="shared" si="1"/>
        <v>6496934</v>
      </c>
      <c r="F18" s="700">
        <v>0</v>
      </c>
      <c r="G18" s="700">
        <v>1623637.5</v>
      </c>
      <c r="H18" s="700">
        <f t="shared" si="2"/>
        <v>6496934</v>
      </c>
      <c r="I18" s="506">
        <f t="shared" si="0"/>
        <v>0</v>
      </c>
    </row>
    <row r="19" spans="1:9" s="35" customFormat="1" ht="14.25" customHeight="1">
      <c r="A19" s="698">
        <v>13201</v>
      </c>
      <c r="B19" s="699" t="s">
        <v>532</v>
      </c>
      <c r="C19" s="700">
        <v>11922345</v>
      </c>
      <c r="D19" s="700">
        <v>41457.660000000003</v>
      </c>
      <c r="E19" s="700">
        <f t="shared" si="1"/>
        <v>11963802.66</v>
      </c>
      <c r="F19" s="700">
        <v>0</v>
      </c>
      <c r="G19" s="700">
        <v>567279.35</v>
      </c>
      <c r="H19" s="700">
        <f t="shared" si="2"/>
        <v>11963802.66</v>
      </c>
      <c r="I19" s="506">
        <f t="shared" si="0"/>
        <v>0</v>
      </c>
    </row>
    <row r="20" spans="1:9" s="35" customFormat="1" ht="14.25" customHeight="1">
      <c r="A20" s="698">
        <v>13202</v>
      </c>
      <c r="B20" s="699" t="s">
        <v>533</v>
      </c>
      <c r="C20" s="700">
        <v>79305246.590000004</v>
      </c>
      <c r="D20" s="700">
        <v>-1382897.22</v>
      </c>
      <c r="E20" s="700">
        <f t="shared" si="1"/>
        <v>77922349.370000005</v>
      </c>
      <c r="F20" s="700">
        <v>0</v>
      </c>
      <c r="G20" s="700">
        <v>28730155.680000003</v>
      </c>
      <c r="H20" s="700">
        <f t="shared" si="2"/>
        <v>77922349.370000005</v>
      </c>
      <c r="I20" s="506">
        <f t="shared" si="0"/>
        <v>0</v>
      </c>
    </row>
    <row r="21" spans="1:9" s="35" customFormat="1" ht="14.25" customHeight="1">
      <c r="A21" s="698">
        <v>13203</v>
      </c>
      <c r="B21" s="699" t="s">
        <v>534</v>
      </c>
      <c r="C21" s="700">
        <v>257640</v>
      </c>
      <c r="D21" s="700">
        <v>0</v>
      </c>
      <c r="E21" s="700">
        <f t="shared" si="1"/>
        <v>257640</v>
      </c>
      <c r="F21" s="700">
        <v>0</v>
      </c>
      <c r="G21" s="700">
        <v>0</v>
      </c>
      <c r="H21" s="700">
        <f t="shared" si="2"/>
        <v>257640</v>
      </c>
      <c r="I21" s="506">
        <f t="shared" si="0"/>
        <v>0</v>
      </c>
    </row>
    <row r="22" spans="1:9" s="35" customFormat="1" ht="14.25" customHeight="1">
      <c r="A22" s="698">
        <v>13204</v>
      </c>
      <c r="B22" s="699" t="s">
        <v>535</v>
      </c>
      <c r="C22" s="700">
        <v>257640</v>
      </c>
      <c r="D22" s="700">
        <v>0</v>
      </c>
      <c r="E22" s="700">
        <f t="shared" si="1"/>
        <v>257640</v>
      </c>
      <c r="F22" s="700">
        <v>0</v>
      </c>
      <c r="G22" s="700">
        <v>0</v>
      </c>
      <c r="H22" s="700">
        <f t="shared" si="2"/>
        <v>257640</v>
      </c>
      <c r="I22" s="506">
        <f t="shared" si="0"/>
        <v>0</v>
      </c>
    </row>
    <row r="23" spans="1:9" s="35" customFormat="1" ht="14.25" customHeight="1">
      <c r="A23" s="698">
        <v>13301</v>
      </c>
      <c r="B23" s="699" t="s">
        <v>536</v>
      </c>
      <c r="C23" s="700">
        <v>6827923</v>
      </c>
      <c r="D23" s="700">
        <v>-1801282</v>
      </c>
      <c r="E23" s="700">
        <f t="shared" si="1"/>
        <v>5026641</v>
      </c>
      <c r="F23" s="700">
        <v>0</v>
      </c>
      <c r="G23" s="700">
        <v>0</v>
      </c>
      <c r="H23" s="700">
        <f t="shared" si="2"/>
        <v>5026641</v>
      </c>
      <c r="I23" s="506">
        <f t="shared" si="0"/>
        <v>0</v>
      </c>
    </row>
    <row r="24" spans="1:9" s="35" customFormat="1" ht="14.25" customHeight="1">
      <c r="A24" s="698">
        <v>14101</v>
      </c>
      <c r="B24" s="699" t="s">
        <v>537</v>
      </c>
      <c r="C24" s="700">
        <v>72225482.939999998</v>
      </c>
      <c r="D24" s="700">
        <v>-5539111.8799999999</v>
      </c>
      <c r="E24" s="700">
        <f t="shared" si="1"/>
        <v>66686371.059999995</v>
      </c>
      <c r="F24" s="700">
        <v>0</v>
      </c>
      <c r="G24" s="700">
        <v>15611600.33</v>
      </c>
      <c r="H24" s="700">
        <f t="shared" si="2"/>
        <v>66686371.059999995</v>
      </c>
      <c r="I24" s="506">
        <f t="shared" si="0"/>
        <v>0</v>
      </c>
    </row>
    <row r="25" spans="1:9" s="35" customFormat="1" ht="14.25" customHeight="1">
      <c r="A25" s="698">
        <v>14102</v>
      </c>
      <c r="B25" s="699" t="s">
        <v>538</v>
      </c>
      <c r="C25" s="700">
        <v>57964</v>
      </c>
      <c r="D25" s="700">
        <v>0</v>
      </c>
      <c r="E25" s="700">
        <f t="shared" si="1"/>
        <v>57964</v>
      </c>
      <c r="F25" s="700">
        <v>0</v>
      </c>
      <c r="G25" s="700">
        <v>0</v>
      </c>
      <c r="H25" s="700">
        <f t="shared" si="2"/>
        <v>57964</v>
      </c>
      <c r="I25" s="506">
        <f t="shared" si="0"/>
        <v>0</v>
      </c>
    </row>
    <row r="26" spans="1:9" s="35" customFormat="1" ht="14.25" customHeight="1">
      <c r="A26" s="698">
        <v>14103</v>
      </c>
      <c r="B26" s="699" t="s">
        <v>539</v>
      </c>
      <c r="C26" s="700">
        <v>5782810</v>
      </c>
      <c r="D26" s="700">
        <v>712024.08</v>
      </c>
      <c r="E26" s="700">
        <f t="shared" si="1"/>
        <v>6494834.0800000001</v>
      </c>
      <c r="F26" s="700">
        <v>0</v>
      </c>
      <c r="G26" s="700">
        <v>2779514.4</v>
      </c>
      <c r="H26" s="700">
        <f t="shared" si="2"/>
        <v>6494834.0800000001</v>
      </c>
      <c r="I26" s="506">
        <f t="shared" si="0"/>
        <v>0</v>
      </c>
    </row>
    <row r="27" spans="1:9" s="35" customFormat="1" ht="14.25" customHeight="1">
      <c r="A27" s="698">
        <v>14106</v>
      </c>
      <c r="B27" s="699" t="s">
        <v>540</v>
      </c>
      <c r="C27" s="700">
        <v>812985.2</v>
      </c>
      <c r="D27" s="700">
        <v>-424703.2</v>
      </c>
      <c r="E27" s="700">
        <f t="shared" si="1"/>
        <v>388281.99999999994</v>
      </c>
      <c r="F27" s="700">
        <v>0</v>
      </c>
      <c r="G27" s="700">
        <v>0</v>
      </c>
      <c r="H27" s="700">
        <f t="shared" si="2"/>
        <v>388281.99999999994</v>
      </c>
      <c r="I27" s="506">
        <f t="shared" si="0"/>
        <v>0</v>
      </c>
    </row>
    <row r="28" spans="1:9" s="35" customFormat="1" ht="14.25" customHeight="1">
      <c r="A28" s="698">
        <v>14201</v>
      </c>
      <c r="B28" s="699" t="s">
        <v>541</v>
      </c>
      <c r="C28" s="700">
        <v>33992500.25</v>
      </c>
      <c r="D28" s="700">
        <v>-2788540.11</v>
      </c>
      <c r="E28" s="700">
        <f t="shared" si="1"/>
        <v>31203960.140000001</v>
      </c>
      <c r="F28" s="700">
        <v>0</v>
      </c>
      <c r="G28" s="700">
        <v>7829295.29</v>
      </c>
      <c r="H28" s="700">
        <f t="shared" si="2"/>
        <v>31203960.140000001</v>
      </c>
      <c r="I28" s="506">
        <f t="shared" si="0"/>
        <v>0</v>
      </c>
    </row>
    <row r="29" spans="1:9" s="35" customFormat="1" ht="14.25" customHeight="1">
      <c r="A29" s="698">
        <v>14301</v>
      </c>
      <c r="B29" s="699" t="s">
        <v>542</v>
      </c>
      <c r="C29" s="700">
        <v>93968939.109999999</v>
      </c>
      <c r="D29" s="700">
        <v>-8180869.7000000002</v>
      </c>
      <c r="E29" s="700">
        <f t="shared" si="1"/>
        <v>85788069.409999996</v>
      </c>
      <c r="F29" s="700">
        <v>0</v>
      </c>
      <c r="G29" s="700">
        <v>8129317.25</v>
      </c>
      <c r="H29" s="700">
        <f t="shared" si="2"/>
        <v>85788069.409999996</v>
      </c>
      <c r="I29" s="506">
        <f t="shared" si="0"/>
        <v>0</v>
      </c>
    </row>
    <row r="30" spans="1:9" s="35" customFormat="1" ht="14.25" customHeight="1">
      <c r="A30" s="698">
        <v>14403</v>
      </c>
      <c r="B30" s="699" t="s">
        <v>543</v>
      </c>
      <c r="C30" s="700">
        <v>26380.85</v>
      </c>
      <c r="D30" s="700">
        <v>87990.16</v>
      </c>
      <c r="E30" s="700">
        <f t="shared" si="1"/>
        <v>114371.01000000001</v>
      </c>
      <c r="F30" s="700">
        <v>0</v>
      </c>
      <c r="G30" s="700">
        <v>114371.01</v>
      </c>
      <c r="H30" s="700">
        <f t="shared" si="2"/>
        <v>114371.01000000001</v>
      </c>
      <c r="I30" s="506">
        <f t="shared" si="0"/>
        <v>0</v>
      </c>
    </row>
    <row r="31" spans="1:9" s="35" customFormat="1" ht="14.25" customHeight="1">
      <c r="A31" s="698">
        <v>15201</v>
      </c>
      <c r="B31" s="699" t="s">
        <v>544</v>
      </c>
      <c r="C31" s="700">
        <v>1495968</v>
      </c>
      <c r="D31" s="700">
        <v>4098964</v>
      </c>
      <c r="E31" s="700">
        <f t="shared" si="1"/>
        <v>5594932</v>
      </c>
      <c r="F31" s="700">
        <v>0</v>
      </c>
      <c r="G31" s="700">
        <v>4326993.54</v>
      </c>
      <c r="H31" s="700">
        <f t="shared" si="2"/>
        <v>5594932</v>
      </c>
      <c r="I31" s="506">
        <f t="shared" si="0"/>
        <v>0</v>
      </c>
    </row>
    <row r="32" spans="1:9" s="35" customFormat="1" ht="14.25" customHeight="1">
      <c r="A32" s="698">
        <v>15202</v>
      </c>
      <c r="B32" s="699" t="s">
        <v>545</v>
      </c>
      <c r="C32" s="700">
        <v>0</v>
      </c>
      <c r="D32" s="700">
        <v>22000</v>
      </c>
      <c r="E32" s="700">
        <f t="shared" si="1"/>
        <v>22000</v>
      </c>
      <c r="F32" s="700">
        <v>0</v>
      </c>
      <c r="G32" s="700">
        <v>0</v>
      </c>
      <c r="H32" s="700">
        <f t="shared" si="2"/>
        <v>22000</v>
      </c>
      <c r="I32" s="506">
        <f t="shared" si="0"/>
        <v>0</v>
      </c>
    </row>
    <row r="33" spans="1:9" s="35" customFormat="1" ht="14.25" customHeight="1">
      <c r="A33" s="698">
        <v>15404</v>
      </c>
      <c r="B33" s="699" t="s">
        <v>546</v>
      </c>
      <c r="C33" s="700">
        <v>378180</v>
      </c>
      <c r="D33" s="700">
        <v>-124097</v>
      </c>
      <c r="E33" s="700">
        <f t="shared" si="1"/>
        <v>254083</v>
      </c>
      <c r="F33" s="700">
        <v>0</v>
      </c>
      <c r="G33" s="700">
        <v>0</v>
      </c>
      <c r="H33" s="700">
        <f t="shared" si="2"/>
        <v>254083</v>
      </c>
      <c r="I33" s="506">
        <f t="shared" si="0"/>
        <v>0</v>
      </c>
    </row>
    <row r="34" spans="1:9" s="35" customFormat="1" ht="14.25" customHeight="1">
      <c r="A34" s="698">
        <v>15417</v>
      </c>
      <c r="B34" s="699" t="s">
        <v>547</v>
      </c>
      <c r="C34" s="700">
        <v>200906947</v>
      </c>
      <c r="D34" s="700">
        <v>837633.14</v>
      </c>
      <c r="E34" s="700">
        <f t="shared" si="1"/>
        <v>201744580.13999999</v>
      </c>
      <c r="F34" s="700">
        <v>0</v>
      </c>
      <c r="G34" s="700">
        <v>53415739.890000001</v>
      </c>
      <c r="H34" s="700">
        <f t="shared" si="2"/>
        <v>201744580.13999999</v>
      </c>
      <c r="I34" s="506">
        <f t="shared" si="0"/>
        <v>0</v>
      </c>
    </row>
    <row r="35" spans="1:9" s="35" customFormat="1" ht="14.25" customHeight="1">
      <c r="A35" s="698">
        <v>15421</v>
      </c>
      <c r="B35" s="699" t="s">
        <v>548</v>
      </c>
      <c r="C35" s="700">
        <v>3257556</v>
      </c>
      <c r="D35" s="700">
        <v>23600.59</v>
      </c>
      <c r="E35" s="700">
        <f t="shared" si="1"/>
        <v>3281156.59</v>
      </c>
      <c r="F35" s="700">
        <v>0</v>
      </c>
      <c r="G35" s="700">
        <v>0</v>
      </c>
      <c r="H35" s="700">
        <f t="shared" si="2"/>
        <v>3281156.59</v>
      </c>
      <c r="I35" s="506">
        <f t="shared" si="0"/>
        <v>0</v>
      </c>
    </row>
    <row r="36" spans="1:9" s="35" customFormat="1" ht="14.25" customHeight="1">
      <c r="A36" s="698">
        <v>15901</v>
      </c>
      <c r="B36" s="699" t="s">
        <v>549</v>
      </c>
      <c r="C36" s="700">
        <v>271083682</v>
      </c>
      <c r="D36" s="700">
        <v>13520187.65</v>
      </c>
      <c r="E36" s="700">
        <f t="shared" si="1"/>
        <v>284603869.64999998</v>
      </c>
      <c r="F36" s="700">
        <v>0</v>
      </c>
      <c r="G36" s="700">
        <v>70611478.819999993</v>
      </c>
      <c r="H36" s="700">
        <f t="shared" si="2"/>
        <v>284603869.64999998</v>
      </c>
      <c r="I36" s="506">
        <f t="shared" si="0"/>
        <v>0</v>
      </c>
    </row>
    <row r="37" spans="1:9" s="35" customFormat="1" ht="14.25" customHeight="1">
      <c r="A37" s="698">
        <v>17102</v>
      </c>
      <c r="B37" s="699" t="s">
        <v>550</v>
      </c>
      <c r="C37" s="700">
        <v>68266318</v>
      </c>
      <c r="D37" s="700">
        <v>17112190.940000001</v>
      </c>
      <c r="E37" s="700">
        <f t="shared" si="1"/>
        <v>85378508.939999998</v>
      </c>
      <c r="F37" s="700">
        <v>0</v>
      </c>
      <c r="G37" s="700">
        <v>24824370.020000003</v>
      </c>
      <c r="H37" s="700">
        <f t="shared" si="2"/>
        <v>85378508.939999998</v>
      </c>
      <c r="I37" s="506">
        <f t="shared" si="0"/>
        <v>0</v>
      </c>
    </row>
    <row r="38" spans="1:9" s="35" customFormat="1" ht="14.25" customHeight="1">
      <c r="A38" s="698">
        <v>17104</v>
      </c>
      <c r="B38" s="699" t="s">
        <v>551</v>
      </c>
      <c r="C38" s="700">
        <v>0</v>
      </c>
      <c r="D38" s="700">
        <v>821493.43</v>
      </c>
      <c r="E38" s="700">
        <f t="shared" si="1"/>
        <v>821493.43</v>
      </c>
      <c r="F38" s="700">
        <v>0</v>
      </c>
      <c r="G38" s="700">
        <v>821493.43</v>
      </c>
      <c r="H38" s="700">
        <f t="shared" si="2"/>
        <v>821493.43</v>
      </c>
      <c r="I38" s="506">
        <f t="shared" si="0"/>
        <v>0</v>
      </c>
    </row>
    <row r="39" spans="1:9" s="35" customFormat="1" ht="14.25" customHeight="1">
      <c r="A39" s="698">
        <v>21101</v>
      </c>
      <c r="B39" s="699" t="s">
        <v>552</v>
      </c>
      <c r="C39" s="700">
        <v>9823321</v>
      </c>
      <c r="D39" s="700">
        <v>6202502.7300000004</v>
      </c>
      <c r="E39" s="700">
        <f t="shared" si="1"/>
        <v>16025823.73</v>
      </c>
      <c r="F39" s="700">
        <v>32193.67</v>
      </c>
      <c r="G39" s="700">
        <v>163946.56</v>
      </c>
      <c r="H39" s="700">
        <f t="shared" si="2"/>
        <v>15993630.060000001</v>
      </c>
      <c r="I39" s="506">
        <f t="shared" si="0"/>
        <v>2.0088621054613334E-3</v>
      </c>
    </row>
    <row r="40" spans="1:9" s="35" customFormat="1" ht="14.25" customHeight="1">
      <c r="A40" s="698">
        <v>21201</v>
      </c>
      <c r="B40" s="699" t="s">
        <v>553</v>
      </c>
      <c r="C40" s="700">
        <v>2065000</v>
      </c>
      <c r="D40" s="700">
        <v>364197.73</v>
      </c>
      <c r="E40" s="700">
        <f t="shared" si="1"/>
        <v>2429197.73</v>
      </c>
      <c r="F40" s="700">
        <v>15823.23</v>
      </c>
      <c r="G40" s="700">
        <v>103293.09</v>
      </c>
      <c r="H40" s="700">
        <f t="shared" si="2"/>
        <v>2413374.5</v>
      </c>
      <c r="I40" s="506">
        <f t="shared" si="0"/>
        <v>6.5137678191392019E-3</v>
      </c>
    </row>
    <row r="41" spans="1:9" s="35" customFormat="1" ht="14.25" customHeight="1">
      <c r="A41" s="698">
        <v>21301</v>
      </c>
      <c r="B41" s="699" t="s">
        <v>554</v>
      </c>
      <c r="C41" s="700">
        <v>8500</v>
      </c>
      <c r="D41" s="700">
        <v>0</v>
      </c>
      <c r="E41" s="700">
        <f t="shared" si="1"/>
        <v>8500</v>
      </c>
      <c r="F41" s="700">
        <v>0</v>
      </c>
      <c r="G41" s="700">
        <v>0</v>
      </c>
      <c r="H41" s="700">
        <f t="shared" si="2"/>
        <v>8500</v>
      </c>
      <c r="I41" s="506">
        <f t="shared" si="0"/>
        <v>0</v>
      </c>
    </row>
    <row r="42" spans="1:9" s="35" customFormat="1" ht="14.25" customHeight="1">
      <c r="A42" s="698">
        <v>21401</v>
      </c>
      <c r="B42" s="699" t="s">
        <v>555</v>
      </c>
      <c r="C42" s="700">
        <v>3861953.68</v>
      </c>
      <c r="D42" s="700">
        <v>-612427.82999999996</v>
      </c>
      <c r="E42" s="700">
        <f t="shared" si="1"/>
        <v>3249525.85</v>
      </c>
      <c r="F42" s="700">
        <v>57225.61</v>
      </c>
      <c r="G42" s="700">
        <v>64203.26</v>
      </c>
      <c r="H42" s="700">
        <f t="shared" si="2"/>
        <v>3192300.24</v>
      </c>
      <c r="I42" s="506">
        <f t="shared" si="0"/>
        <v>1.7610449229077528E-2</v>
      </c>
    </row>
    <row r="43" spans="1:9" s="35" customFormat="1" ht="14.25" customHeight="1">
      <c r="A43" s="698">
        <v>21501</v>
      </c>
      <c r="B43" s="699" t="s">
        <v>556</v>
      </c>
      <c r="C43" s="700">
        <v>71075</v>
      </c>
      <c r="D43" s="700">
        <v>50876.93</v>
      </c>
      <c r="E43" s="700">
        <f t="shared" si="1"/>
        <v>121951.93</v>
      </c>
      <c r="F43" s="700">
        <v>0</v>
      </c>
      <c r="G43" s="700">
        <v>2777.68</v>
      </c>
      <c r="H43" s="700">
        <f t="shared" si="2"/>
        <v>121951.93</v>
      </c>
      <c r="I43" s="506">
        <f t="shared" si="0"/>
        <v>0</v>
      </c>
    </row>
    <row r="44" spans="1:9" s="35" customFormat="1" ht="14.25" customHeight="1">
      <c r="A44" s="698">
        <v>21601</v>
      </c>
      <c r="B44" s="699" t="s">
        <v>557</v>
      </c>
      <c r="C44" s="700">
        <v>2295831</v>
      </c>
      <c r="D44" s="700">
        <v>8546417.1400000006</v>
      </c>
      <c r="E44" s="700">
        <f t="shared" si="1"/>
        <v>10842248.140000001</v>
      </c>
      <c r="F44" s="700">
        <v>10849.76</v>
      </c>
      <c r="G44" s="700">
        <v>81621.52</v>
      </c>
      <c r="H44" s="700">
        <f t="shared" si="2"/>
        <v>10831398.380000001</v>
      </c>
      <c r="I44" s="506">
        <f t="shared" si="0"/>
        <v>1.0006928323261931E-3</v>
      </c>
    </row>
    <row r="45" spans="1:9" s="35" customFormat="1" ht="14.25" customHeight="1">
      <c r="A45" s="698">
        <v>21701</v>
      </c>
      <c r="B45" s="699" t="s">
        <v>558</v>
      </c>
      <c r="C45" s="700">
        <v>290958</v>
      </c>
      <c r="D45" s="700">
        <v>100376.25</v>
      </c>
      <c r="E45" s="700">
        <f t="shared" si="1"/>
        <v>391334.25</v>
      </c>
      <c r="F45" s="700">
        <v>398.69</v>
      </c>
      <c r="G45" s="700">
        <v>3982.4</v>
      </c>
      <c r="H45" s="700">
        <f t="shared" si="2"/>
        <v>390935.56</v>
      </c>
      <c r="I45" s="506">
        <f t="shared" si="0"/>
        <v>1.0187965914049179E-3</v>
      </c>
    </row>
    <row r="46" spans="1:9" s="35" customFormat="1" ht="14.25" customHeight="1">
      <c r="A46" s="698">
        <v>21702</v>
      </c>
      <c r="B46" s="699" t="s">
        <v>559</v>
      </c>
      <c r="C46" s="700">
        <v>0</v>
      </c>
      <c r="D46" s="700">
        <v>0.09</v>
      </c>
      <c r="E46" s="700">
        <f t="shared" si="1"/>
        <v>0.09</v>
      </c>
      <c r="F46" s="700">
        <v>0</v>
      </c>
      <c r="G46" s="700">
        <v>0</v>
      </c>
      <c r="H46" s="700">
        <f t="shared" si="2"/>
        <v>0.09</v>
      </c>
      <c r="I46" s="506">
        <f t="shared" si="0"/>
        <v>0</v>
      </c>
    </row>
    <row r="47" spans="1:9" s="35" customFormat="1" ht="14.25" customHeight="1">
      <c r="A47" s="698">
        <v>21801</v>
      </c>
      <c r="B47" s="699" t="s">
        <v>560</v>
      </c>
      <c r="C47" s="700">
        <v>605887</v>
      </c>
      <c r="D47" s="700">
        <v>103913.71</v>
      </c>
      <c r="E47" s="700">
        <f t="shared" si="1"/>
        <v>709800.71</v>
      </c>
      <c r="F47" s="700">
        <v>0</v>
      </c>
      <c r="G47" s="700">
        <v>0</v>
      </c>
      <c r="H47" s="700">
        <f t="shared" si="2"/>
        <v>709800.71</v>
      </c>
      <c r="I47" s="506">
        <f t="shared" si="0"/>
        <v>0</v>
      </c>
    </row>
    <row r="48" spans="1:9" s="35" customFormat="1" ht="14.25" customHeight="1">
      <c r="A48" s="698">
        <v>22101</v>
      </c>
      <c r="B48" s="699" t="s">
        <v>561</v>
      </c>
      <c r="C48" s="700">
        <v>10646044</v>
      </c>
      <c r="D48" s="700">
        <v>-5916310.7300000004</v>
      </c>
      <c r="E48" s="700">
        <f t="shared" si="1"/>
        <v>4729733.2699999996</v>
      </c>
      <c r="F48" s="700">
        <v>6907.06</v>
      </c>
      <c r="G48" s="700">
        <v>201440.78</v>
      </c>
      <c r="H48" s="700">
        <f t="shared" si="2"/>
        <v>4722826.21</v>
      </c>
      <c r="I48" s="506">
        <f t="shared" si="0"/>
        <v>1.4603487354795382E-3</v>
      </c>
    </row>
    <row r="49" spans="1:9" s="35" customFormat="1" ht="14.25" customHeight="1">
      <c r="A49" s="698">
        <v>22103</v>
      </c>
      <c r="B49" s="699" t="s">
        <v>562</v>
      </c>
      <c r="C49" s="700">
        <v>35171092</v>
      </c>
      <c r="D49" s="700">
        <v>-22338954.129999999</v>
      </c>
      <c r="E49" s="700">
        <f t="shared" si="1"/>
        <v>12832137.870000001</v>
      </c>
      <c r="F49" s="700">
        <v>0</v>
      </c>
      <c r="G49" s="700">
        <v>267634.53999999998</v>
      </c>
      <c r="H49" s="700">
        <f t="shared" si="2"/>
        <v>12832137.870000001</v>
      </c>
      <c r="I49" s="506">
        <f t="shared" si="0"/>
        <v>0</v>
      </c>
    </row>
    <row r="50" spans="1:9" s="35" customFormat="1" ht="14.25" customHeight="1">
      <c r="A50" s="698">
        <v>22105</v>
      </c>
      <c r="B50" s="699" t="s">
        <v>563</v>
      </c>
      <c r="C50" s="700">
        <v>48844</v>
      </c>
      <c r="D50" s="700">
        <v>-6997.23</v>
      </c>
      <c r="E50" s="700">
        <f t="shared" si="1"/>
        <v>41846.770000000004</v>
      </c>
      <c r="F50" s="700">
        <v>0</v>
      </c>
      <c r="G50" s="700">
        <v>0</v>
      </c>
      <c r="H50" s="700">
        <f t="shared" si="2"/>
        <v>41846.770000000004</v>
      </c>
      <c r="I50" s="506">
        <f t="shared" si="0"/>
        <v>0</v>
      </c>
    </row>
    <row r="51" spans="1:9" s="35" customFormat="1" ht="14.25" customHeight="1">
      <c r="A51" s="698">
        <v>22106</v>
      </c>
      <c r="B51" s="699" t="s">
        <v>564</v>
      </c>
      <c r="C51" s="700">
        <v>1824340</v>
      </c>
      <c r="D51" s="700">
        <v>-182719.92</v>
      </c>
      <c r="E51" s="700">
        <f t="shared" si="1"/>
        <v>1641620.08</v>
      </c>
      <c r="F51" s="700">
        <v>8530</v>
      </c>
      <c r="G51" s="700">
        <v>67326.040000000008</v>
      </c>
      <c r="H51" s="700">
        <f t="shared" si="2"/>
        <v>1633090.08</v>
      </c>
      <c r="I51" s="506">
        <f t="shared" si="0"/>
        <v>5.1960865390974021E-3</v>
      </c>
    </row>
    <row r="52" spans="1:9" s="35" customFormat="1" ht="14.25" customHeight="1">
      <c r="A52" s="698">
        <v>22201</v>
      </c>
      <c r="B52" s="699" t="s">
        <v>565</v>
      </c>
      <c r="C52" s="700">
        <v>11703</v>
      </c>
      <c r="D52" s="700">
        <v>0</v>
      </c>
      <c r="E52" s="700">
        <f t="shared" si="1"/>
        <v>11703</v>
      </c>
      <c r="F52" s="700">
        <v>0</v>
      </c>
      <c r="G52" s="700">
        <v>0</v>
      </c>
      <c r="H52" s="700">
        <f t="shared" si="2"/>
        <v>11703</v>
      </c>
      <c r="I52" s="506">
        <f t="shared" si="0"/>
        <v>0</v>
      </c>
    </row>
    <row r="53" spans="1:9" s="35" customFormat="1" ht="14.25" customHeight="1">
      <c r="A53" s="698">
        <v>22301</v>
      </c>
      <c r="B53" s="699" t="s">
        <v>566</v>
      </c>
      <c r="C53" s="700">
        <v>1945172</v>
      </c>
      <c r="D53" s="700">
        <v>-673587.71</v>
      </c>
      <c r="E53" s="700">
        <f t="shared" si="1"/>
        <v>1271584.29</v>
      </c>
      <c r="F53" s="700">
        <v>9573.67</v>
      </c>
      <c r="G53" s="700">
        <v>48887.54</v>
      </c>
      <c r="H53" s="700">
        <f t="shared" si="2"/>
        <v>1262010.6200000001</v>
      </c>
      <c r="I53" s="506">
        <f t="shared" si="0"/>
        <v>7.5289307010862798E-3</v>
      </c>
    </row>
    <row r="54" spans="1:9" s="35" customFormat="1" ht="14.25" customHeight="1">
      <c r="A54" s="698">
        <v>23401</v>
      </c>
      <c r="B54" s="699" t="s">
        <v>567</v>
      </c>
      <c r="C54" s="700">
        <v>2064</v>
      </c>
      <c r="D54" s="700">
        <v>-306.54000000000002</v>
      </c>
      <c r="E54" s="700">
        <f t="shared" si="1"/>
        <v>1757.46</v>
      </c>
      <c r="F54" s="700">
        <v>0</v>
      </c>
      <c r="G54" s="700">
        <v>0</v>
      </c>
      <c r="H54" s="700">
        <f t="shared" si="2"/>
        <v>1757.46</v>
      </c>
      <c r="I54" s="506">
        <f t="shared" si="0"/>
        <v>0</v>
      </c>
    </row>
    <row r="55" spans="1:9" s="35" customFormat="1" ht="14.25" customHeight="1">
      <c r="A55" s="698">
        <v>23601</v>
      </c>
      <c r="B55" s="699" t="s">
        <v>568</v>
      </c>
      <c r="C55" s="700">
        <v>5000</v>
      </c>
      <c r="D55" s="700">
        <v>-3332</v>
      </c>
      <c r="E55" s="700">
        <f t="shared" si="1"/>
        <v>1668</v>
      </c>
      <c r="F55" s="700">
        <v>0</v>
      </c>
      <c r="G55" s="700">
        <v>0</v>
      </c>
      <c r="H55" s="700">
        <f t="shared" si="2"/>
        <v>1668</v>
      </c>
      <c r="I55" s="506">
        <f t="shared" si="0"/>
        <v>0</v>
      </c>
    </row>
    <row r="56" spans="1:9" s="35" customFormat="1" ht="14.25" customHeight="1">
      <c r="A56" s="698">
        <v>23701</v>
      </c>
      <c r="B56" s="699" t="s">
        <v>569</v>
      </c>
      <c r="C56" s="700">
        <v>4008</v>
      </c>
      <c r="D56" s="700">
        <v>0</v>
      </c>
      <c r="E56" s="700">
        <f t="shared" si="1"/>
        <v>4008</v>
      </c>
      <c r="F56" s="700">
        <v>0</v>
      </c>
      <c r="G56" s="700">
        <v>0</v>
      </c>
      <c r="H56" s="700">
        <f t="shared" si="2"/>
        <v>4008</v>
      </c>
      <c r="I56" s="506">
        <f t="shared" si="0"/>
        <v>0</v>
      </c>
    </row>
    <row r="57" spans="1:9" s="35" customFormat="1" ht="14.25" customHeight="1">
      <c r="A57" s="698">
        <v>24101</v>
      </c>
      <c r="B57" s="699" t="s">
        <v>570</v>
      </c>
      <c r="C57" s="700">
        <v>85953</v>
      </c>
      <c r="D57" s="700">
        <v>67884.83</v>
      </c>
      <c r="E57" s="700">
        <f t="shared" si="1"/>
        <v>153837.83000000002</v>
      </c>
      <c r="F57" s="700">
        <v>0</v>
      </c>
      <c r="G57" s="700">
        <v>6909.5</v>
      </c>
      <c r="H57" s="700">
        <f t="shared" si="2"/>
        <v>153837.83000000002</v>
      </c>
      <c r="I57" s="506">
        <f t="shared" si="0"/>
        <v>0</v>
      </c>
    </row>
    <row r="58" spans="1:9" s="35" customFormat="1" ht="14.25" customHeight="1">
      <c r="A58" s="698">
        <v>24201</v>
      </c>
      <c r="B58" s="699" t="s">
        <v>571</v>
      </c>
      <c r="C58" s="701">
        <v>117612</v>
      </c>
      <c r="D58" s="701">
        <v>-8909.1200000000008</v>
      </c>
      <c r="E58" s="700">
        <f t="shared" si="1"/>
        <v>108702.88</v>
      </c>
      <c r="F58" s="700">
        <v>0</v>
      </c>
      <c r="G58" s="700">
        <v>114</v>
      </c>
      <c r="H58" s="700">
        <f t="shared" si="2"/>
        <v>108702.88</v>
      </c>
      <c r="I58" s="506">
        <f t="shared" si="0"/>
        <v>0</v>
      </c>
    </row>
    <row r="59" spans="1:9" s="35" customFormat="1" ht="14.25" customHeight="1">
      <c r="A59" s="698">
        <v>24301</v>
      </c>
      <c r="B59" s="699" t="s">
        <v>572</v>
      </c>
      <c r="C59" s="700">
        <v>66276</v>
      </c>
      <c r="D59" s="700">
        <v>-8824.35</v>
      </c>
      <c r="E59" s="700">
        <f t="shared" si="1"/>
        <v>57451.65</v>
      </c>
      <c r="F59" s="700">
        <v>0</v>
      </c>
      <c r="G59" s="700">
        <v>0</v>
      </c>
      <c r="H59" s="700">
        <f t="shared" si="2"/>
        <v>57451.65</v>
      </c>
      <c r="I59" s="506">
        <f t="shared" si="0"/>
        <v>0</v>
      </c>
    </row>
    <row r="60" spans="1:9" s="35" customFormat="1" ht="14.25" customHeight="1">
      <c r="A60" s="698">
        <v>24401</v>
      </c>
      <c r="B60" s="699" t="s">
        <v>573</v>
      </c>
      <c r="C60" s="700">
        <v>122050</v>
      </c>
      <c r="D60" s="700">
        <v>-23482.52</v>
      </c>
      <c r="E60" s="700">
        <f t="shared" si="1"/>
        <v>98567.48</v>
      </c>
      <c r="F60" s="700">
        <v>0</v>
      </c>
      <c r="G60" s="700">
        <v>3469.12</v>
      </c>
      <c r="H60" s="700">
        <f t="shared" si="2"/>
        <v>98567.48</v>
      </c>
      <c r="I60" s="506">
        <f t="shared" si="0"/>
        <v>0</v>
      </c>
    </row>
    <row r="61" spans="1:9" s="35" customFormat="1" ht="14.25" customHeight="1">
      <c r="A61" s="698">
        <v>24501</v>
      </c>
      <c r="B61" s="699" t="s">
        <v>574</v>
      </c>
      <c r="C61" s="700">
        <v>77446</v>
      </c>
      <c r="D61" s="700">
        <v>-5925.23</v>
      </c>
      <c r="E61" s="700">
        <f t="shared" si="1"/>
        <v>71520.77</v>
      </c>
      <c r="F61" s="700">
        <v>0</v>
      </c>
      <c r="G61" s="700">
        <v>0</v>
      </c>
      <c r="H61" s="700">
        <f t="shared" si="2"/>
        <v>71520.77</v>
      </c>
      <c r="I61" s="506">
        <f t="shared" si="0"/>
        <v>0</v>
      </c>
    </row>
    <row r="62" spans="1:9" s="35" customFormat="1" ht="14.25" customHeight="1">
      <c r="A62" s="698">
        <v>24601</v>
      </c>
      <c r="B62" s="699" t="s">
        <v>575</v>
      </c>
      <c r="C62" s="700">
        <v>1236467</v>
      </c>
      <c r="D62" s="700">
        <v>-126938.28</v>
      </c>
      <c r="E62" s="700">
        <f t="shared" si="1"/>
        <v>1109528.72</v>
      </c>
      <c r="F62" s="700">
        <v>7903.02</v>
      </c>
      <c r="G62" s="700">
        <v>32649.350000000002</v>
      </c>
      <c r="H62" s="700">
        <f t="shared" si="2"/>
        <v>1101625.7</v>
      </c>
      <c r="I62" s="506">
        <f t="shared" si="0"/>
        <v>7.1228620382174524E-3</v>
      </c>
    </row>
    <row r="63" spans="1:9" s="35" customFormat="1" ht="14.25" customHeight="1">
      <c r="A63" s="698">
        <v>24701</v>
      </c>
      <c r="B63" s="699" t="s">
        <v>576</v>
      </c>
      <c r="C63" s="700">
        <v>287837</v>
      </c>
      <c r="D63" s="700">
        <v>-43225.03</v>
      </c>
      <c r="E63" s="700">
        <f t="shared" si="1"/>
        <v>244611.97</v>
      </c>
      <c r="F63" s="700">
        <v>24</v>
      </c>
      <c r="G63" s="700">
        <v>3503.6299999999997</v>
      </c>
      <c r="H63" s="700">
        <f t="shared" si="2"/>
        <v>244587.97</v>
      </c>
      <c r="I63" s="506">
        <f t="shared" si="0"/>
        <v>9.8114577140276491E-5</v>
      </c>
    </row>
    <row r="64" spans="1:9" s="35" customFormat="1" ht="14.25" customHeight="1">
      <c r="A64" s="698">
        <v>24801</v>
      </c>
      <c r="B64" s="699" t="s">
        <v>577</v>
      </c>
      <c r="C64" s="700">
        <v>285244</v>
      </c>
      <c r="D64" s="700">
        <v>33223.910000000003</v>
      </c>
      <c r="E64" s="700">
        <f t="shared" si="1"/>
        <v>318467.91000000003</v>
      </c>
      <c r="F64" s="700">
        <v>0</v>
      </c>
      <c r="G64" s="700">
        <v>4002.17</v>
      </c>
      <c r="H64" s="700">
        <f t="shared" si="2"/>
        <v>318467.91000000003</v>
      </c>
      <c r="I64" s="506">
        <f t="shared" si="0"/>
        <v>0</v>
      </c>
    </row>
    <row r="65" spans="1:9" s="35" customFormat="1" ht="14.25" customHeight="1">
      <c r="A65" s="698">
        <v>24901</v>
      </c>
      <c r="B65" s="699" t="s">
        <v>578</v>
      </c>
      <c r="C65" s="700">
        <v>604936</v>
      </c>
      <c r="D65" s="700">
        <v>-2403.27</v>
      </c>
      <c r="E65" s="700">
        <f t="shared" si="1"/>
        <v>602532.73</v>
      </c>
      <c r="F65" s="700">
        <v>1641.99</v>
      </c>
      <c r="G65" s="700">
        <v>9666.02</v>
      </c>
      <c r="H65" s="700">
        <f t="shared" si="2"/>
        <v>600890.74</v>
      </c>
      <c r="I65" s="506">
        <f t="shared" si="0"/>
        <v>2.7251465658969264E-3</v>
      </c>
    </row>
    <row r="66" spans="1:9" s="35" customFormat="1" ht="14.25" customHeight="1">
      <c r="A66" s="698">
        <v>25101</v>
      </c>
      <c r="B66" s="699" t="s">
        <v>579</v>
      </c>
      <c r="C66" s="700">
        <v>17204684</v>
      </c>
      <c r="D66" s="700">
        <v>41186595.479999997</v>
      </c>
      <c r="E66" s="700">
        <f t="shared" si="1"/>
        <v>58391279.479999997</v>
      </c>
      <c r="F66" s="700">
        <v>0</v>
      </c>
      <c r="G66" s="700">
        <v>8763.92</v>
      </c>
      <c r="H66" s="700">
        <f t="shared" si="2"/>
        <v>58391279.479999997</v>
      </c>
      <c r="I66" s="506">
        <f t="shared" si="0"/>
        <v>0</v>
      </c>
    </row>
    <row r="67" spans="1:9" s="35" customFormat="1" ht="14.25" customHeight="1">
      <c r="A67" s="698">
        <v>25201</v>
      </c>
      <c r="B67" s="699" t="s">
        <v>580</v>
      </c>
      <c r="C67" s="700">
        <v>8500000</v>
      </c>
      <c r="D67" s="700">
        <v>21700136</v>
      </c>
      <c r="E67" s="700">
        <f t="shared" si="1"/>
        <v>30200136</v>
      </c>
      <c r="F67" s="700">
        <v>0</v>
      </c>
      <c r="G67" s="700">
        <v>0</v>
      </c>
      <c r="H67" s="700">
        <f t="shared" si="2"/>
        <v>30200136</v>
      </c>
      <c r="I67" s="506">
        <f t="shared" si="0"/>
        <v>0</v>
      </c>
    </row>
    <row r="68" spans="1:9" s="35" customFormat="1" ht="14.25" customHeight="1">
      <c r="A68" s="698">
        <v>25301</v>
      </c>
      <c r="B68" s="699" t="s">
        <v>581</v>
      </c>
      <c r="C68" s="700">
        <v>221907939.99000001</v>
      </c>
      <c r="D68" s="700">
        <v>-56490025.640000001</v>
      </c>
      <c r="E68" s="700">
        <f t="shared" si="1"/>
        <v>165417914.35000002</v>
      </c>
      <c r="F68" s="700">
        <v>1117869.6000000001</v>
      </c>
      <c r="G68" s="700">
        <v>859325.69</v>
      </c>
      <c r="H68" s="700">
        <f t="shared" si="2"/>
        <v>164300044.75000003</v>
      </c>
      <c r="I68" s="506">
        <f t="shared" si="0"/>
        <v>6.7578508917404924E-3</v>
      </c>
    </row>
    <row r="69" spans="1:9" s="35" customFormat="1" ht="14.25" customHeight="1">
      <c r="A69" s="698">
        <v>25302</v>
      </c>
      <c r="B69" s="699" t="s">
        <v>582</v>
      </c>
      <c r="C69" s="700">
        <v>9008153</v>
      </c>
      <c r="D69" s="700">
        <v>735346.12</v>
      </c>
      <c r="E69" s="700">
        <f t="shared" si="1"/>
        <v>9743499.1199999992</v>
      </c>
      <c r="F69" s="700">
        <v>118028.5</v>
      </c>
      <c r="G69" s="700">
        <v>277138.61</v>
      </c>
      <c r="H69" s="700">
        <f t="shared" si="2"/>
        <v>9625470.6199999992</v>
      </c>
      <c r="I69" s="506">
        <f t="shared" si="0"/>
        <v>1.2113563982135405E-2</v>
      </c>
    </row>
    <row r="70" spans="1:9" s="35" customFormat="1" ht="14.25" customHeight="1">
      <c r="A70" s="698">
        <v>25401</v>
      </c>
      <c r="B70" s="699" t="s">
        <v>583</v>
      </c>
      <c r="C70" s="700">
        <v>56724648</v>
      </c>
      <c r="D70" s="700">
        <v>25950935.059999999</v>
      </c>
      <c r="E70" s="700">
        <f t="shared" si="1"/>
        <v>82675583.060000002</v>
      </c>
      <c r="F70" s="700">
        <v>61601.11</v>
      </c>
      <c r="G70" s="700">
        <v>324096.98</v>
      </c>
      <c r="H70" s="700">
        <f t="shared" si="2"/>
        <v>82613981.950000003</v>
      </c>
      <c r="I70" s="506">
        <f t="shared" si="0"/>
        <v>7.4509435216555211E-4</v>
      </c>
    </row>
    <row r="71" spans="1:9" s="35" customFormat="1" ht="14.25" customHeight="1">
      <c r="A71" s="698">
        <v>25501</v>
      </c>
      <c r="B71" s="699" t="s">
        <v>584</v>
      </c>
      <c r="C71" s="700">
        <v>9249455</v>
      </c>
      <c r="D71" s="700">
        <v>18330287.16</v>
      </c>
      <c r="E71" s="700">
        <f t="shared" si="1"/>
        <v>27579742.16</v>
      </c>
      <c r="F71" s="700">
        <v>2030</v>
      </c>
      <c r="G71" s="700">
        <v>54824.85</v>
      </c>
      <c r="H71" s="700">
        <f t="shared" si="2"/>
        <v>27577712.16</v>
      </c>
      <c r="I71" s="506">
        <f t="shared" si="0"/>
        <v>7.3604749030039513E-5</v>
      </c>
    </row>
    <row r="72" spans="1:9" s="35" customFormat="1" ht="14.25" customHeight="1">
      <c r="A72" s="698">
        <v>25601</v>
      </c>
      <c r="B72" s="699" t="s">
        <v>585</v>
      </c>
      <c r="C72" s="700">
        <v>135987</v>
      </c>
      <c r="D72" s="700">
        <v>2043.73</v>
      </c>
      <c r="E72" s="700">
        <f t="shared" si="1"/>
        <v>138030.73000000001</v>
      </c>
      <c r="F72" s="700">
        <v>0</v>
      </c>
      <c r="G72" s="700">
        <v>5305.19</v>
      </c>
      <c r="H72" s="700">
        <f t="shared" si="2"/>
        <v>138030.73000000001</v>
      </c>
      <c r="I72" s="506">
        <f t="shared" si="0"/>
        <v>0</v>
      </c>
    </row>
    <row r="73" spans="1:9" s="35" customFormat="1" ht="14.25" customHeight="1">
      <c r="A73" s="698">
        <v>25901</v>
      </c>
      <c r="B73" s="699" t="s">
        <v>586</v>
      </c>
      <c r="C73" s="700">
        <v>17603535</v>
      </c>
      <c r="D73" s="700">
        <v>-17563059.329999998</v>
      </c>
      <c r="E73" s="700">
        <f t="shared" si="1"/>
        <v>40475.670000001788</v>
      </c>
      <c r="F73" s="700">
        <v>0</v>
      </c>
      <c r="G73" s="700">
        <v>7980.8</v>
      </c>
      <c r="H73" s="700">
        <f t="shared" si="2"/>
        <v>40475.670000001788</v>
      </c>
      <c r="I73" s="506">
        <f t="shared" si="0"/>
        <v>0</v>
      </c>
    </row>
    <row r="74" spans="1:9" s="35" customFormat="1" ht="14.25" customHeight="1">
      <c r="A74" s="698">
        <v>26101</v>
      </c>
      <c r="B74" s="699" t="s">
        <v>587</v>
      </c>
      <c r="C74" s="700">
        <v>23434634</v>
      </c>
      <c r="D74" s="700">
        <v>2762619.36</v>
      </c>
      <c r="E74" s="700">
        <f t="shared" si="1"/>
        <v>26197253.359999999</v>
      </c>
      <c r="F74" s="700">
        <v>116692.84</v>
      </c>
      <c r="G74" s="700">
        <v>3941750.17</v>
      </c>
      <c r="H74" s="700">
        <f t="shared" si="2"/>
        <v>26080560.52</v>
      </c>
      <c r="I74" s="506">
        <f t="shared" si="0"/>
        <v>4.454392160751313E-3</v>
      </c>
    </row>
    <row r="75" spans="1:9" s="35" customFormat="1" ht="14.25" customHeight="1">
      <c r="A75" s="698">
        <v>26102</v>
      </c>
      <c r="B75" s="699" t="s">
        <v>588</v>
      </c>
      <c r="C75" s="700">
        <v>502081</v>
      </c>
      <c r="D75" s="700">
        <v>-17493.53</v>
      </c>
      <c r="E75" s="700">
        <f t="shared" ref="E75:E138" si="3">C75+D75</f>
        <v>484587.47</v>
      </c>
      <c r="F75" s="700">
        <v>3902.59</v>
      </c>
      <c r="G75" s="700">
        <v>3533.21</v>
      </c>
      <c r="H75" s="700">
        <f t="shared" ref="H75:H138" si="4">E75-F75</f>
        <v>480684.87999999995</v>
      </c>
      <c r="I75" s="506">
        <f t="shared" ref="I75:I138" si="5">F75/E75</f>
        <v>8.053427382263929E-3</v>
      </c>
    </row>
    <row r="76" spans="1:9" s="35" customFormat="1" ht="14.25" customHeight="1">
      <c r="A76" s="698">
        <v>27101</v>
      </c>
      <c r="B76" s="699" t="s">
        <v>589</v>
      </c>
      <c r="C76" s="700">
        <v>9542522.0800000001</v>
      </c>
      <c r="D76" s="700">
        <v>1276642.92</v>
      </c>
      <c r="E76" s="700">
        <f t="shared" si="3"/>
        <v>10819165</v>
      </c>
      <c r="F76" s="700">
        <v>0</v>
      </c>
      <c r="G76" s="700">
        <v>9465.6</v>
      </c>
      <c r="H76" s="700">
        <f t="shared" si="4"/>
        <v>10819165</v>
      </c>
      <c r="I76" s="506">
        <f t="shared" si="5"/>
        <v>0</v>
      </c>
    </row>
    <row r="77" spans="1:9" s="35" customFormat="1" ht="14.25" customHeight="1">
      <c r="A77" s="698">
        <v>27201</v>
      </c>
      <c r="B77" s="699" t="s">
        <v>590</v>
      </c>
      <c r="C77" s="700">
        <v>184740</v>
      </c>
      <c r="D77" s="700">
        <v>391158.62</v>
      </c>
      <c r="E77" s="700">
        <f t="shared" si="3"/>
        <v>575898.62</v>
      </c>
      <c r="F77" s="700">
        <v>0</v>
      </c>
      <c r="G77" s="700">
        <v>14343.95</v>
      </c>
      <c r="H77" s="700">
        <f t="shared" si="4"/>
        <v>575898.62</v>
      </c>
      <c r="I77" s="506">
        <f t="shared" si="5"/>
        <v>0</v>
      </c>
    </row>
    <row r="78" spans="1:9" s="35" customFormat="1" ht="14.25" customHeight="1">
      <c r="A78" s="698">
        <v>27301</v>
      </c>
      <c r="B78" s="699" t="s">
        <v>591</v>
      </c>
      <c r="C78" s="700">
        <v>21420</v>
      </c>
      <c r="D78" s="700">
        <v>54800.31</v>
      </c>
      <c r="E78" s="700">
        <f t="shared" si="3"/>
        <v>76220.31</v>
      </c>
      <c r="F78" s="700">
        <v>0</v>
      </c>
      <c r="G78" s="700">
        <v>0</v>
      </c>
      <c r="H78" s="700">
        <f t="shared" si="4"/>
        <v>76220.31</v>
      </c>
      <c r="I78" s="506">
        <f t="shared" si="5"/>
        <v>0</v>
      </c>
    </row>
    <row r="79" spans="1:9" s="35" customFormat="1" ht="14.25" customHeight="1">
      <c r="A79" s="698">
        <v>27401</v>
      </c>
      <c r="B79" s="699" t="s">
        <v>592</v>
      </c>
      <c r="C79" s="700">
        <v>1248606</v>
      </c>
      <c r="D79" s="700">
        <v>-968688.62</v>
      </c>
      <c r="E79" s="700">
        <f t="shared" si="3"/>
        <v>279917.38</v>
      </c>
      <c r="F79" s="700">
        <v>43479.12</v>
      </c>
      <c r="G79" s="700">
        <v>699.69</v>
      </c>
      <c r="H79" s="700">
        <f t="shared" si="4"/>
        <v>236438.26</v>
      </c>
      <c r="I79" s="506">
        <f t="shared" si="5"/>
        <v>0.15532840440275628</v>
      </c>
    </row>
    <row r="80" spans="1:9" s="35" customFormat="1" ht="14.25" customHeight="1">
      <c r="A80" s="698">
        <v>27501</v>
      </c>
      <c r="B80" s="699" t="s">
        <v>593</v>
      </c>
      <c r="C80" s="700">
        <v>3957736</v>
      </c>
      <c r="D80" s="700">
        <v>-1548787.25</v>
      </c>
      <c r="E80" s="700">
        <f t="shared" si="3"/>
        <v>2408948.75</v>
      </c>
      <c r="F80" s="700">
        <v>0</v>
      </c>
      <c r="G80" s="700">
        <v>54469.84</v>
      </c>
      <c r="H80" s="700">
        <f t="shared" si="4"/>
        <v>2408948.75</v>
      </c>
      <c r="I80" s="506">
        <f t="shared" si="5"/>
        <v>0</v>
      </c>
    </row>
    <row r="81" spans="1:9" s="35" customFormat="1" ht="14.25" customHeight="1">
      <c r="A81" s="698">
        <v>28301</v>
      </c>
      <c r="B81" s="699" t="s">
        <v>594</v>
      </c>
      <c r="C81" s="700">
        <v>0</v>
      </c>
      <c r="D81" s="700">
        <v>279</v>
      </c>
      <c r="E81" s="700">
        <f t="shared" si="3"/>
        <v>279</v>
      </c>
      <c r="F81" s="700">
        <v>0</v>
      </c>
      <c r="G81" s="700">
        <v>0</v>
      </c>
      <c r="H81" s="700">
        <f t="shared" si="4"/>
        <v>279</v>
      </c>
      <c r="I81" s="506">
        <f t="shared" si="5"/>
        <v>0</v>
      </c>
    </row>
    <row r="82" spans="1:9" s="35" customFormat="1" ht="14.25" customHeight="1">
      <c r="A82" s="698">
        <v>29101</v>
      </c>
      <c r="B82" s="699" t="s">
        <v>595</v>
      </c>
      <c r="C82" s="700">
        <v>349716</v>
      </c>
      <c r="D82" s="700">
        <v>26460.25</v>
      </c>
      <c r="E82" s="700">
        <f t="shared" si="3"/>
        <v>376176.25</v>
      </c>
      <c r="F82" s="700">
        <v>20.82</v>
      </c>
      <c r="G82" s="700">
        <v>2410.9300000000003</v>
      </c>
      <c r="H82" s="700">
        <f t="shared" si="4"/>
        <v>376155.43</v>
      </c>
      <c r="I82" s="506">
        <f t="shared" si="5"/>
        <v>5.5346396802030966E-5</v>
      </c>
    </row>
    <row r="83" spans="1:9" s="35" customFormat="1" ht="14.25" customHeight="1">
      <c r="A83" s="698">
        <v>29201</v>
      </c>
      <c r="B83" s="699" t="s">
        <v>596</v>
      </c>
      <c r="C83" s="700">
        <v>399217</v>
      </c>
      <c r="D83" s="700">
        <v>-19865.97</v>
      </c>
      <c r="E83" s="700">
        <f t="shared" si="3"/>
        <v>379351.03</v>
      </c>
      <c r="F83" s="700">
        <v>0</v>
      </c>
      <c r="G83" s="700">
        <v>5531.04</v>
      </c>
      <c r="H83" s="700">
        <f t="shared" si="4"/>
        <v>379351.03</v>
      </c>
      <c r="I83" s="506">
        <f t="shared" si="5"/>
        <v>0</v>
      </c>
    </row>
    <row r="84" spans="1:9" s="35" customFormat="1" ht="14.25" customHeight="1">
      <c r="A84" s="698">
        <v>29301</v>
      </c>
      <c r="B84" s="699" t="s">
        <v>597</v>
      </c>
      <c r="C84" s="700">
        <v>97265</v>
      </c>
      <c r="D84" s="700">
        <v>11627.24</v>
      </c>
      <c r="E84" s="700">
        <f t="shared" si="3"/>
        <v>108892.24</v>
      </c>
      <c r="F84" s="700">
        <v>0</v>
      </c>
      <c r="G84" s="700">
        <v>2410.4</v>
      </c>
      <c r="H84" s="700">
        <f t="shared" si="4"/>
        <v>108892.24</v>
      </c>
      <c r="I84" s="506">
        <f t="shared" si="5"/>
        <v>0</v>
      </c>
    </row>
    <row r="85" spans="1:9" s="35" customFormat="1" ht="14.25" customHeight="1">
      <c r="A85" s="698">
        <v>29401</v>
      </c>
      <c r="B85" s="699" t="s">
        <v>598</v>
      </c>
      <c r="C85" s="700">
        <v>629850</v>
      </c>
      <c r="D85" s="700">
        <v>-90941.34</v>
      </c>
      <c r="E85" s="700">
        <f t="shared" si="3"/>
        <v>538908.66</v>
      </c>
      <c r="F85" s="700">
        <v>2198.7399999999998</v>
      </c>
      <c r="G85" s="700">
        <v>2887.22</v>
      </c>
      <c r="H85" s="700">
        <f t="shared" si="4"/>
        <v>536709.92000000004</v>
      </c>
      <c r="I85" s="506">
        <f t="shared" si="5"/>
        <v>4.0799863932414809E-3</v>
      </c>
    </row>
    <row r="86" spans="1:9" s="35" customFormat="1" ht="14.25" customHeight="1">
      <c r="A86" s="698">
        <v>29501</v>
      </c>
      <c r="B86" s="699" t="s">
        <v>599</v>
      </c>
      <c r="C86" s="700">
        <v>286449</v>
      </c>
      <c r="D86" s="700">
        <v>153101.38</v>
      </c>
      <c r="E86" s="700">
        <f t="shared" si="3"/>
        <v>439550.38</v>
      </c>
      <c r="F86" s="700">
        <v>0</v>
      </c>
      <c r="G86" s="700">
        <v>40695.83</v>
      </c>
      <c r="H86" s="700">
        <f t="shared" si="4"/>
        <v>439550.38</v>
      </c>
      <c r="I86" s="506">
        <f t="shared" si="5"/>
        <v>0</v>
      </c>
    </row>
    <row r="87" spans="1:9" s="35" customFormat="1" ht="14.25" customHeight="1">
      <c r="A87" s="698">
        <v>29601</v>
      </c>
      <c r="B87" s="699" t="s">
        <v>600</v>
      </c>
      <c r="C87" s="700">
        <v>2500000</v>
      </c>
      <c r="D87" s="700">
        <v>1255313.44</v>
      </c>
      <c r="E87" s="700">
        <f t="shared" si="3"/>
        <v>3755313.44</v>
      </c>
      <c r="F87" s="700">
        <v>9673.49</v>
      </c>
      <c r="G87" s="700">
        <v>45570.15</v>
      </c>
      <c r="H87" s="700">
        <f t="shared" si="4"/>
        <v>3745639.9499999997</v>
      </c>
      <c r="I87" s="506">
        <f t="shared" si="5"/>
        <v>2.575947428771751E-3</v>
      </c>
    </row>
    <row r="88" spans="1:9" s="35" customFormat="1" ht="14.25" customHeight="1">
      <c r="A88" s="698">
        <v>29801</v>
      </c>
      <c r="B88" s="699" t="s">
        <v>601</v>
      </c>
      <c r="C88" s="700">
        <v>230473</v>
      </c>
      <c r="D88" s="700">
        <v>339772.17</v>
      </c>
      <c r="E88" s="700">
        <f t="shared" si="3"/>
        <v>570245.16999999993</v>
      </c>
      <c r="F88" s="700">
        <v>460.01</v>
      </c>
      <c r="G88" s="700">
        <v>999.93</v>
      </c>
      <c r="H88" s="700">
        <f t="shared" si="4"/>
        <v>569785.15999999992</v>
      </c>
      <c r="I88" s="506">
        <f t="shared" si="5"/>
        <v>8.0668811276384867E-4</v>
      </c>
    </row>
    <row r="89" spans="1:9" s="35" customFormat="1" ht="14.25" customHeight="1">
      <c r="A89" s="698">
        <v>29901</v>
      </c>
      <c r="B89" s="699" t="s">
        <v>602</v>
      </c>
      <c r="C89" s="700">
        <v>92241</v>
      </c>
      <c r="D89" s="700">
        <v>13048.33</v>
      </c>
      <c r="E89" s="700">
        <f t="shared" si="3"/>
        <v>105289.33</v>
      </c>
      <c r="F89" s="700">
        <v>9756.27</v>
      </c>
      <c r="G89" s="700">
        <v>257.79000000000002</v>
      </c>
      <c r="H89" s="700">
        <f t="shared" si="4"/>
        <v>95533.06</v>
      </c>
      <c r="I89" s="506">
        <f t="shared" si="5"/>
        <v>9.2661526101457767E-2</v>
      </c>
    </row>
    <row r="90" spans="1:9" s="35" customFormat="1" ht="14.25" customHeight="1">
      <c r="A90" s="698">
        <v>31101</v>
      </c>
      <c r="B90" s="699" t="s">
        <v>603</v>
      </c>
      <c r="C90" s="700">
        <v>66022184</v>
      </c>
      <c r="D90" s="700">
        <v>-42849175.109999999</v>
      </c>
      <c r="E90" s="700">
        <f t="shared" si="3"/>
        <v>23173008.890000001</v>
      </c>
      <c r="F90" s="700">
        <v>2685</v>
      </c>
      <c r="G90" s="700">
        <v>753177.77</v>
      </c>
      <c r="H90" s="700">
        <f t="shared" si="4"/>
        <v>23170323.890000001</v>
      </c>
      <c r="I90" s="506">
        <f t="shared" si="5"/>
        <v>1.1586756008878397E-4</v>
      </c>
    </row>
    <row r="91" spans="1:9" s="35" customFormat="1" ht="14.25" customHeight="1">
      <c r="A91" s="698">
        <v>31201</v>
      </c>
      <c r="B91" s="699" t="s">
        <v>604</v>
      </c>
      <c r="C91" s="700">
        <v>6543495</v>
      </c>
      <c r="D91" s="700">
        <v>-4051781.46</v>
      </c>
      <c r="E91" s="700">
        <f t="shared" si="3"/>
        <v>2491713.54</v>
      </c>
      <c r="F91" s="700">
        <v>1062.4100000000001</v>
      </c>
      <c r="G91" s="700">
        <v>281835.52000000002</v>
      </c>
      <c r="H91" s="700">
        <f t="shared" si="4"/>
        <v>2490651.13</v>
      </c>
      <c r="I91" s="506">
        <f t="shared" si="5"/>
        <v>4.26377263254748E-4</v>
      </c>
    </row>
    <row r="92" spans="1:9" s="35" customFormat="1" ht="14.25" customHeight="1">
      <c r="A92" s="698">
        <v>31301</v>
      </c>
      <c r="B92" s="699" t="s">
        <v>605</v>
      </c>
      <c r="C92" s="700">
        <v>5584380</v>
      </c>
      <c r="D92" s="700">
        <v>-2351793.67</v>
      </c>
      <c r="E92" s="700">
        <f t="shared" si="3"/>
        <v>3232586.33</v>
      </c>
      <c r="F92" s="700">
        <v>72005</v>
      </c>
      <c r="G92" s="700">
        <v>294557.3</v>
      </c>
      <c r="H92" s="700">
        <f t="shared" si="4"/>
        <v>3160581.33</v>
      </c>
      <c r="I92" s="506">
        <f t="shared" si="5"/>
        <v>2.2274733804247698E-2</v>
      </c>
    </row>
    <row r="93" spans="1:9" s="35" customFormat="1" ht="14.25" customHeight="1">
      <c r="A93" s="698">
        <v>31401</v>
      </c>
      <c r="B93" s="699" t="s">
        <v>606</v>
      </c>
      <c r="C93" s="700">
        <v>14558836</v>
      </c>
      <c r="D93" s="700">
        <v>-3508800.03</v>
      </c>
      <c r="E93" s="700">
        <f t="shared" si="3"/>
        <v>11050035.970000001</v>
      </c>
      <c r="F93" s="700">
        <v>22718.18</v>
      </c>
      <c r="G93" s="700">
        <v>993250.27</v>
      </c>
      <c r="H93" s="700">
        <f t="shared" si="4"/>
        <v>11027317.790000001</v>
      </c>
      <c r="I93" s="506">
        <f t="shared" si="5"/>
        <v>2.0559371989085028E-3</v>
      </c>
    </row>
    <row r="94" spans="1:9" s="35" customFormat="1" ht="14.25" customHeight="1">
      <c r="A94" s="698">
        <v>31501</v>
      </c>
      <c r="B94" s="699" t="s">
        <v>607</v>
      </c>
      <c r="C94" s="700">
        <v>608948</v>
      </c>
      <c r="D94" s="700">
        <v>-233955</v>
      </c>
      <c r="E94" s="700">
        <f t="shared" si="3"/>
        <v>374993</v>
      </c>
      <c r="F94" s="700">
        <v>0</v>
      </c>
      <c r="G94" s="700">
        <v>0</v>
      </c>
      <c r="H94" s="700">
        <f t="shared" si="4"/>
        <v>374993</v>
      </c>
      <c r="I94" s="506">
        <f t="shared" si="5"/>
        <v>0</v>
      </c>
    </row>
    <row r="95" spans="1:9" s="35" customFormat="1" ht="14.25" customHeight="1">
      <c r="A95" s="698">
        <v>31601</v>
      </c>
      <c r="B95" s="699" t="s">
        <v>608</v>
      </c>
      <c r="C95" s="700">
        <v>248965</v>
      </c>
      <c r="D95" s="700">
        <v>1203</v>
      </c>
      <c r="E95" s="700">
        <f t="shared" si="3"/>
        <v>250168</v>
      </c>
      <c r="F95" s="700">
        <v>0</v>
      </c>
      <c r="G95" s="700">
        <v>0</v>
      </c>
      <c r="H95" s="700">
        <f t="shared" si="4"/>
        <v>250168</v>
      </c>
      <c r="I95" s="506">
        <f t="shared" si="5"/>
        <v>0</v>
      </c>
    </row>
    <row r="96" spans="1:9" s="35" customFormat="1" ht="14.25" customHeight="1">
      <c r="A96" s="698">
        <v>31701</v>
      </c>
      <c r="B96" s="699" t="s">
        <v>609</v>
      </c>
      <c r="C96" s="700">
        <v>4743050.12</v>
      </c>
      <c r="D96" s="700">
        <v>-700555.63</v>
      </c>
      <c r="E96" s="700">
        <f t="shared" si="3"/>
        <v>4042494.49</v>
      </c>
      <c r="F96" s="700">
        <v>0</v>
      </c>
      <c r="G96" s="700">
        <v>1358</v>
      </c>
      <c r="H96" s="700">
        <f t="shared" si="4"/>
        <v>4042494.49</v>
      </c>
      <c r="I96" s="506">
        <f t="shared" si="5"/>
        <v>0</v>
      </c>
    </row>
    <row r="97" spans="1:9" s="35" customFormat="1" ht="14.25" customHeight="1">
      <c r="A97" s="698">
        <v>31801</v>
      </c>
      <c r="B97" s="699" t="s">
        <v>610</v>
      </c>
      <c r="C97" s="700">
        <v>77772</v>
      </c>
      <c r="D97" s="700">
        <v>165565.72</v>
      </c>
      <c r="E97" s="700">
        <f t="shared" si="3"/>
        <v>243337.72</v>
      </c>
      <c r="F97" s="700">
        <v>0</v>
      </c>
      <c r="G97" s="700">
        <v>25249.48</v>
      </c>
      <c r="H97" s="700">
        <f t="shared" si="4"/>
        <v>243337.72</v>
      </c>
      <c r="I97" s="506">
        <f t="shared" si="5"/>
        <v>0</v>
      </c>
    </row>
    <row r="98" spans="1:9" s="35" customFormat="1" ht="14.25" customHeight="1">
      <c r="A98" s="698">
        <v>31901</v>
      </c>
      <c r="B98" s="699" t="s">
        <v>611</v>
      </c>
      <c r="C98" s="700">
        <v>36000</v>
      </c>
      <c r="D98" s="700">
        <v>-1000</v>
      </c>
      <c r="E98" s="700">
        <f t="shared" si="3"/>
        <v>35000</v>
      </c>
      <c r="F98" s="700">
        <v>0</v>
      </c>
      <c r="G98" s="700">
        <v>0</v>
      </c>
      <c r="H98" s="700">
        <f t="shared" si="4"/>
        <v>35000</v>
      </c>
      <c r="I98" s="506">
        <f t="shared" si="5"/>
        <v>0</v>
      </c>
    </row>
    <row r="99" spans="1:9" s="35" customFormat="1" ht="14.25" customHeight="1">
      <c r="A99" s="698">
        <v>32201</v>
      </c>
      <c r="B99" s="699" t="s">
        <v>612</v>
      </c>
      <c r="C99" s="700">
        <v>13762712.359999999</v>
      </c>
      <c r="D99" s="700">
        <v>-735271.31</v>
      </c>
      <c r="E99" s="700">
        <f t="shared" si="3"/>
        <v>13027441.049999999</v>
      </c>
      <c r="F99" s="700">
        <v>0</v>
      </c>
      <c r="G99" s="700">
        <v>0</v>
      </c>
      <c r="H99" s="700">
        <f t="shared" si="4"/>
        <v>13027441.049999999</v>
      </c>
      <c r="I99" s="506">
        <f t="shared" si="5"/>
        <v>0</v>
      </c>
    </row>
    <row r="100" spans="1:9" s="35" customFormat="1" ht="14.25" customHeight="1">
      <c r="A100" s="698">
        <v>32301</v>
      </c>
      <c r="B100" s="699" t="s">
        <v>613</v>
      </c>
      <c r="C100" s="700">
        <v>1886390</v>
      </c>
      <c r="D100" s="700">
        <v>-798103.23</v>
      </c>
      <c r="E100" s="700">
        <f t="shared" si="3"/>
        <v>1088286.77</v>
      </c>
      <c r="F100" s="700">
        <v>0</v>
      </c>
      <c r="G100" s="700">
        <v>4640</v>
      </c>
      <c r="H100" s="700">
        <f t="shared" si="4"/>
        <v>1088286.77</v>
      </c>
      <c r="I100" s="506">
        <f t="shared" si="5"/>
        <v>0</v>
      </c>
    </row>
    <row r="101" spans="1:9" s="35" customFormat="1" ht="14.25" customHeight="1">
      <c r="A101" s="698">
        <v>32401</v>
      </c>
      <c r="B101" s="699" t="s">
        <v>614</v>
      </c>
      <c r="C101" s="700">
        <v>666854</v>
      </c>
      <c r="D101" s="700">
        <v>4862046.6500000004</v>
      </c>
      <c r="E101" s="700">
        <f t="shared" si="3"/>
        <v>5528900.6500000004</v>
      </c>
      <c r="F101" s="700">
        <v>121800</v>
      </c>
      <c r="G101" s="700">
        <v>2410</v>
      </c>
      <c r="H101" s="700">
        <f t="shared" si="4"/>
        <v>5407100.6500000004</v>
      </c>
      <c r="I101" s="506">
        <f t="shared" si="5"/>
        <v>2.2029695903470429E-2</v>
      </c>
    </row>
    <row r="102" spans="1:9" s="35" customFormat="1" ht="14.25" customHeight="1">
      <c r="A102" s="698">
        <v>32501</v>
      </c>
      <c r="B102" s="699" t="s">
        <v>615</v>
      </c>
      <c r="C102" s="700">
        <v>213168</v>
      </c>
      <c r="D102" s="700">
        <v>5849.51</v>
      </c>
      <c r="E102" s="700">
        <f t="shared" si="3"/>
        <v>219017.51</v>
      </c>
      <c r="F102" s="700">
        <v>0</v>
      </c>
      <c r="G102" s="700">
        <v>928</v>
      </c>
      <c r="H102" s="700">
        <f t="shared" si="4"/>
        <v>219017.51</v>
      </c>
      <c r="I102" s="506">
        <f t="shared" si="5"/>
        <v>0</v>
      </c>
    </row>
    <row r="103" spans="1:9" s="35" customFormat="1" ht="14.25" customHeight="1">
      <c r="A103" s="698">
        <v>32601</v>
      </c>
      <c r="B103" s="699" t="s">
        <v>616</v>
      </c>
      <c r="C103" s="700">
        <v>56887.96</v>
      </c>
      <c r="D103" s="700">
        <v>-46832.05</v>
      </c>
      <c r="E103" s="700">
        <f t="shared" si="3"/>
        <v>10055.909999999996</v>
      </c>
      <c r="F103" s="700">
        <v>0</v>
      </c>
      <c r="G103" s="700">
        <v>0</v>
      </c>
      <c r="H103" s="700">
        <f t="shared" si="4"/>
        <v>10055.909999999996</v>
      </c>
      <c r="I103" s="506">
        <f t="shared" si="5"/>
        <v>0</v>
      </c>
    </row>
    <row r="104" spans="1:9" s="35" customFormat="1" ht="14.25" customHeight="1">
      <c r="A104" s="698">
        <v>32701</v>
      </c>
      <c r="B104" s="699" t="s">
        <v>617</v>
      </c>
      <c r="C104" s="700">
        <v>212037</v>
      </c>
      <c r="D104" s="700">
        <v>14560.17</v>
      </c>
      <c r="E104" s="700">
        <f t="shared" si="3"/>
        <v>226597.17</v>
      </c>
      <c r="F104" s="700">
        <v>0</v>
      </c>
      <c r="G104" s="700">
        <v>0</v>
      </c>
      <c r="H104" s="700">
        <f t="shared" si="4"/>
        <v>226597.17</v>
      </c>
      <c r="I104" s="506">
        <f t="shared" si="5"/>
        <v>0</v>
      </c>
    </row>
    <row r="105" spans="1:9" s="35" customFormat="1" ht="14.25" customHeight="1">
      <c r="A105" s="698">
        <v>32901</v>
      </c>
      <c r="B105" s="699" t="s">
        <v>618</v>
      </c>
      <c r="C105" s="700">
        <v>87972</v>
      </c>
      <c r="D105" s="700">
        <v>2316.1799999999998</v>
      </c>
      <c r="E105" s="700">
        <f t="shared" si="3"/>
        <v>90288.18</v>
      </c>
      <c r="F105" s="700">
        <v>0</v>
      </c>
      <c r="G105" s="700">
        <v>0</v>
      </c>
      <c r="H105" s="700">
        <f t="shared" si="4"/>
        <v>90288.18</v>
      </c>
      <c r="I105" s="506">
        <f t="shared" si="5"/>
        <v>0</v>
      </c>
    </row>
    <row r="106" spans="1:9" s="35" customFormat="1" ht="14.25" customHeight="1">
      <c r="A106" s="698">
        <v>33101</v>
      </c>
      <c r="B106" s="699" t="s">
        <v>619</v>
      </c>
      <c r="C106" s="700">
        <v>1326400</v>
      </c>
      <c r="D106" s="700">
        <v>240881.14</v>
      </c>
      <c r="E106" s="700">
        <f t="shared" si="3"/>
        <v>1567281.1400000001</v>
      </c>
      <c r="F106" s="700">
        <v>0</v>
      </c>
      <c r="G106" s="700">
        <v>417912.6</v>
      </c>
      <c r="H106" s="700">
        <f t="shared" si="4"/>
        <v>1567281.1400000001</v>
      </c>
      <c r="I106" s="506">
        <f t="shared" si="5"/>
        <v>0</v>
      </c>
    </row>
    <row r="107" spans="1:9" s="35" customFormat="1" ht="14.25" customHeight="1">
      <c r="A107" s="698">
        <v>33201</v>
      </c>
      <c r="B107" s="699" t="s">
        <v>620</v>
      </c>
      <c r="C107" s="700">
        <v>1800</v>
      </c>
      <c r="D107" s="700">
        <v>320903.2</v>
      </c>
      <c r="E107" s="700">
        <f t="shared" si="3"/>
        <v>322703.2</v>
      </c>
      <c r="F107" s="700">
        <v>0</v>
      </c>
      <c r="G107" s="700">
        <v>0</v>
      </c>
      <c r="H107" s="700">
        <f t="shared" si="4"/>
        <v>322703.2</v>
      </c>
      <c r="I107" s="506">
        <f t="shared" si="5"/>
        <v>0</v>
      </c>
    </row>
    <row r="108" spans="1:9" s="35" customFormat="1" ht="14.25" customHeight="1">
      <c r="A108" s="698">
        <v>33301</v>
      </c>
      <c r="B108" s="699" t="s">
        <v>621</v>
      </c>
      <c r="C108" s="700">
        <v>1560000</v>
      </c>
      <c r="D108" s="700">
        <v>130425.63</v>
      </c>
      <c r="E108" s="700">
        <f t="shared" si="3"/>
        <v>1690425.63</v>
      </c>
      <c r="F108" s="700">
        <v>348</v>
      </c>
      <c r="G108" s="700">
        <v>0</v>
      </c>
      <c r="H108" s="700">
        <f t="shared" si="4"/>
        <v>1690077.63</v>
      </c>
      <c r="I108" s="506">
        <f t="shared" si="5"/>
        <v>2.0586531215809832E-4</v>
      </c>
    </row>
    <row r="109" spans="1:9" s="35" customFormat="1" ht="14.25" customHeight="1">
      <c r="A109" s="698">
        <v>33302</v>
      </c>
      <c r="B109" s="699" t="s">
        <v>622</v>
      </c>
      <c r="C109" s="700">
        <v>4095543</v>
      </c>
      <c r="D109" s="700">
        <v>1034750</v>
      </c>
      <c r="E109" s="700">
        <f t="shared" si="3"/>
        <v>5130293</v>
      </c>
      <c r="F109" s="700">
        <v>8000</v>
      </c>
      <c r="G109" s="700">
        <v>190000</v>
      </c>
      <c r="H109" s="700">
        <f t="shared" si="4"/>
        <v>5122293</v>
      </c>
      <c r="I109" s="506">
        <f t="shared" si="5"/>
        <v>1.5593651278786611E-3</v>
      </c>
    </row>
    <row r="110" spans="1:9" s="35" customFormat="1" ht="14.25" customHeight="1">
      <c r="A110" s="698">
        <v>33303</v>
      </c>
      <c r="B110" s="699" t="s">
        <v>623</v>
      </c>
      <c r="C110" s="700">
        <v>0</v>
      </c>
      <c r="D110" s="700">
        <v>20000</v>
      </c>
      <c r="E110" s="700">
        <f t="shared" si="3"/>
        <v>20000</v>
      </c>
      <c r="F110" s="700">
        <v>0</v>
      </c>
      <c r="G110" s="700">
        <v>0</v>
      </c>
      <c r="H110" s="700">
        <f t="shared" si="4"/>
        <v>20000</v>
      </c>
      <c r="I110" s="506">
        <f t="shared" si="5"/>
        <v>0</v>
      </c>
    </row>
    <row r="111" spans="1:9" s="35" customFormat="1" ht="14.25" customHeight="1">
      <c r="A111" s="698">
        <v>33401</v>
      </c>
      <c r="B111" s="699" t="s">
        <v>624</v>
      </c>
      <c r="C111" s="700">
        <v>470841</v>
      </c>
      <c r="D111" s="700">
        <v>2735358.01</v>
      </c>
      <c r="E111" s="700">
        <f t="shared" si="3"/>
        <v>3206199.01</v>
      </c>
      <c r="F111" s="700">
        <v>0</v>
      </c>
      <c r="G111" s="700">
        <v>0</v>
      </c>
      <c r="H111" s="700">
        <f t="shared" si="4"/>
        <v>3206199.01</v>
      </c>
      <c r="I111" s="506">
        <f t="shared" si="5"/>
        <v>0</v>
      </c>
    </row>
    <row r="112" spans="1:9" s="35" customFormat="1" ht="14.25" customHeight="1">
      <c r="A112" s="698">
        <v>33501</v>
      </c>
      <c r="B112" s="699" t="s">
        <v>625</v>
      </c>
      <c r="C112" s="700">
        <v>0</v>
      </c>
      <c r="D112" s="700">
        <v>500000</v>
      </c>
      <c r="E112" s="700">
        <f t="shared" si="3"/>
        <v>500000</v>
      </c>
      <c r="F112" s="700">
        <v>0</v>
      </c>
      <c r="G112" s="700">
        <v>0</v>
      </c>
      <c r="H112" s="700">
        <f t="shared" si="4"/>
        <v>500000</v>
      </c>
      <c r="I112" s="506">
        <f t="shared" si="5"/>
        <v>0</v>
      </c>
    </row>
    <row r="113" spans="1:9" s="35" customFormat="1" ht="14.25" customHeight="1">
      <c r="A113" s="698">
        <v>33603</v>
      </c>
      <c r="B113" s="699" t="s">
        <v>626</v>
      </c>
      <c r="C113" s="700">
        <v>8047533</v>
      </c>
      <c r="D113" s="700">
        <v>-1544164.66</v>
      </c>
      <c r="E113" s="700">
        <f t="shared" si="3"/>
        <v>6503368.3399999999</v>
      </c>
      <c r="F113" s="700">
        <v>12589.99</v>
      </c>
      <c r="G113" s="700">
        <v>384912.39</v>
      </c>
      <c r="H113" s="700">
        <f t="shared" si="4"/>
        <v>6490778.3499999996</v>
      </c>
      <c r="I113" s="506">
        <f t="shared" si="5"/>
        <v>1.9359183336676883E-3</v>
      </c>
    </row>
    <row r="114" spans="1:9" s="35" customFormat="1" ht="14.25" customHeight="1">
      <c r="A114" s="698">
        <v>33605</v>
      </c>
      <c r="B114" s="699" t="s">
        <v>627</v>
      </c>
      <c r="C114" s="700">
        <v>30772</v>
      </c>
      <c r="D114" s="700">
        <v>41755.800000000003</v>
      </c>
      <c r="E114" s="700">
        <f t="shared" si="3"/>
        <v>72527.8</v>
      </c>
      <c r="F114" s="700">
        <v>0</v>
      </c>
      <c r="G114" s="700">
        <v>27837.200000000001</v>
      </c>
      <c r="H114" s="700">
        <f t="shared" si="4"/>
        <v>72527.8</v>
      </c>
      <c r="I114" s="506">
        <f t="shared" si="5"/>
        <v>0</v>
      </c>
    </row>
    <row r="115" spans="1:9" s="35" customFormat="1" ht="14.25" customHeight="1">
      <c r="A115" s="698">
        <v>33801</v>
      </c>
      <c r="B115" s="699" t="s">
        <v>628</v>
      </c>
      <c r="C115" s="700">
        <v>27471482</v>
      </c>
      <c r="D115" s="700">
        <v>-5276400</v>
      </c>
      <c r="E115" s="700">
        <f t="shared" si="3"/>
        <v>22195082</v>
      </c>
      <c r="F115" s="700">
        <v>0</v>
      </c>
      <c r="G115" s="700">
        <v>510.4</v>
      </c>
      <c r="H115" s="700">
        <f t="shared" si="4"/>
        <v>22195082</v>
      </c>
      <c r="I115" s="506">
        <f t="shared" si="5"/>
        <v>0</v>
      </c>
    </row>
    <row r="116" spans="1:9" s="35" customFormat="1" ht="14.25" customHeight="1">
      <c r="A116" s="698">
        <v>33901</v>
      </c>
      <c r="B116" s="699" t="s">
        <v>629</v>
      </c>
      <c r="C116" s="700">
        <v>11292</v>
      </c>
      <c r="D116" s="700">
        <v>32788</v>
      </c>
      <c r="E116" s="700">
        <f t="shared" si="3"/>
        <v>44080</v>
      </c>
      <c r="F116" s="700">
        <v>0</v>
      </c>
      <c r="G116" s="700">
        <v>0</v>
      </c>
      <c r="H116" s="700">
        <f t="shared" si="4"/>
        <v>44080</v>
      </c>
      <c r="I116" s="506">
        <f t="shared" si="5"/>
        <v>0</v>
      </c>
    </row>
    <row r="117" spans="1:9" s="35" customFormat="1" ht="14.25" customHeight="1">
      <c r="A117" s="698">
        <v>33902</v>
      </c>
      <c r="B117" s="699" t="s">
        <v>630</v>
      </c>
      <c r="C117" s="700">
        <v>0</v>
      </c>
      <c r="D117" s="700">
        <v>5000000</v>
      </c>
      <c r="E117" s="700">
        <f t="shared" si="3"/>
        <v>5000000</v>
      </c>
      <c r="F117" s="700">
        <v>0</v>
      </c>
      <c r="G117" s="700">
        <v>0</v>
      </c>
      <c r="H117" s="700">
        <f t="shared" si="4"/>
        <v>5000000</v>
      </c>
      <c r="I117" s="506">
        <f t="shared" si="5"/>
        <v>0</v>
      </c>
    </row>
    <row r="118" spans="1:9" s="35" customFormat="1" ht="14.25" customHeight="1">
      <c r="A118" s="698">
        <v>34101</v>
      </c>
      <c r="B118" s="699" t="s">
        <v>631</v>
      </c>
      <c r="C118" s="700">
        <v>308221</v>
      </c>
      <c r="D118" s="700">
        <v>23853385.079999998</v>
      </c>
      <c r="E118" s="700">
        <f t="shared" si="3"/>
        <v>24161606.079999998</v>
      </c>
      <c r="F118" s="700">
        <v>0</v>
      </c>
      <c r="G118" s="700">
        <v>4203.84</v>
      </c>
      <c r="H118" s="700">
        <f t="shared" si="4"/>
        <v>24161606.079999998</v>
      </c>
      <c r="I118" s="506">
        <f t="shared" si="5"/>
        <v>0</v>
      </c>
    </row>
    <row r="119" spans="1:9" s="35" customFormat="1" ht="14.25" customHeight="1">
      <c r="A119" s="698">
        <v>34301</v>
      </c>
      <c r="B119" s="699" t="s">
        <v>632</v>
      </c>
      <c r="C119" s="700">
        <v>11454</v>
      </c>
      <c r="D119" s="700">
        <v>-7069.88</v>
      </c>
      <c r="E119" s="700">
        <f t="shared" si="3"/>
        <v>4384.12</v>
      </c>
      <c r="F119" s="700">
        <v>0</v>
      </c>
      <c r="G119" s="700">
        <v>0</v>
      </c>
      <c r="H119" s="700">
        <f t="shared" si="4"/>
        <v>4384.12</v>
      </c>
      <c r="I119" s="506">
        <f t="shared" si="5"/>
        <v>0</v>
      </c>
    </row>
    <row r="120" spans="1:9" s="35" customFormat="1" ht="14.25" customHeight="1">
      <c r="A120" s="698">
        <v>34401</v>
      </c>
      <c r="B120" s="699" t="s">
        <v>633</v>
      </c>
      <c r="C120" s="700">
        <v>18738</v>
      </c>
      <c r="D120" s="700">
        <v>-2172.54</v>
      </c>
      <c r="E120" s="700">
        <f t="shared" si="3"/>
        <v>16565.46</v>
      </c>
      <c r="F120" s="700">
        <v>0</v>
      </c>
      <c r="G120" s="700">
        <v>0</v>
      </c>
      <c r="H120" s="700">
        <f t="shared" si="4"/>
        <v>16565.46</v>
      </c>
      <c r="I120" s="506">
        <f t="shared" si="5"/>
        <v>0</v>
      </c>
    </row>
    <row r="121" spans="1:9" s="35" customFormat="1" ht="14.25" customHeight="1">
      <c r="A121" s="698">
        <v>34501</v>
      </c>
      <c r="B121" s="699" t="s">
        <v>634</v>
      </c>
      <c r="C121" s="700">
        <v>1413533</v>
      </c>
      <c r="D121" s="700">
        <v>300780.52</v>
      </c>
      <c r="E121" s="700">
        <f t="shared" si="3"/>
        <v>1714313.52</v>
      </c>
      <c r="F121" s="700">
        <v>0</v>
      </c>
      <c r="G121" s="700">
        <v>776241.85000000009</v>
      </c>
      <c r="H121" s="700">
        <f t="shared" si="4"/>
        <v>1714313.52</v>
      </c>
      <c r="I121" s="506">
        <f t="shared" si="5"/>
        <v>0</v>
      </c>
    </row>
    <row r="122" spans="1:9" s="35" customFormat="1" ht="14.25" customHeight="1">
      <c r="A122" s="698">
        <v>34601</v>
      </c>
      <c r="B122" s="699" t="s">
        <v>635</v>
      </c>
      <c r="C122" s="700">
        <v>53336</v>
      </c>
      <c r="D122" s="700">
        <v>-5504.09</v>
      </c>
      <c r="E122" s="700">
        <f t="shared" si="3"/>
        <v>47831.91</v>
      </c>
      <c r="F122" s="700">
        <v>0</v>
      </c>
      <c r="G122" s="700">
        <v>0</v>
      </c>
      <c r="H122" s="700">
        <f t="shared" si="4"/>
        <v>47831.91</v>
      </c>
      <c r="I122" s="506">
        <f t="shared" si="5"/>
        <v>0</v>
      </c>
    </row>
    <row r="123" spans="1:9" s="35" customFormat="1" ht="14.25" customHeight="1">
      <c r="A123" s="698">
        <v>34701</v>
      </c>
      <c r="B123" s="699" t="s">
        <v>636</v>
      </c>
      <c r="C123" s="700">
        <v>768289</v>
      </c>
      <c r="D123" s="700">
        <v>82198.5</v>
      </c>
      <c r="E123" s="700">
        <f t="shared" si="3"/>
        <v>850487.5</v>
      </c>
      <c r="F123" s="700">
        <v>434.81</v>
      </c>
      <c r="G123" s="700">
        <v>16236.259999999998</v>
      </c>
      <c r="H123" s="700">
        <f t="shared" si="4"/>
        <v>850052.69</v>
      </c>
      <c r="I123" s="506">
        <f t="shared" si="5"/>
        <v>5.1124796072840573E-4</v>
      </c>
    </row>
    <row r="124" spans="1:9" s="35" customFormat="1" ht="14.25" customHeight="1">
      <c r="A124" s="698">
        <v>35101</v>
      </c>
      <c r="B124" s="699" t="s">
        <v>637</v>
      </c>
      <c r="C124" s="700">
        <v>3801237</v>
      </c>
      <c r="D124" s="700">
        <v>8518642.0199999996</v>
      </c>
      <c r="E124" s="700">
        <f t="shared" si="3"/>
        <v>12319879.02</v>
      </c>
      <c r="F124" s="700">
        <v>1786.41</v>
      </c>
      <c r="G124" s="700">
        <v>79955.13</v>
      </c>
      <c r="H124" s="700">
        <f t="shared" si="4"/>
        <v>12318092.609999999</v>
      </c>
      <c r="I124" s="506">
        <f t="shared" si="5"/>
        <v>1.4500223558201793E-4</v>
      </c>
    </row>
    <row r="125" spans="1:9" s="35" customFormat="1" ht="14.25" customHeight="1">
      <c r="A125" s="698">
        <v>35201</v>
      </c>
      <c r="B125" s="699" t="s">
        <v>638</v>
      </c>
      <c r="C125" s="700">
        <v>1069900</v>
      </c>
      <c r="D125" s="700">
        <v>-279823.93</v>
      </c>
      <c r="E125" s="700">
        <f t="shared" si="3"/>
        <v>790076.07000000007</v>
      </c>
      <c r="F125" s="700">
        <v>522</v>
      </c>
      <c r="G125" s="700">
        <v>4488</v>
      </c>
      <c r="H125" s="700">
        <f t="shared" si="4"/>
        <v>789554.07000000007</v>
      </c>
      <c r="I125" s="506">
        <f t="shared" si="5"/>
        <v>6.6069587451243771E-4</v>
      </c>
    </row>
    <row r="126" spans="1:9" s="35" customFormat="1" ht="14.25" customHeight="1">
      <c r="A126" s="698">
        <v>35202</v>
      </c>
      <c r="B126" s="699" t="s">
        <v>639</v>
      </c>
      <c r="C126" s="700">
        <v>437071</v>
      </c>
      <c r="D126" s="700">
        <v>-83131</v>
      </c>
      <c r="E126" s="700">
        <f t="shared" si="3"/>
        <v>353940</v>
      </c>
      <c r="F126" s="700">
        <v>0</v>
      </c>
      <c r="G126" s="700">
        <v>0</v>
      </c>
      <c r="H126" s="700">
        <f t="shared" si="4"/>
        <v>353940</v>
      </c>
      <c r="I126" s="506">
        <f t="shared" si="5"/>
        <v>0</v>
      </c>
    </row>
    <row r="127" spans="1:9" s="35" customFormat="1" ht="14.25" customHeight="1">
      <c r="A127" s="698">
        <v>35301</v>
      </c>
      <c r="B127" s="699" t="s">
        <v>640</v>
      </c>
      <c r="C127" s="700">
        <v>809502</v>
      </c>
      <c r="D127" s="700">
        <v>315815.31</v>
      </c>
      <c r="E127" s="700">
        <f t="shared" si="3"/>
        <v>1125317.31</v>
      </c>
      <c r="F127" s="700">
        <v>0</v>
      </c>
      <c r="G127" s="700">
        <v>0</v>
      </c>
      <c r="H127" s="700">
        <f t="shared" si="4"/>
        <v>1125317.31</v>
      </c>
      <c r="I127" s="506">
        <f t="shared" si="5"/>
        <v>0</v>
      </c>
    </row>
    <row r="128" spans="1:9" s="35" customFormat="1" ht="14.25" customHeight="1">
      <c r="A128" s="698">
        <v>35302</v>
      </c>
      <c r="B128" s="699" t="s">
        <v>641</v>
      </c>
      <c r="C128" s="700">
        <v>238422</v>
      </c>
      <c r="D128" s="700">
        <v>-2896.74</v>
      </c>
      <c r="E128" s="700">
        <f t="shared" si="3"/>
        <v>235525.26</v>
      </c>
      <c r="F128" s="700">
        <v>2436</v>
      </c>
      <c r="G128" s="700">
        <v>0</v>
      </c>
      <c r="H128" s="700">
        <f t="shared" si="4"/>
        <v>233089.26</v>
      </c>
      <c r="I128" s="506">
        <f t="shared" si="5"/>
        <v>1.0342839659746049E-2</v>
      </c>
    </row>
    <row r="129" spans="1:9" s="35" customFormat="1" ht="14.25" customHeight="1">
      <c r="A129" s="698">
        <v>35401</v>
      </c>
      <c r="B129" s="699" t="s">
        <v>642</v>
      </c>
      <c r="C129" s="700">
        <v>2976596</v>
      </c>
      <c r="D129" s="700">
        <v>894518.22</v>
      </c>
      <c r="E129" s="700">
        <f t="shared" si="3"/>
        <v>3871114.2199999997</v>
      </c>
      <c r="F129" s="700">
        <v>0</v>
      </c>
      <c r="G129" s="700">
        <v>62294.82</v>
      </c>
      <c r="H129" s="700">
        <f t="shared" si="4"/>
        <v>3871114.2199999997</v>
      </c>
      <c r="I129" s="506">
        <f t="shared" si="5"/>
        <v>0</v>
      </c>
    </row>
    <row r="130" spans="1:9" s="35" customFormat="1" ht="14.25" customHeight="1">
      <c r="A130" s="698">
        <v>35501</v>
      </c>
      <c r="B130" s="699" t="s">
        <v>643</v>
      </c>
      <c r="C130" s="700">
        <v>8872593</v>
      </c>
      <c r="D130" s="700">
        <v>-724707.47</v>
      </c>
      <c r="E130" s="700">
        <f t="shared" si="3"/>
        <v>8147885.5300000003</v>
      </c>
      <c r="F130" s="700">
        <v>5725.01</v>
      </c>
      <c r="G130" s="700">
        <v>76626.39</v>
      </c>
      <c r="H130" s="700">
        <f t="shared" si="4"/>
        <v>8142160.5200000005</v>
      </c>
      <c r="I130" s="506">
        <f t="shared" si="5"/>
        <v>7.0263750993075137E-4</v>
      </c>
    </row>
    <row r="131" spans="1:9" s="35" customFormat="1" ht="14.25" customHeight="1">
      <c r="A131" s="698">
        <v>35701</v>
      </c>
      <c r="B131" s="699" t="s">
        <v>644</v>
      </c>
      <c r="C131" s="700">
        <v>10041317</v>
      </c>
      <c r="D131" s="700">
        <v>1767194.25</v>
      </c>
      <c r="E131" s="700">
        <f t="shared" si="3"/>
        <v>11808511.25</v>
      </c>
      <c r="F131" s="700">
        <v>872334.39</v>
      </c>
      <c r="G131" s="700">
        <v>22636.11</v>
      </c>
      <c r="H131" s="700">
        <f t="shared" si="4"/>
        <v>10936176.859999999</v>
      </c>
      <c r="I131" s="506">
        <f t="shared" si="5"/>
        <v>7.387335892998366E-2</v>
      </c>
    </row>
    <row r="132" spans="1:9" s="35" customFormat="1" ht="14.25" customHeight="1">
      <c r="A132" s="698">
        <v>35702</v>
      </c>
      <c r="B132" s="699" t="s">
        <v>645</v>
      </c>
      <c r="C132" s="700">
        <v>66132</v>
      </c>
      <c r="D132" s="700">
        <v>307801.56</v>
      </c>
      <c r="E132" s="700">
        <f t="shared" si="3"/>
        <v>373933.56</v>
      </c>
      <c r="F132" s="700">
        <v>0</v>
      </c>
      <c r="G132" s="700">
        <v>0</v>
      </c>
      <c r="H132" s="700">
        <f t="shared" si="4"/>
        <v>373933.56</v>
      </c>
      <c r="I132" s="506">
        <f t="shared" si="5"/>
        <v>0</v>
      </c>
    </row>
    <row r="133" spans="1:9" s="35" customFormat="1" ht="14.25" customHeight="1">
      <c r="A133" s="698">
        <v>35801</v>
      </c>
      <c r="B133" s="699" t="s">
        <v>646</v>
      </c>
      <c r="C133" s="700">
        <v>74223744</v>
      </c>
      <c r="D133" s="700">
        <v>-4339471.72</v>
      </c>
      <c r="E133" s="700">
        <f t="shared" si="3"/>
        <v>69884272.280000001</v>
      </c>
      <c r="F133" s="700">
        <v>14612520</v>
      </c>
      <c r="G133" s="700">
        <v>33154.78</v>
      </c>
      <c r="H133" s="700">
        <f t="shared" si="4"/>
        <v>55271752.280000001</v>
      </c>
      <c r="I133" s="506">
        <f t="shared" si="5"/>
        <v>0.20909597429094098</v>
      </c>
    </row>
    <row r="134" spans="1:9" s="35" customFormat="1" ht="14.25" customHeight="1">
      <c r="A134" s="698">
        <v>35901</v>
      </c>
      <c r="B134" s="699" t="s">
        <v>647</v>
      </c>
      <c r="C134" s="700">
        <v>3833267</v>
      </c>
      <c r="D134" s="700">
        <v>-14963.52</v>
      </c>
      <c r="E134" s="700">
        <f t="shared" si="3"/>
        <v>3818303.48</v>
      </c>
      <c r="F134" s="700">
        <v>0</v>
      </c>
      <c r="G134" s="700">
        <v>255.01</v>
      </c>
      <c r="H134" s="700">
        <f t="shared" si="4"/>
        <v>3818303.48</v>
      </c>
      <c r="I134" s="506">
        <f t="shared" si="5"/>
        <v>0</v>
      </c>
    </row>
    <row r="135" spans="1:9" s="35" customFormat="1" ht="14.25" customHeight="1">
      <c r="A135" s="698">
        <v>36101</v>
      </c>
      <c r="B135" s="699" t="s">
        <v>648</v>
      </c>
      <c r="C135" s="700">
        <v>41823</v>
      </c>
      <c r="D135" s="700">
        <v>4701339.32</v>
      </c>
      <c r="E135" s="700">
        <f t="shared" si="3"/>
        <v>4743162.32</v>
      </c>
      <c r="F135" s="700">
        <v>1911952.99</v>
      </c>
      <c r="G135" s="700">
        <v>1452308.1700000002</v>
      </c>
      <c r="H135" s="700">
        <f t="shared" si="4"/>
        <v>2831209.33</v>
      </c>
      <c r="I135" s="506">
        <f t="shared" si="5"/>
        <v>0.40309668128751702</v>
      </c>
    </row>
    <row r="136" spans="1:9" s="35" customFormat="1" ht="14.25" customHeight="1">
      <c r="A136" s="698">
        <v>36201</v>
      </c>
      <c r="B136" s="699" t="s">
        <v>649</v>
      </c>
      <c r="C136" s="700">
        <v>636</v>
      </c>
      <c r="D136" s="700">
        <v>0</v>
      </c>
      <c r="E136" s="700">
        <f t="shared" si="3"/>
        <v>636</v>
      </c>
      <c r="F136" s="700">
        <v>0</v>
      </c>
      <c r="G136" s="700">
        <v>0</v>
      </c>
      <c r="H136" s="700">
        <f t="shared" si="4"/>
        <v>636</v>
      </c>
      <c r="I136" s="506">
        <f t="shared" si="5"/>
        <v>0</v>
      </c>
    </row>
    <row r="137" spans="1:9" s="35" customFormat="1" ht="14.25" customHeight="1">
      <c r="A137" s="698">
        <v>36301</v>
      </c>
      <c r="B137" s="699" t="s">
        <v>650</v>
      </c>
      <c r="C137" s="700">
        <v>89839</v>
      </c>
      <c r="D137" s="700">
        <v>0</v>
      </c>
      <c r="E137" s="700">
        <f t="shared" si="3"/>
        <v>89839</v>
      </c>
      <c r="F137" s="700">
        <v>0</v>
      </c>
      <c r="G137" s="700">
        <v>0</v>
      </c>
      <c r="H137" s="700">
        <f t="shared" si="4"/>
        <v>89839</v>
      </c>
      <c r="I137" s="506">
        <f t="shared" si="5"/>
        <v>0</v>
      </c>
    </row>
    <row r="138" spans="1:9" s="35" customFormat="1" ht="14.25" customHeight="1">
      <c r="A138" s="698">
        <v>36401</v>
      </c>
      <c r="B138" s="699" t="s">
        <v>651</v>
      </c>
      <c r="C138" s="700">
        <v>18042</v>
      </c>
      <c r="D138" s="700">
        <v>0</v>
      </c>
      <c r="E138" s="700">
        <f t="shared" si="3"/>
        <v>18042</v>
      </c>
      <c r="F138" s="700">
        <v>0</v>
      </c>
      <c r="G138" s="700">
        <v>0</v>
      </c>
      <c r="H138" s="700">
        <f t="shared" si="4"/>
        <v>18042</v>
      </c>
      <c r="I138" s="506">
        <f t="shared" si="5"/>
        <v>0</v>
      </c>
    </row>
    <row r="139" spans="1:9" s="35" customFormat="1" ht="14.25" customHeight="1">
      <c r="A139" s="698">
        <v>36601</v>
      </c>
      <c r="B139" s="699" t="s">
        <v>652</v>
      </c>
      <c r="C139" s="700">
        <v>0</v>
      </c>
      <c r="D139" s="700">
        <v>0</v>
      </c>
      <c r="E139" s="700">
        <f t="shared" ref="E139:E196" si="6">C139+D139</f>
        <v>0</v>
      </c>
      <c r="F139" s="700">
        <v>0</v>
      </c>
      <c r="G139" s="700">
        <v>0</v>
      </c>
      <c r="H139" s="700">
        <f t="shared" ref="H139:H196" si="7">E139-F139</f>
        <v>0</v>
      </c>
      <c r="I139" s="506" t="e">
        <f t="shared" ref="I139:I196" si="8">F139/E139</f>
        <v>#DIV/0!</v>
      </c>
    </row>
    <row r="140" spans="1:9" s="35" customFormat="1" ht="14.25" customHeight="1">
      <c r="A140" s="698">
        <v>37101</v>
      </c>
      <c r="B140" s="699" t="s">
        <v>653</v>
      </c>
      <c r="C140" s="700">
        <v>7417354</v>
      </c>
      <c r="D140" s="700">
        <v>285250.28000000003</v>
      </c>
      <c r="E140" s="700">
        <f t="shared" si="6"/>
        <v>7702604.2800000003</v>
      </c>
      <c r="F140" s="700">
        <v>93083</v>
      </c>
      <c r="G140" s="700">
        <v>931324</v>
      </c>
      <c r="H140" s="700">
        <f t="shared" si="7"/>
        <v>7609521.2800000003</v>
      </c>
      <c r="I140" s="506">
        <f t="shared" si="8"/>
        <v>1.2084614062505104E-2</v>
      </c>
    </row>
    <row r="141" spans="1:9" s="35" customFormat="1" ht="14.25" customHeight="1">
      <c r="A141" s="698">
        <v>37104</v>
      </c>
      <c r="B141" s="699" t="s">
        <v>654</v>
      </c>
      <c r="C141" s="700">
        <v>0</v>
      </c>
      <c r="D141" s="700">
        <v>85775</v>
      </c>
      <c r="E141" s="700">
        <f t="shared" si="6"/>
        <v>85775</v>
      </c>
      <c r="F141" s="700">
        <v>0</v>
      </c>
      <c r="G141" s="700">
        <v>59684</v>
      </c>
      <c r="H141" s="700">
        <f t="shared" si="7"/>
        <v>85775</v>
      </c>
      <c r="I141" s="506">
        <f t="shared" si="8"/>
        <v>0</v>
      </c>
    </row>
    <row r="142" spans="1:9" s="35" customFormat="1" ht="14.25" customHeight="1">
      <c r="A142" s="698">
        <v>37201</v>
      </c>
      <c r="B142" s="699" t="s">
        <v>655</v>
      </c>
      <c r="C142" s="700">
        <v>427255</v>
      </c>
      <c r="D142" s="700">
        <v>184742.87</v>
      </c>
      <c r="E142" s="700">
        <f t="shared" si="6"/>
        <v>611997.87</v>
      </c>
      <c r="F142" s="700">
        <v>178</v>
      </c>
      <c r="G142" s="700">
        <v>853</v>
      </c>
      <c r="H142" s="700">
        <f t="shared" si="7"/>
        <v>611819.87</v>
      </c>
      <c r="I142" s="506">
        <f t="shared" si="8"/>
        <v>2.9085068547705895E-4</v>
      </c>
    </row>
    <row r="143" spans="1:9" s="35" customFormat="1" ht="14.25" customHeight="1">
      <c r="A143" s="698">
        <v>37401</v>
      </c>
      <c r="B143" s="699" t="s">
        <v>656</v>
      </c>
      <c r="C143" s="700">
        <v>7326</v>
      </c>
      <c r="D143" s="700">
        <v>0</v>
      </c>
      <c r="E143" s="700">
        <f t="shared" si="6"/>
        <v>7326</v>
      </c>
      <c r="F143" s="700">
        <v>0</v>
      </c>
      <c r="G143" s="700">
        <v>0</v>
      </c>
      <c r="H143" s="700">
        <f t="shared" si="7"/>
        <v>7326</v>
      </c>
      <c r="I143" s="506">
        <f t="shared" si="8"/>
        <v>0</v>
      </c>
    </row>
    <row r="144" spans="1:9" s="35" customFormat="1" ht="14.25" customHeight="1">
      <c r="A144" s="698">
        <v>37501</v>
      </c>
      <c r="B144" s="699" t="s">
        <v>657</v>
      </c>
      <c r="C144" s="700">
        <v>11652630</v>
      </c>
      <c r="D144" s="700">
        <v>1826213.06</v>
      </c>
      <c r="E144" s="700">
        <f t="shared" si="6"/>
        <v>13478843.060000001</v>
      </c>
      <c r="F144" s="700">
        <v>74450</v>
      </c>
      <c r="G144" s="700">
        <v>1014525.53</v>
      </c>
      <c r="H144" s="700">
        <f t="shared" si="7"/>
        <v>13404393.060000001</v>
      </c>
      <c r="I144" s="707">
        <f t="shared" si="8"/>
        <v>5.5234710923327563E-3</v>
      </c>
    </row>
    <row r="145" spans="1:9" s="35" customFormat="1" ht="14.25" customHeight="1">
      <c r="A145" s="698">
        <v>37502</v>
      </c>
      <c r="B145" s="699" t="s">
        <v>658</v>
      </c>
      <c r="C145" s="700">
        <v>12676894</v>
      </c>
      <c r="D145" s="700">
        <v>2153204.7799999998</v>
      </c>
      <c r="E145" s="700">
        <f t="shared" si="6"/>
        <v>14830098.779999999</v>
      </c>
      <c r="F145" s="700">
        <v>87850</v>
      </c>
      <c r="G145" s="700">
        <v>277500</v>
      </c>
      <c r="H145" s="700">
        <f t="shared" si="7"/>
        <v>14742248.779999999</v>
      </c>
      <c r="I145" s="707">
        <f t="shared" si="8"/>
        <v>5.9237636446815359E-3</v>
      </c>
    </row>
    <row r="146" spans="1:9" s="35" customFormat="1" ht="14.25" customHeight="1">
      <c r="A146" s="698">
        <v>37601</v>
      </c>
      <c r="B146" s="699" t="s">
        <v>659</v>
      </c>
      <c r="C146" s="700">
        <v>338371</v>
      </c>
      <c r="D146" s="700">
        <v>-89135.6</v>
      </c>
      <c r="E146" s="700">
        <f t="shared" si="6"/>
        <v>249235.4</v>
      </c>
      <c r="F146" s="700">
        <v>6205.32</v>
      </c>
      <c r="G146" s="700">
        <v>66336.990000000005</v>
      </c>
      <c r="H146" s="700">
        <f t="shared" si="7"/>
        <v>243030.08</v>
      </c>
      <c r="I146" s="707">
        <f t="shared" si="8"/>
        <v>2.4897426288560936E-2</v>
      </c>
    </row>
    <row r="147" spans="1:9" s="35" customFormat="1" ht="14.25" customHeight="1">
      <c r="A147" s="698">
        <v>37901</v>
      </c>
      <c r="B147" s="699" t="s">
        <v>660</v>
      </c>
      <c r="C147" s="700">
        <v>717525</v>
      </c>
      <c r="D147" s="700">
        <v>300879.44</v>
      </c>
      <c r="E147" s="700">
        <f t="shared" si="6"/>
        <v>1018404.44</v>
      </c>
      <c r="F147" s="700">
        <v>2785</v>
      </c>
      <c r="G147" s="700">
        <v>22155</v>
      </c>
      <c r="H147" s="700">
        <f t="shared" si="7"/>
        <v>1015619.44</v>
      </c>
      <c r="I147" s="707">
        <f t="shared" si="8"/>
        <v>2.7346699313290507E-3</v>
      </c>
    </row>
    <row r="148" spans="1:9" s="35" customFormat="1" ht="14.25" customHeight="1">
      <c r="A148" s="698">
        <v>38101</v>
      </c>
      <c r="B148" s="699" t="s">
        <v>661</v>
      </c>
      <c r="C148" s="700">
        <v>112645</v>
      </c>
      <c r="D148" s="700">
        <v>308986</v>
      </c>
      <c r="E148" s="700">
        <f t="shared" si="6"/>
        <v>421631</v>
      </c>
      <c r="F148" s="700">
        <v>0</v>
      </c>
      <c r="G148" s="700">
        <v>0</v>
      </c>
      <c r="H148" s="700">
        <f t="shared" si="7"/>
        <v>421631</v>
      </c>
      <c r="I148" s="506">
        <f t="shared" si="8"/>
        <v>0</v>
      </c>
    </row>
    <row r="149" spans="1:9" s="35" customFormat="1" ht="14.25" customHeight="1">
      <c r="A149" s="698">
        <v>38201</v>
      </c>
      <c r="B149" s="699" t="s">
        <v>662</v>
      </c>
      <c r="C149" s="700">
        <v>24142</v>
      </c>
      <c r="D149" s="700">
        <v>41304.720000000001</v>
      </c>
      <c r="E149" s="700">
        <f t="shared" si="6"/>
        <v>65446.720000000001</v>
      </c>
      <c r="F149" s="700">
        <v>0</v>
      </c>
      <c r="G149" s="700">
        <v>0</v>
      </c>
      <c r="H149" s="700">
        <f t="shared" si="7"/>
        <v>65446.720000000001</v>
      </c>
      <c r="I149" s="506">
        <f t="shared" si="8"/>
        <v>0</v>
      </c>
    </row>
    <row r="150" spans="1:9" s="35" customFormat="1" ht="14.25" customHeight="1">
      <c r="A150" s="698">
        <v>38301</v>
      </c>
      <c r="B150" s="699" t="s">
        <v>663</v>
      </c>
      <c r="C150" s="700">
        <v>7898386</v>
      </c>
      <c r="D150" s="700">
        <v>6693320.0800000001</v>
      </c>
      <c r="E150" s="700">
        <f t="shared" si="6"/>
        <v>14591706.08</v>
      </c>
      <c r="F150" s="700">
        <v>60247.34</v>
      </c>
      <c r="G150" s="700">
        <v>1580418.9600000002</v>
      </c>
      <c r="H150" s="700">
        <f t="shared" si="7"/>
        <v>14531458.74</v>
      </c>
      <c r="I150" s="506">
        <f t="shared" si="8"/>
        <v>4.1288756550940612E-3</v>
      </c>
    </row>
    <row r="151" spans="1:9" s="35" customFormat="1" ht="14.25" customHeight="1">
      <c r="A151" s="698">
        <v>38501</v>
      </c>
      <c r="B151" s="699" t="s">
        <v>664</v>
      </c>
      <c r="C151" s="700">
        <v>18980</v>
      </c>
      <c r="D151" s="700">
        <v>0</v>
      </c>
      <c r="E151" s="700">
        <f t="shared" si="6"/>
        <v>18980</v>
      </c>
      <c r="F151" s="700">
        <v>0</v>
      </c>
      <c r="G151" s="700">
        <v>0</v>
      </c>
      <c r="H151" s="700">
        <f t="shared" si="7"/>
        <v>18980</v>
      </c>
      <c r="I151" s="506">
        <f t="shared" si="8"/>
        <v>0</v>
      </c>
    </row>
    <row r="152" spans="1:9" s="35" customFormat="1" ht="14.25" customHeight="1">
      <c r="A152" s="698">
        <v>39101</v>
      </c>
      <c r="B152" s="699" t="s">
        <v>665</v>
      </c>
      <c r="C152" s="700">
        <v>4000</v>
      </c>
      <c r="D152" s="700">
        <v>-1328</v>
      </c>
      <c r="E152" s="700">
        <f t="shared" si="6"/>
        <v>2672</v>
      </c>
      <c r="F152" s="700">
        <v>0</v>
      </c>
      <c r="G152" s="700">
        <v>0</v>
      </c>
      <c r="H152" s="700">
        <f t="shared" si="7"/>
        <v>2672</v>
      </c>
      <c r="I152" s="506">
        <f t="shared" si="8"/>
        <v>0</v>
      </c>
    </row>
    <row r="153" spans="1:9" s="35" customFormat="1" ht="14.25" customHeight="1">
      <c r="A153" s="698">
        <v>39201</v>
      </c>
      <c r="B153" s="699" t="s">
        <v>666</v>
      </c>
      <c r="C153" s="700">
        <v>10500</v>
      </c>
      <c r="D153" s="700">
        <v>56867</v>
      </c>
      <c r="E153" s="700">
        <f t="shared" si="6"/>
        <v>67367</v>
      </c>
      <c r="F153" s="700">
        <v>0</v>
      </c>
      <c r="G153" s="700">
        <v>0</v>
      </c>
      <c r="H153" s="700">
        <f t="shared" si="7"/>
        <v>67367</v>
      </c>
      <c r="I153" s="506">
        <f t="shared" si="8"/>
        <v>0</v>
      </c>
    </row>
    <row r="154" spans="1:9" s="35" customFormat="1" ht="14.25" customHeight="1">
      <c r="A154" s="698">
        <v>39501</v>
      </c>
      <c r="B154" s="699" t="s">
        <v>667</v>
      </c>
      <c r="C154" s="700">
        <v>0</v>
      </c>
      <c r="D154" s="700">
        <v>3692</v>
      </c>
      <c r="E154" s="700">
        <f t="shared" si="6"/>
        <v>3692</v>
      </c>
      <c r="F154" s="700">
        <v>0</v>
      </c>
      <c r="G154" s="700">
        <v>3692</v>
      </c>
      <c r="H154" s="700">
        <f t="shared" si="7"/>
        <v>3692</v>
      </c>
      <c r="I154" s="506">
        <f t="shared" si="8"/>
        <v>0</v>
      </c>
    </row>
    <row r="155" spans="1:9" s="35" customFormat="1" ht="14.25" customHeight="1">
      <c r="A155" s="698">
        <v>39601</v>
      </c>
      <c r="B155" s="699" t="s">
        <v>668</v>
      </c>
      <c r="C155" s="700">
        <v>8029</v>
      </c>
      <c r="D155" s="700">
        <v>4492</v>
      </c>
      <c r="E155" s="700">
        <f t="shared" si="6"/>
        <v>12521</v>
      </c>
      <c r="F155" s="700">
        <v>0</v>
      </c>
      <c r="G155" s="700">
        <v>0</v>
      </c>
      <c r="H155" s="700">
        <f t="shared" si="7"/>
        <v>12521</v>
      </c>
      <c r="I155" s="506">
        <f t="shared" si="8"/>
        <v>0</v>
      </c>
    </row>
    <row r="156" spans="1:9" s="35" customFormat="1" ht="14.25" customHeight="1">
      <c r="A156" s="698">
        <v>39901</v>
      </c>
      <c r="B156" s="699" t="s">
        <v>669</v>
      </c>
      <c r="C156" s="700">
        <v>3600000</v>
      </c>
      <c r="D156" s="700">
        <v>1532425.12</v>
      </c>
      <c r="E156" s="700">
        <f t="shared" si="6"/>
        <v>5132425.12</v>
      </c>
      <c r="F156" s="700">
        <v>0</v>
      </c>
      <c r="G156" s="700">
        <v>0</v>
      </c>
      <c r="H156" s="700">
        <f t="shared" si="7"/>
        <v>5132425.12</v>
      </c>
      <c r="I156" s="506">
        <f t="shared" si="8"/>
        <v>0</v>
      </c>
    </row>
    <row r="157" spans="1:9" s="35" customFormat="1" ht="14.25" customHeight="1">
      <c r="A157" s="698">
        <v>39903</v>
      </c>
      <c r="B157" s="699" t="s">
        <v>670</v>
      </c>
      <c r="C157" s="700">
        <v>88638381.00999999</v>
      </c>
      <c r="D157" s="700">
        <v>62498971.609999999</v>
      </c>
      <c r="E157" s="700">
        <f t="shared" si="6"/>
        <v>151137352.62</v>
      </c>
      <c r="F157" s="700">
        <v>38650</v>
      </c>
      <c r="G157" s="700">
        <v>637518.03</v>
      </c>
      <c r="H157" s="700">
        <f t="shared" si="7"/>
        <v>151098702.62</v>
      </c>
      <c r="I157" s="506">
        <f t="shared" si="8"/>
        <v>2.5572764991574587E-4</v>
      </c>
    </row>
    <row r="158" spans="1:9" s="35" customFormat="1" ht="14.25" customHeight="1">
      <c r="A158" s="698">
        <v>41101</v>
      </c>
      <c r="B158" s="699" t="s">
        <v>671</v>
      </c>
      <c r="C158" s="700">
        <v>568675390.67999995</v>
      </c>
      <c r="D158" s="700">
        <v>0</v>
      </c>
      <c r="E158" s="700">
        <f t="shared" si="6"/>
        <v>568675390.67999995</v>
      </c>
      <c r="F158" s="700"/>
      <c r="G158" s="700"/>
      <c r="H158" s="700">
        <f t="shared" si="7"/>
        <v>568675390.67999995</v>
      </c>
      <c r="I158" s="506">
        <f t="shared" si="8"/>
        <v>0</v>
      </c>
    </row>
    <row r="159" spans="1:9" s="35" customFormat="1" ht="14.25" customHeight="1">
      <c r="A159" s="698">
        <v>41103</v>
      </c>
      <c r="B159" s="699" t="s">
        <v>672</v>
      </c>
      <c r="C159" s="700">
        <v>64377750</v>
      </c>
      <c r="D159" s="700">
        <v>0</v>
      </c>
      <c r="E159" s="700">
        <f t="shared" si="6"/>
        <v>64377750</v>
      </c>
      <c r="F159" s="700"/>
      <c r="G159" s="700"/>
      <c r="H159" s="700">
        <f t="shared" si="7"/>
        <v>64377750</v>
      </c>
      <c r="I159" s="506">
        <f t="shared" si="8"/>
        <v>0</v>
      </c>
    </row>
    <row r="160" spans="1:9" s="35" customFormat="1" ht="14.25" customHeight="1">
      <c r="A160" s="698">
        <v>41502</v>
      </c>
      <c r="B160" s="699" t="s">
        <v>673</v>
      </c>
      <c r="C160" s="700">
        <v>0</v>
      </c>
      <c r="D160" s="700">
        <v>154.88999999999999</v>
      </c>
      <c r="E160" s="700">
        <f t="shared" si="6"/>
        <v>154.88999999999999</v>
      </c>
      <c r="F160" s="700">
        <v>0</v>
      </c>
      <c r="G160" s="700">
        <v>0</v>
      </c>
      <c r="H160" s="700">
        <f t="shared" si="7"/>
        <v>154.88999999999999</v>
      </c>
      <c r="I160" s="506">
        <f t="shared" si="8"/>
        <v>0</v>
      </c>
    </row>
    <row r="161" spans="1:9" s="35" customFormat="1" ht="14.25" customHeight="1">
      <c r="A161" s="698">
        <v>43401</v>
      </c>
      <c r="B161" s="699" t="s">
        <v>674</v>
      </c>
      <c r="C161" s="700">
        <v>0</v>
      </c>
      <c r="D161" s="700">
        <v>150000</v>
      </c>
      <c r="E161" s="700">
        <f t="shared" si="6"/>
        <v>150000</v>
      </c>
      <c r="F161" s="700">
        <v>0</v>
      </c>
      <c r="G161" s="700">
        <v>150000</v>
      </c>
      <c r="H161" s="700">
        <f t="shared" si="7"/>
        <v>150000</v>
      </c>
      <c r="I161" s="506">
        <f t="shared" si="8"/>
        <v>0</v>
      </c>
    </row>
    <row r="162" spans="1:9" s="35" customFormat="1" ht="14.25" customHeight="1">
      <c r="A162" s="698">
        <v>44101</v>
      </c>
      <c r="B162" s="699" t="s">
        <v>675</v>
      </c>
      <c r="C162" s="700">
        <v>0</v>
      </c>
      <c r="D162" s="700">
        <v>466254.67</v>
      </c>
      <c r="E162" s="700">
        <f t="shared" si="6"/>
        <v>466254.67</v>
      </c>
      <c r="F162" s="700">
        <v>0</v>
      </c>
      <c r="G162" s="700">
        <v>157590</v>
      </c>
      <c r="H162" s="700">
        <f t="shared" si="7"/>
        <v>466254.67</v>
      </c>
      <c r="I162" s="506">
        <f t="shared" si="8"/>
        <v>0</v>
      </c>
    </row>
    <row r="163" spans="1:9" s="35" customFormat="1" ht="14.25" customHeight="1">
      <c r="A163" s="698">
        <v>44105</v>
      </c>
      <c r="B163" s="699" t="s">
        <v>676</v>
      </c>
      <c r="C163" s="700">
        <v>1359600</v>
      </c>
      <c r="D163" s="700">
        <v>-1284093.8</v>
      </c>
      <c r="E163" s="700">
        <f t="shared" si="6"/>
        <v>75506.199999999953</v>
      </c>
      <c r="F163" s="700">
        <v>0</v>
      </c>
      <c r="G163" s="700">
        <v>0</v>
      </c>
      <c r="H163" s="700">
        <f t="shared" si="7"/>
        <v>75506.199999999953</v>
      </c>
      <c r="I163" s="506">
        <f t="shared" si="8"/>
        <v>0</v>
      </c>
    </row>
    <row r="164" spans="1:9" s="35" customFormat="1" ht="14.25" customHeight="1">
      <c r="A164" s="698">
        <v>44501</v>
      </c>
      <c r="B164" s="699" t="s">
        <v>677</v>
      </c>
      <c r="C164" s="700">
        <v>0</v>
      </c>
      <c r="D164" s="700">
        <v>25000</v>
      </c>
      <c r="E164" s="700">
        <f t="shared" si="6"/>
        <v>25000</v>
      </c>
      <c r="F164" s="700">
        <v>0</v>
      </c>
      <c r="G164" s="700">
        <v>0</v>
      </c>
      <c r="H164" s="700">
        <f t="shared" si="7"/>
        <v>25000</v>
      </c>
      <c r="I164" s="506">
        <f t="shared" si="8"/>
        <v>0</v>
      </c>
    </row>
    <row r="165" spans="1:9" s="35" customFormat="1" ht="14.25" customHeight="1">
      <c r="A165" s="698">
        <v>51101</v>
      </c>
      <c r="B165" s="699" t="s">
        <v>678</v>
      </c>
      <c r="C165" s="700">
        <v>108000</v>
      </c>
      <c r="D165" s="700">
        <v>1617069.75</v>
      </c>
      <c r="E165" s="700">
        <f t="shared" si="6"/>
        <v>1725069.75</v>
      </c>
      <c r="F165" s="700">
        <v>5264.08</v>
      </c>
      <c r="G165" s="700">
        <v>2898</v>
      </c>
      <c r="H165" s="700">
        <f t="shared" si="7"/>
        <v>1719805.67</v>
      </c>
      <c r="I165" s="506">
        <f t="shared" si="8"/>
        <v>3.0515171922758486E-3</v>
      </c>
    </row>
    <row r="166" spans="1:9" s="35" customFormat="1" ht="14.25" customHeight="1">
      <c r="A166" s="698">
        <v>51201</v>
      </c>
      <c r="B166" s="699" t="s">
        <v>679</v>
      </c>
      <c r="C166" s="700">
        <v>0</v>
      </c>
      <c r="D166" s="700">
        <v>20996</v>
      </c>
      <c r="E166" s="700">
        <f t="shared" si="6"/>
        <v>20996</v>
      </c>
      <c r="F166" s="700">
        <v>0</v>
      </c>
      <c r="G166" s="700">
        <v>0</v>
      </c>
      <c r="H166" s="700">
        <f t="shared" si="7"/>
        <v>20996</v>
      </c>
      <c r="I166" s="506">
        <f t="shared" si="8"/>
        <v>0</v>
      </c>
    </row>
    <row r="167" spans="1:9" s="35" customFormat="1" ht="14.25" customHeight="1">
      <c r="A167" s="698">
        <v>51501</v>
      </c>
      <c r="B167" s="699" t="s">
        <v>680</v>
      </c>
      <c r="C167" s="700">
        <v>1084283.8799999999</v>
      </c>
      <c r="D167" s="700">
        <v>2995069.57</v>
      </c>
      <c r="E167" s="700">
        <f t="shared" si="6"/>
        <v>4079353.4499999997</v>
      </c>
      <c r="F167" s="700">
        <v>1499599.59</v>
      </c>
      <c r="G167" s="700">
        <v>0</v>
      </c>
      <c r="H167" s="700">
        <f t="shared" si="7"/>
        <v>2579753.8599999994</v>
      </c>
      <c r="I167" s="506">
        <f t="shared" si="8"/>
        <v>0.36760717314161639</v>
      </c>
    </row>
    <row r="168" spans="1:9" s="35" customFormat="1" ht="14.25" customHeight="1">
      <c r="A168" s="698">
        <v>51901</v>
      </c>
      <c r="B168" s="699" t="s">
        <v>681</v>
      </c>
      <c r="C168" s="700">
        <v>0</v>
      </c>
      <c r="D168" s="700">
        <v>223395.21</v>
      </c>
      <c r="E168" s="700">
        <f t="shared" si="6"/>
        <v>223395.21</v>
      </c>
      <c r="F168" s="700">
        <v>4392.92</v>
      </c>
      <c r="G168" s="700">
        <v>3058</v>
      </c>
      <c r="H168" s="700">
        <f t="shared" si="7"/>
        <v>219002.28999999998</v>
      </c>
      <c r="I168" s="506">
        <f t="shared" si="8"/>
        <v>1.9664342847816658E-2</v>
      </c>
    </row>
    <row r="169" spans="1:9" s="35" customFormat="1" ht="14.25" customHeight="1">
      <c r="A169" s="698">
        <v>51902</v>
      </c>
      <c r="B169" s="699" t="s">
        <v>682</v>
      </c>
      <c r="C169" s="700">
        <v>0</v>
      </c>
      <c r="D169" s="700">
        <v>284248.49</v>
      </c>
      <c r="E169" s="700">
        <f t="shared" si="6"/>
        <v>284248.49</v>
      </c>
      <c r="F169" s="700">
        <v>0</v>
      </c>
      <c r="G169" s="700">
        <v>0</v>
      </c>
      <c r="H169" s="700">
        <f t="shared" si="7"/>
        <v>284248.49</v>
      </c>
      <c r="I169" s="506">
        <f t="shared" si="8"/>
        <v>0</v>
      </c>
    </row>
    <row r="170" spans="1:9" s="35" customFormat="1" ht="14.25" customHeight="1">
      <c r="A170" s="698">
        <v>52101</v>
      </c>
      <c r="B170" s="699" t="s">
        <v>683</v>
      </c>
      <c r="C170" s="700">
        <v>0</v>
      </c>
      <c r="D170" s="700">
        <v>139515.99</v>
      </c>
      <c r="E170" s="700">
        <f t="shared" si="6"/>
        <v>139515.99</v>
      </c>
      <c r="F170" s="700">
        <v>0</v>
      </c>
      <c r="G170" s="700">
        <v>0</v>
      </c>
      <c r="H170" s="700">
        <f t="shared" si="7"/>
        <v>139515.99</v>
      </c>
      <c r="I170" s="506">
        <f t="shared" si="8"/>
        <v>0</v>
      </c>
    </row>
    <row r="171" spans="1:9" s="35" customFormat="1" ht="14.25" customHeight="1">
      <c r="A171" s="698">
        <v>52301</v>
      </c>
      <c r="B171" s="699" t="s">
        <v>684</v>
      </c>
      <c r="C171" s="700">
        <v>0</v>
      </c>
      <c r="D171" s="700">
        <v>360634.6</v>
      </c>
      <c r="E171" s="700">
        <f t="shared" si="6"/>
        <v>360634.6</v>
      </c>
      <c r="F171" s="700">
        <v>0</v>
      </c>
      <c r="G171" s="700">
        <v>0</v>
      </c>
      <c r="H171" s="700">
        <f t="shared" si="7"/>
        <v>360634.6</v>
      </c>
      <c r="I171" s="506">
        <f t="shared" si="8"/>
        <v>0</v>
      </c>
    </row>
    <row r="172" spans="1:9" s="35" customFormat="1" ht="14.25" customHeight="1">
      <c r="A172" s="698">
        <v>52901</v>
      </c>
      <c r="B172" s="699" t="s">
        <v>685</v>
      </c>
      <c r="C172" s="700">
        <v>0</v>
      </c>
      <c r="D172" s="700">
        <v>100379.82</v>
      </c>
      <c r="E172" s="700">
        <f t="shared" si="6"/>
        <v>100379.82</v>
      </c>
      <c r="F172" s="700">
        <v>0</v>
      </c>
      <c r="G172" s="700">
        <v>0</v>
      </c>
      <c r="H172" s="700">
        <f t="shared" si="7"/>
        <v>100379.82</v>
      </c>
      <c r="I172" s="506">
        <f t="shared" si="8"/>
        <v>0</v>
      </c>
    </row>
    <row r="173" spans="1:9" s="35" customFormat="1" ht="14.25" customHeight="1">
      <c r="A173" s="698">
        <v>53101</v>
      </c>
      <c r="B173" s="699" t="s">
        <v>686</v>
      </c>
      <c r="C173" s="700">
        <v>2603600</v>
      </c>
      <c r="D173" s="700">
        <v>38803705.829999998</v>
      </c>
      <c r="E173" s="700">
        <f t="shared" si="6"/>
        <v>41407305.829999998</v>
      </c>
      <c r="F173" s="700">
        <v>54858.720000000001</v>
      </c>
      <c r="G173" s="700">
        <v>0</v>
      </c>
      <c r="H173" s="700">
        <f t="shared" si="7"/>
        <v>41352447.109999999</v>
      </c>
      <c r="I173" s="506">
        <f t="shared" si="8"/>
        <v>1.3248560586198372E-3</v>
      </c>
    </row>
    <row r="174" spans="1:9" s="35" customFormat="1" ht="14.25" customHeight="1">
      <c r="A174" s="698">
        <v>53201</v>
      </c>
      <c r="B174" s="699" t="s">
        <v>687</v>
      </c>
      <c r="C174" s="700">
        <v>1088706</v>
      </c>
      <c r="D174" s="700">
        <v>2220881.77</v>
      </c>
      <c r="E174" s="700">
        <f t="shared" si="6"/>
        <v>3309587.77</v>
      </c>
      <c r="F174" s="700">
        <v>0</v>
      </c>
      <c r="G174" s="700">
        <v>0</v>
      </c>
      <c r="H174" s="700">
        <f t="shared" si="7"/>
        <v>3309587.77</v>
      </c>
      <c r="I174" s="506">
        <f t="shared" si="8"/>
        <v>0</v>
      </c>
    </row>
    <row r="175" spans="1:9" s="35" customFormat="1" ht="14.25" customHeight="1">
      <c r="A175" s="698">
        <v>54101</v>
      </c>
      <c r="B175" s="699" t="s">
        <v>688</v>
      </c>
      <c r="C175" s="700">
        <v>203074</v>
      </c>
      <c r="D175" s="700">
        <v>7930116.1799999997</v>
      </c>
      <c r="E175" s="700">
        <f t="shared" si="6"/>
        <v>8133190.1799999997</v>
      </c>
      <c r="F175" s="700">
        <v>484900</v>
      </c>
      <c r="G175" s="700">
        <v>0</v>
      </c>
      <c r="H175" s="700">
        <f t="shared" si="7"/>
        <v>7648290.1799999997</v>
      </c>
      <c r="I175" s="506">
        <f t="shared" si="8"/>
        <v>5.961990181815717E-2</v>
      </c>
    </row>
    <row r="176" spans="1:9" s="35" customFormat="1" ht="14.25" customHeight="1">
      <c r="A176" s="698">
        <v>54201</v>
      </c>
      <c r="B176" s="699" t="s">
        <v>689</v>
      </c>
      <c r="C176" s="700">
        <v>0</v>
      </c>
      <c r="D176" s="700">
        <v>9000.06</v>
      </c>
      <c r="E176" s="700">
        <f t="shared" si="6"/>
        <v>9000.06</v>
      </c>
      <c r="F176" s="700">
        <v>0</v>
      </c>
      <c r="G176" s="700">
        <v>0</v>
      </c>
      <c r="H176" s="700">
        <f t="shared" si="7"/>
        <v>9000.06</v>
      </c>
      <c r="I176" s="506">
        <f t="shared" si="8"/>
        <v>0</v>
      </c>
    </row>
    <row r="177" spans="1:9" s="35" customFormat="1" ht="14.25" customHeight="1">
      <c r="A177" s="698">
        <v>54901</v>
      </c>
      <c r="B177" s="699" t="s">
        <v>690</v>
      </c>
      <c r="C177" s="700">
        <v>0</v>
      </c>
      <c r="D177" s="700">
        <v>464</v>
      </c>
      <c r="E177" s="700">
        <f t="shared" si="6"/>
        <v>464</v>
      </c>
      <c r="F177" s="700">
        <v>0</v>
      </c>
      <c r="G177" s="700">
        <v>0</v>
      </c>
      <c r="H177" s="700">
        <f t="shared" si="7"/>
        <v>464</v>
      </c>
      <c r="I177" s="506">
        <f t="shared" si="8"/>
        <v>0</v>
      </c>
    </row>
    <row r="178" spans="1:9" s="35" customFormat="1" ht="14.25" customHeight="1">
      <c r="A178" s="698">
        <v>56101</v>
      </c>
      <c r="B178" s="699" t="s">
        <v>691</v>
      </c>
      <c r="C178" s="700">
        <v>0</v>
      </c>
      <c r="D178" s="700">
        <v>406.96</v>
      </c>
      <c r="E178" s="700">
        <f t="shared" si="6"/>
        <v>406.96</v>
      </c>
      <c r="F178" s="700">
        <v>0</v>
      </c>
      <c r="G178" s="700">
        <v>0</v>
      </c>
      <c r="H178" s="700">
        <f t="shared" si="7"/>
        <v>406.96</v>
      </c>
      <c r="I178" s="506">
        <f t="shared" si="8"/>
        <v>0</v>
      </c>
    </row>
    <row r="179" spans="1:9" s="35" customFormat="1" ht="14.25" customHeight="1">
      <c r="A179" s="698">
        <v>56201</v>
      </c>
      <c r="B179" s="699" t="s">
        <v>692</v>
      </c>
      <c r="C179" s="700">
        <v>0</v>
      </c>
      <c r="D179" s="700">
        <v>464140.96</v>
      </c>
      <c r="E179" s="700">
        <f t="shared" si="6"/>
        <v>464140.96</v>
      </c>
      <c r="F179" s="700">
        <v>0</v>
      </c>
      <c r="G179" s="700">
        <v>0</v>
      </c>
      <c r="H179" s="700">
        <f t="shared" si="7"/>
        <v>464140.96</v>
      </c>
      <c r="I179" s="506">
        <f t="shared" si="8"/>
        <v>0</v>
      </c>
    </row>
    <row r="180" spans="1:9" s="35" customFormat="1" ht="14.25" customHeight="1">
      <c r="A180" s="698">
        <v>56401</v>
      </c>
      <c r="B180" s="699" t="s">
        <v>693</v>
      </c>
      <c r="C180" s="700">
        <v>0</v>
      </c>
      <c r="D180" s="700">
        <v>38059.230000000003</v>
      </c>
      <c r="E180" s="700">
        <f t="shared" si="6"/>
        <v>38059.230000000003</v>
      </c>
      <c r="F180" s="700">
        <v>0</v>
      </c>
      <c r="G180" s="700">
        <v>0</v>
      </c>
      <c r="H180" s="700">
        <f t="shared" si="7"/>
        <v>38059.230000000003</v>
      </c>
      <c r="I180" s="506">
        <f t="shared" si="8"/>
        <v>0</v>
      </c>
    </row>
    <row r="181" spans="1:9" s="35" customFormat="1" ht="14.25" customHeight="1">
      <c r="A181" s="698">
        <v>56501</v>
      </c>
      <c r="B181" s="699" t="s">
        <v>694</v>
      </c>
      <c r="C181" s="700">
        <v>0</v>
      </c>
      <c r="D181" s="700">
        <v>72836.27</v>
      </c>
      <c r="E181" s="700">
        <f t="shared" si="6"/>
        <v>72836.27</v>
      </c>
      <c r="F181" s="700">
        <v>0</v>
      </c>
      <c r="G181" s="700">
        <v>0</v>
      </c>
      <c r="H181" s="700">
        <f t="shared" si="7"/>
        <v>72836.27</v>
      </c>
      <c r="I181" s="506">
        <f t="shared" si="8"/>
        <v>0</v>
      </c>
    </row>
    <row r="182" spans="1:9" s="35" customFormat="1" ht="14.25" customHeight="1">
      <c r="A182" s="698">
        <v>56601</v>
      </c>
      <c r="B182" s="699" t="s">
        <v>695</v>
      </c>
      <c r="C182" s="700">
        <v>0</v>
      </c>
      <c r="D182" s="700">
        <v>519332.37</v>
      </c>
      <c r="E182" s="700">
        <f t="shared" si="6"/>
        <v>519332.37</v>
      </c>
      <c r="F182" s="700">
        <v>0</v>
      </c>
      <c r="G182" s="700">
        <v>0</v>
      </c>
      <c r="H182" s="700">
        <f t="shared" si="7"/>
        <v>519332.37</v>
      </c>
      <c r="I182" s="506">
        <f t="shared" si="8"/>
        <v>0</v>
      </c>
    </row>
    <row r="183" spans="1:9" s="35" customFormat="1" ht="14.25" customHeight="1">
      <c r="A183" s="698">
        <v>56701</v>
      </c>
      <c r="B183" s="699" t="s">
        <v>696</v>
      </c>
      <c r="C183" s="700">
        <v>0</v>
      </c>
      <c r="D183" s="700">
        <v>14520.94</v>
      </c>
      <c r="E183" s="700">
        <f t="shared" si="6"/>
        <v>14520.94</v>
      </c>
      <c r="F183" s="700">
        <v>0</v>
      </c>
      <c r="G183" s="700">
        <v>0</v>
      </c>
      <c r="H183" s="700">
        <f t="shared" si="7"/>
        <v>14520.94</v>
      </c>
      <c r="I183" s="506">
        <f t="shared" si="8"/>
        <v>0</v>
      </c>
    </row>
    <row r="184" spans="1:9" s="35" customFormat="1" ht="14.25" customHeight="1">
      <c r="A184" s="698">
        <v>56902</v>
      </c>
      <c r="B184" s="699" t="s">
        <v>697</v>
      </c>
      <c r="C184" s="700">
        <v>0</v>
      </c>
      <c r="D184" s="700">
        <v>140000</v>
      </c>
      <c r="E184" s="700">
        <f t="shared" si="6"/>
        <v>140000</v>
      </c>
      <c r="F184" s="700">
        <v>0</v>
      </c>
      <c r="G184" s="700">
        <v>0</v>
      </c>
      <c r="H184" s="700">
        <f t="shared" si="7"/>
        <v>140000</v>
      </c>
      <c r="I184" s="506">
        <f t="shared" si="8"/>
        <v>0</v>
      </c>
    </row>
    <row r="185" spans="1:9" s="35" customFormat="1" ht="14.25" customHeight="1">
      <c r="A185" s="698">
        <v>59101</v>
      </c>
      <c r="B185" s="699" t="s">
        <v>698</v>
      </c>
      <c r="C185" s="700">
        <v>0</v>
      </c>
      <c r="D185" s="700">
        <v>80000</v>
      </c>
      <c r="E185" s="700">
        <f t="shared" si="6"/>
        <v>80000</v>
      </c>
      <c r="F185" s="700">
        <v>0</v>
      </c>
      <c r="G185" s="700">
        <v>0</v>
      </c>
      <c r="H185" s="700">
        <f t="shared" si="7"/>
        <v>80000</v>
      </c>
      <c r="I185" s="506">
        <f t="shared" si="8"/>
        <v>0</v>
      </c>
    </row>
    <row r="186" spans="1:9" s="35" customFormat="1" ht="14.25" customHeight="1">
      <c r="A186" s="698">
        <v>61203</v>
      </c>
      <c r="B186" s="699" t="s">
        <v>699</v>
      </c>
      <c r="C186" s="700">
        <v>0</v>
      </c>
      <c r="D186" s="700">
        <v>14781005.960000001</v>
      </c>
      <c r="E186" s="700">
        <f t="shared" si="6"/>
        <v>14781005.960000001</v>
      </c>
      <c r="F186" s="700">
        <v>1797643.28</v>
      </c>
      <c r="G186" s="700">
        <v>935142.78</v>
      </c>
      <c r="H186" s="700">
        <f t="shared" si="7"/>
        <v>12983362.680000002</v>
      </c>
      <c r="I186" s="506">
        <f t="shared" si="8"/>
        <v>0.12161846662295778</v>
      </c>
    </row>
    <row r="187" spans="1:9" s="35" customFormat="1" ht="14.25" customHeight="1">
      <c r="A187" s="698">
        <v>61205</v>
      </c>
      <c r="B187" s="699" t="s">
        <v>700</v>
      </c>
      <c r="C187" s="700">
        <v>0</v>
      </c>
      <c r="D187" s="700">
        <v>283252.94</v>
      </c>
      <c r="E187" s="700">
        <f t="shared" si="6"/>
        <v>283252.94</v>
      </c>
      <c r="F187" s="700">
        <v>0</v>
      </c>
      <c r="G187" s="700">
        <v>0</v>
      </c>
      <c r="H187" s="700">
        <f t="shared" si="7"/>
        <v>283252.94</v>
      </c>
      <c r="I187" s="506">
        <f t="shared" si="8"/>
        <v>0</v>
      </c>
    </row>
    <row r="188" spans="1:9" s="35" customFormat="1" ht="14.25" customHeight="1">
      <c r="A188" s="698">
        <v>61207</v>
      </c>
      <c r="B188" s="699" t="s">
        <v>701</v>
      </c>
      <c r="C188" s="700">
        <v>0</v>
      </c>
      <c r="D188" s="700">
        <v>23575.85</v>
      </c>
      <c r="E188" s="700">
        <f t="shared" si="6"/>
        <v>23575.85</v>
      </c>
      <c r="F188" s="700">
        <v>0</v>
      </c>
      <c r="G188" s="700">
        <v>0</v>
      </c>
      <c r="H188" s="700">
        <f t="shared" si="7"/>
        <v>23575.85</v>
      </c>
      <c r="I188" s="506">
        <f t="shared" si="8"/>
        <v>0</v>
      </c>
    </row>
    <row r="189" spans="1:9" s="35" customFormat="1" ht="14.25" customHeight="1">
      <c r="A189" s="698">
        <v>61210</v>
      </c>
      <c r="B189" s="699" t="s">
        <v>702</v>
      </c>
      <c r="C189" s="700">
        <v>0</v>
      </c>
      <c r="D189" s="700">
        <v>16694860.810000001</v>
      </c>
      <c r="E189" s="700">
        <f t="shared" si="6"/>
        <v>16694860.810000001</v>
      </c>
      <c r="F189" s="700">
        <v>174848.59</v>
      </c>
      <c r="G189" s="700">
        <v>823059.92</v>
      </c>
      <c r="H189" s="700">
        <f t="shared" si="7"/>
        <v>16520012.220000001</v>
      </c>
      <c r="I189" s="506">
        <f t="shared" si="8"/>
        <v>1.0473198428540836E-2</v>
      </c>
    </row>
    <row r="190" spans="1:9" s="35" customFormat="1" ht="14.25" customHeight="1">
      <c r="A190" s="698">
        <v>61222</v>
      </c>
      <c r="B190" s="699" t="s">
        <v>703</v>
      </c>
      <c r="C190" s="700">
        <v>0</v>
      </c>
      <c r="D190" s="700">
        <v>2357807.6800000002</v>
      </c>
      <c r="E190" s="700">
        <f t="shared" si="6"/>
        <v>2357807.6800000002</v>
      </c>
      <c r="F190" s="700">
        <v>0</v>
      </c>
      <c r="G190" s="700">
        <v>0</v>
      </c>
      <c r="H190" s="700">
        <f t="shared" si="7"/>
        <v>2357807.6800000002</v>
      </c>
      <c r="I190" s="506">
        <f t="shared" si="8"/>
        <v>0</v>
      </c>
    </row>
    <row r="191" spans="1:9" s="35" customFormat="1" ht="14.25" customHeight="1">
      <c r="A191" s="698">
        <v>62201</v>
      </c>
      <c r="B191" s="699" t="s">
        <v>704</v>
      </c>
      <c r="C191" s="700">
        <v>16213831</v>
      </c>
      <c r="D191" s="700">
        <v>6376535.46</v>
      </c>
      <c r="E191" s="700">
        <f t="shared" si="6"/>
        <v>22590366.460000001</v>
      </c>
      <c r="F191" s="700">
        <v>0</v>
      </c>
      <c r="G191" s="700">
        <v>5974542.54</v>
      </c>
      <c r="H191" s="700">
        <f t="shared" si="7"/>
        <v>22590366.460000001</v>
      </c>
      <c r="I191" s="506">
        <f t="shared" si="8"/>
        <v>0</v>
      </c>
    </row>
    <row r="192" spans="1:9" s="35" customFormat="1" ht="14.25" customHeight="1">
      <c r="A192" s="698">
        <v>62202</v>
      </c>
      <c r="B192" s="699" t="s">
        <v>705</v>
      </c>
      <c r="C192" s="700">
        <v>0</v>
      </c>
      <c r="D192" s="700">
        <v>31626263.98</v>
      </c>
      <c r="E192" s="700">
        <f t="shared" si="6"/>
        <v>31626263.98</v>
      </c>
      <c r="F192" s="700">
        <v>534859.38</v>
      </c>
      <c r="G192" s="700">
        <v>4848158.88</v>
      </c>
      <c r="H192" s="700">
        <f t="shared" si="7"/>
        <v>31091404.600000001</v>
      </c>
      <c r="I192" s="506">
        <f t="shared" si="8"/>
        <v>1.6911873635730022E-2</v>
      </c>
    </row>
    <row r="193" spans="1:9" s="35" customFormat="1" ht="14.25" customHeight="1">
      <c r="A193" s="698">
        <v>62203</v>
      </c>
      <c r="B193" s="699" t="s">
        <v>699</v>
      </c>
      <c r="C193" s="700">
        <v>0</v>
      </c>
      <c r="D193" s="700">
        <v>17284134.149999999</v>
      </c>
      <c r="E193" s="700">
        <f t="shared" si="6"/>
        <v>17284134.149999999</v>
      </c>
      <c r="F193" s="700">
        <v>0</v>
      </c>
      <c r="G193" s="700">
        <v>895002.34</v>
      </c>
      <c r="H193" s="700">
        <f t="shared" si="7"/>
        <v>17284134.149999999</v>
      </c>
      <c r="I193" s="506">
        <f t="shared" si="8"/>
        <v>0</v>
      </c>
    </row>
    <row r="194" spans="1:9" s="35" customFormat="1" ht="14.25" customHeight="1">
      <c r="A194" s="698">
        <v>62207</v>
      </c>
      <c r="B194" s="699" t="s">
        <v>701</v>
      </c>
      <c r="C194" s="700">
        <v>0</v>
      </c>
      <c r="D194" s="700">
        <v>201134</v>
      </c>
      <c r="E194" s="700">
        <f t="shared" si="6"/>
        <v>201134</v>
      </c>
      <c r="F194" s="700">
        <v>0</v>
      </c>
      <c r="G194" s="700">
        <v>0</v>
      </c>
      <c r="H194" s="700">
        <f t="shared" si="7"/>
        <v>201134</v>
      </c>
      <c r="I194" s="506">
        <f t="shared" si="8"/>
        <v>0</v>
      </c>
    </row>
    <row r="195" spans="1:9" s="35" customFormat="1" ht="14.25" customHeight="1">
      <c r="A195" s="698">
        <v>62210</v>
      </c>
      <c r="B195" s="699" t="s">
        <v>702</v>
      </c>
      <c r="C195" s="700">
        <v>0</v>
      </c>
      <c r="D195" s="700">
        <v>1484960.18</v>
      </c>
      <c r="E195" s="700">
        <f t="shared" si="6"/>
        <v>1484960.18</v>
      </c>
      <c r="F195" s="700">
        <v>175551.53</v>
      </c>
      <c r="G195" s="700">
        <v>0</v>
      </c>
      <c r="H195" s="700">
        <f t="shared" si="7"/>
        <v>1309408.6499999999</v>
      </c>
      <c r="I195" s="506">
        <f t="shared" si="8"/>
        <v>0.11821968855757466</v>
      </c>
    </row>
    <row r="196" spans="1:9" s="35" customFormat="1" ht="14.25" customHeight="1" thickBot="1">
      <c r="A196" s="698">
        <v>99101</v>
      </c>
      <c r="B196" s="699" t="s">
        <v>706</v>
      </c>
      <c r="C196" s="700">
        <v>0</v>
      </c>
      <c r="D196" s="700">
        <v>134933622.59</v>
      </c>
      <c r="E196" s="700">
        <f t="shared" si="6"/>
        <v>134933622.59</v>
      </c>
      <c r="F196" s="700">
        <v>0</v>
      </c>
      <c r="G196" s="700">
        <v>0</v>
      </c>
      <c r="H196" s="700">
        <f t="shared" si="7"/>
        <v>134933622.59</v>
      </c>
      <c r="I196" s="506">
        <f t="shared" si="8"/>
        <v>0</v>
      </c>
    </row>
    <row r="197" spans="1:9" s="706" customFormat="1" ht="14.25" customHeight="1" thickBot="1">
      <c r="A197" s="702"/>
      <c r="B197" s="703" t="s">
        <v>377</v>
      </c>
      <c r="C197" s="704">
        <f>SUM(C10:C196)</f>
        <v>3696225055.269999</v>
      </c>
      <c r="D197" s="704">
        <f t="shared" ref="D197:H197" si="9">SUM(D10:D196)</f>
        <v>222105084.01999998</v>
      </c>
      <c r="E197" s="704">
        <f t="shared" si="9"/>
        <v>3918330139.2899981</v>
      </c>
      <c r="F197" s="704">
        <f t="shared" si="9"/>
        <v>24381070.73</v>
      </c>
      <c r="G197" s="704">
        <f t="shared" si="9"/>
        <v>521083923.80999988</v>
      </c>
      <c r="H197" s="704">
        <f t="shared" si="9"/>
        <v>3893949068.559998</v>
      </c>
      <c r="I197" s="705"/>
    </row>
  </sheetData>
  <mergeCells count="8">
    <mergeCell ref="C6:E6"/>
    <mergeCell ref="H6:I6"/>
    <mergeCell ref="A7:B8"/>
    <mergeCell ref="A1:I1"/>
    <mergeCell ref="A2:I2"/>
    <mergeCell ref="A3:I3"/>
    <mergeCell ref="A4:I4"/>
    <mergeCell ref="A5:I5"/>
  </mergeCells>
  <pageMargins left="0.39370078740157483" right="0.39370078740157483" top="0.51181102362204722" bottom="0.19685039370078741" header="0.31496062992125984" footer="0.15748031496062992"/>
  <pageSetup scale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theme="7"/>
    <pageSetUpPr fitToPage="1"/>
  </sheetPr>
  <dimension ref="A1:G70"/>
  <sheetViews>
    <sheetView topLeftCell="A17" zoomScaleSheetLayoutView="75" workbookViewId="0">
      <selection activeCell="C27" sqref="C27"/>
    </sheetView>
  </sheetViews>
  <sheetFormatPr baseColWidth="10" defaultColWidth="11.42578125" defaultRowHeight="16.5"/>
  <cols>
    <col min="1" max="1" width="1.5703125" style="144" customWidth="1"/>
    <col min="2" max="2" width="101.7109375" style="144" bestFit="1" customWidth="1"/>
    <col min="3" max="3" width="18.42578125" style="144" customWidth="1"/>
    <col min="4" max="4" width="18" style="665" customWidth="1"/>
    <col min="5" max="5" width="59.42578125" style="142" customWidth="1"/>
    <col min="6" max="6" width="22.7109375" style="142" customWidth="1"/>
    <col min="7" max="16384" width="11.42578125" style="142"/>
  </cols>
  <sheetData>
    <row r="1" spans="1:7" s="141" customFormat="1" ht="20.25">
      <c r="A1" s="737" t="s">
        <v>0</v>
      </c>
      <c r="B1" s="737"/>
      <c r="C1" s="737"/>
      <c r="D1" s="737"/>
      <c r="E1" s="639" t="s">
        <v>68</v>
      </c>
      <c r="G1" s="84"/>
    </row>
    <row r="2" spans="1:7" ht="15.75">
      <c r="A2" s="736" t="s">
        <v>69</v>
      </c>
      <c r="B2" s="736"/>
      <c r="C2" s="736"/>
      <c r="D2" s="736"/>
    </row>
    <row r="3" spans="1:7">
      <c r="A3" s="735" t="s">
        <v>3</v>
      </c>
      <c r="B3" s="735"/>
      <c r="C3" s="735"/>
      <c r="D3" s="735"/>
    </row>
    <row r="4" spans="1:7">
      <c r="A4" s="735" t="s">
        <v>70</v>
      </c>
      <c r="B4" s="735"/>
      <c r="C4" s="735"/>
      <c r="D4" s="735"/>
    </row>
    <row r="5" spans="1:7" s="144" customFormat="1" ht="17.25" thickBot="1">
      <c r="A5" s="738" t="s">
        <v>71</v>
      </c>
      <c r="B5" s="738"/>
      <c r="C5" s="84" t="s">
        <v>6</v>
      </c>
      <c r="D5" s="660" t="s">
        <v>72</v>
      </c>
    </row>
    <row r="6" spans="1:7" ht="27.75" customHeight="1" thickBot="1">
      <c r="A6" s="733"/>
      <c r="B6" s="734"/>
      <c r="C6" s="677">
        <v>42430</v>
      </c>
      <c r="D6" s="677">
        <v>42064</v>
      </c>
    </row>
    <row r="7" spans="1:7" ht="17.25" thickTop="1">
      <c r="A7" s="145" t="s">
        <v>73</v>
      </c>
      <c r="B7" s="146"/>
      <c r="C7" s="147"/>
      <c r="D7" s="661"/>
    </row>
    <row r="8" spans="1:7">
      <c r="A8" s="148" t="s">
        <v>74</v>
      </c>
      <c r="B8" s="149"/>
      <c r="C8" s="159">
        <f>SUM(C9:C16)</f>
        <v>11767681.9</v>
      </c>
      <c r="D8" s="160">
        <f>SUM(D9:D16)</f>
        <v>70687216</v>
      </c>
    </row>
    <row r="9" spans="1:7">
      <c r="A9" s="150"/>
      <c r="B9" s="151" t="s">
        <v>75</v>
      </c>
      <c r="C9" s="152" t="s">
        <v>76</v>
      </c>
      <c r="D9" s="153" t="s">
        <v>76</v>
      </c>
    </row>
    <row r="10" spans="1:7">
      <c r="A10" s="150"/>
      <c r="B10" s="151" t="s">
        <v>77</v>
      </c>
      <c r="C10" s="152"/>
      <c r="D10" s="153"/>
    </row>
    <row r="11" spans="1:7">
      <c r="A11" s="150"/>
      <c r="B11" s="151" t="s">
        <v>78</v>
      </c>
      <c r="C11" s="152"/>
      <c r="D11" s="153"/>
    </row>
    <row r="12" spans="1:7">
      <c r="A12" s="150"/>
      <c r="B12" s="151" t="s">
        <v>79</v>
      </c>
      <c r="C12" s="152"/>
      <c r="D12" s="153"/>
    </row>
    <row r="13" spans="1:7" ht="18.75">
      <c r="A13" s="150"/>
      <c r="B13" s="151" t="s">
        <v>80</v>
      </c>
      <c r="C13" s="152"/>
      <c r="D13" s="153"/>
    </row>
    <row r="14" spans="1:7">
      <c r="A14" s="150"/>
      <c r="B14" s="151" t="s">
        <v>81</v>
      </c>
      <c r="C14" s="152"/>
      <c r="D14" s="153">
        <v>23743280</v>
      </c>
    </row>
    <row r="15" spans="1:7">
      <c r="A15" s="150"/>
      <c r="B15" s="151" t="s">
        <v>82</v>
      </c>
      <c r="C15" s="152">
        <v>11767681.9</v>
      </c>
      <c r="D15" s="153">
        <v>46943936</v>
      </c>
    </row>
    <row r="16" spans="1:7">
      <c r="A16" s="150"/>
      <c r="B16" s="151" t="s">
        <v>83</v>
      </c>
      <c r="C16" s="152">
        <v>0</v>
      </c>
      <c r="D16" s="153"/>
    </row>
    <row r="17" spans="1:4">
      <c r="A17" s="148" t="s">
        <v>84</v>
      </c>
      <c r="B17" s="149"/>
      <c r="C17" s="159">
        <f>SUM(C18:C19)</f>
        <v>718791109.55999994</v>
      </c>
      <c r="D17" s="160">
        <f>SUM(D18:D19)</f>
        <v>611414409</v>
      </c>
    </row>
    <row r="18" spans="1:4">
      <c r="A18" s="150"/>
      <c r="B18" s="151" t="s">
        <v>85</v>
      </c>
      <c r="C18" s="152">
        <f>530051188.32+24043120.18</f>
        <v>554094308.5</v>
      </c>
      <c r="D18" s="153">
        <v>594277005</v>
      </c>
    </row>
    <row r="19" spans="1:4">
      <c r="A19" s="150"/>
      <c r="B19" s="151" t="s">
        <v>86</v>
      </c>
      <c r="C19" s="152">
        <v>164696801.06</v>
      </c>
      <c r="D19" s="153">
        <v>17137404</v>
      </c>
    </row>
    <row r="20" spans="1:4">
      <c r="A20" s="148" t="s">
        <v>87</v>
      </c>
      <c r="B20" s="149"/>
      <c r="C20" s="161">
        <f>SUM(C21:C25)</f>
        <v>2927368.84</v>
      </c>
      <c r="D20" s="160">
        <f>SUM(D21:D25)</f>
        <v>2673588</v>
      </c>
    </row>
    <row r="21" spans="1:4">
      <c r="A21" s="150"/>
      <c r="B21" s="151" t="s">
        <v>88</v>
      </c>
      <c r="C21" s="152">
        <v>2924437.36</v>
      </c>
      <c r="D21" s="153">
        <v>2487754</v>
      </c>
    </row>
    <row r="22" spans="1:4">
      <c r="A22" s="150"/>
      <c r="B22" s="151" t="s">
        <v>89</v>
      </c>
      <c r="C22" s="152"/>
      <c r="D22" s="153"/>
    </row>
    <row r="23" spans="1:4">
      <c r="A23" s="150"/>
      <c r="B23" s="151" t="s">
        <v>90</v>
      </c>
      <c r="C23" s="152"/>
      <c r="D23" s="153"/>
    </row>
    <row r="24" spans="1:4">
      <c r="A24" s="150"/>
      <c r="B24" s="151" t="s">
        <v>91</v>
      </c>
      <c r="C24" s="152"/>
      <c r="D24" s="153"/>
    </row>
    <row r="25" spans="1:4">
      <c r="A25" s="150"/>
      <c r="B25" s="151" t="s">
        <v>92</v>
      </c>
      <c r="C25" s="152">
        <v>2931.48</v>
      </c>
      <c r="D25" s="153">
        <v>185834</v>
      </c>
    </row>
    <row r="26" spans="1:4">
      <c r="A26" s="150"/>
      <c r="B26" s="147"/>
      <c r="C26" s="152" t="s">
        <v>76</v>
      </c>
      <c r="D26" s="153"/>
    </row>
    <row r="27" spans="1:4">
      <c r="A27" s="154" t="s">
        <v>93</v>
      </c>
      <c r="B27" s="155"/>
      <c r="C27" s="162">
        <f>C20+C17+C8</f>
        <v>733486160.29999995</v>
      </c>
      <c r="D27" s="163">
        <f>D20+D17+D8</f>
        <v>684775213</v>
      </c>
    </row>
    <row r="28" spans="1:4">
      <c r="A28" s="150"/>
      <c r="B28" s="147"/>
      <c r="C28" s="152"/>
      <c r="D28" s="153"/>
    </row>
    <row r="29" spans="1:4">
      <c r="A29" s="145" t="s">
        <v>94</v>
      </c>
      <c r="B29" s="146"/>
      <c r="C29" s="152"/>
      <c r="D29" s="153"/>
    </row>
    <row r="30" spans="1:4">
      <c r="A30" s="148" t="s">
        <v>95</v>
      </c>
      <c r="B30" s="149"/>
      <c r="C30" s="159">
        <f>SUM(C31:C33)</f>
        <v>608704718.56000006</v>
      </c>
      <c r="D30" s="160">
        <f>SUM(D31:D33)</f>
        <v>560394904</v>
      </c>
    </row>
    <row r="31" spans="1:4">
      <c r="A31" s="150"/>
      <c r="B31" s="151" t="s">
        <v>96</v>
      </c>
      <c r="C31" s="152">
        <f>212573590.07+109377819.09+30930539.05+37710188.29+128354212.25+25660473.11</f>
        <v>544606821.86000001</v>
      </c>
      <c r="D31" s="153">
        <v>481953470</v>
      </c>
    </row>
    <row r="32" spans="1:4">
      <c r="A32" s="150"/>
      <c r="B32" s="151" t="s">
        <v>97</v>
      </c>
      <c r="C32" s="152">
        <f>2297813.08+820655.21+69882.8+23589014.86+4065878.81+170974.18+131250.14</f>
        <v>31145469.079999998</v>
      </c>
      <c r="D32" s="153">
        <v>47541966</v>
      </c>
    </row>
    <row r="33" spans="1:4">
      <c r="A33" s="150"/>
      <c r="B33" s="151" t="s">
        <v>98</v>
      </c>
      <c r="C33" s="152">
        <f>6633863.2+129778+1172135.28+797116.76+15774734.05+3364261.16+2760012.84+1640666.3+679860.03</f>
        <v>32952427.620000001</v>
      </c>
      <c r="D33" s="153">
        <v>30899468</v>
      </c>
    </row>
    <row r="34" spans="1:4">
      <c r="A34" s="148" t="s">
        <v>86</v>
      </c>
      <c r="B34" s="149"/>
      <c r="C34" s="161">
        <f>SUM(C35:C43)</f>
        <v>307590</v>
      </c>
      <c r="D34" s="164">
        <f>SUM(D35:D43)</f>
        <v>64813</v>
      </c>
    </row>
    <row r="35" spans="1:4">
      <c r="A35" s="150"/>
      <c r="B35" s="151" t="s">
        <v>99</v>
      </c>
      <c r="C35" s="152">
        <v>150000</v>
      </c>
      <c r="D35" s="153">
        <v>64813</v>
      </c>
    </row>
    <row r="36" spans="1:4">
      <c r="A36" s="150"/>
      <c r="B36" s="151" t="s">
        <v>100</v>
      </c>
      <c r="C36" s="152"/>
      <c r="D36" s="153"/>
    </row>
    <row r="37" spans="1:4">
      <c r="A37" s="150"/>
      <c r="B37" s="151" t="s">
        <v>101</v>
      </c>
      <c r="C37" s="152"/>
      <c r="D37" s="153"/>
    </row>
    <row r="38" spans="1:4">
      <c r="A38" s="150"/>
      <c r="B38" s="151" t="s">
        <v>102</v>
      </c>
      <c r="C38" s="152">
        <v>157590</v>
      </c>
      <c r="D38" s="153"/>
    </row>
    <row r="39" spans="1:4">
      <c r="A39" s="150"/>
      <c r="B39" s="151" t="s">
        <v>103</v>
      </c>
      <c r="C39" s="152"/>
      <c r="D39" s="153"/>
    </row>
    <row r="40" spans="1:4">
      <c r="A40" s="150"/>
      <c r="B40" s="151" t="s">
        <v>104</v>
      </c>
      <c r="C40" s="152"/>
      <c r="D40" s="153"/>
    </row>
    <row r="41" spans="1:4">
      <c r="A41" s="150"/>
      <c r="B41" s="151" t="s">
        <v>105</v>
      </c>
      <c r="C41" s="152"/>
      <c r="D41" s="153"/>
    </row>
    <row r="42" spans="1:4">
      <c r="A42" s="150"/>
      <c r="B42" s="151" t="s">
        <v>106</v>
      </c>
      <c r="C42" s="152"/>
      <c r="D42" s="153"/>
    </row>
    <row r="43" spans="1:4">
      <c r="A43" s="150"/>
      <c r="B43" s="151" t="s">
        <v>107</v>
      </c>
      <c r="C43" s="152"/>
      <c r="D43" s="153"/>
    </row>
    <row r="44" spans="1:4">
      <c r="A44" s="148" t="s">
        <v>108</v>
      </c>
      <c r="B44" s="149"/>
      <c r="C44" s="161">
        <f>SUM(C45:C47)</f>
        <v>0</v>
      </c>
      <c r="D44" s="164">
        <f>SUM(D45:D47)</f>
        <v>0</v>
      </c>
    </row>
    <row r="45" spans="1:4">
      <c r="A45" s="150"/>
      <c r="B45" s="151" t="s">
        <v>109</v>
      </c>
      <c r="C45" s="152"/>
      <c r="D45" s="153"/>
    </row>
    <row r="46" spans="1:4">
      <c r="A46" s="150"/>
      <c r="B46" s="151" t="s">
        <v>52</v>
      </c>
      <c r="C46" s="152"/>
      <c r="D46" s="153"/>
    </row>
    <row r="47" spans="1:4">
      <c r="A47" s="150"/>
      <c r="B47" s="151" t="s">
        <v>110</v>
      </c>
      <c r="C47" s="152"/>
      <c r="D47" s="153"/>
    </row>
    <row r="48" spans="1:4">
      <c r="A48" s="148" t="s">
        <v>111</v>
      </c>
      <c r="B48" s="149"/>
      <c r="C48" s="161">
        <f>SUM(C49:C53)</f>
        <v>0</v>
      </c>
      <c r="D48" s="164">
        <f>SUM(D49:D53)</f>
        <v>0</v>
      </c>
    </row>
    <row r="49" spans="1:4">
      <c r="A49" s="150"/>
      <c r="B49" s="151" t="s">
        <v>112</v>
      </c>
      <c r="C49" s="152"/>
      <c r="D49" s="153"/>
    </row>
    <row r="50" spans="1:4">
      <c r="A50" s="150"/>
      <c r="B50" s="151" t="s">
        <v>113</v>
      </c>
      <c r="C50" s="152"/>
      <c r="D50" s="153"/>
    </row>
    <row r="51" spans="1:4">
      <c r="A51" s="150"/>
      <c r="B51" s="151" t="s">
        <v>114</v>
      </c>
      <c r="C51" s="152"/>
      <c r="D51" s="153"/>
    </row>
    <row r="52" spans="1:4">
      <c r="A52" s="150"/>
      <c r="B52" s="151" t="s">
        <v>115</v>
      </c>
      <c r="C52" s="152"/>
      <c r="D52" s="153"/>
    </row>
    <row r="53" spans="1:4">
      <c r="A53" s="150"/>
      <c r="B53" s="151" t="s">
        <v>116</v>
      </c>
      <c r="C53" s="152"/>
      <c r="D53" s="153"/>
    </row>
    <row r="54" spans="1:4">
      <c r="A54" s="148" t="s">
        <v>117</v>
      </c>
      <c r="B54" s="149"/>
      <c r="C54" s="165">
        <f>SUM(C55:C60)</f>
        <v>0</v>
      </c>
      <c r="D54" s="166">
        <f>SUM(D55:D60)</f>
        <v>0</v>
      </c>
    </row>
    <row r="55" spans="1:4">
      <c r="A55" s="150"/>
      <c r="B55" s="151" t="s">
        <v>118</v>
      </c>
      <c r="C55" s="152"/>
      <c r="D55" s="153"/>
    </row>
    <row r="56" spans="1:4">
      <c r="A56" s="150"/>
      <c r="B56" s="151" t="s">
        <v>119</v>
      </c>
      <c r="C56" s="152"/>
      <c r="D56" s="153"/>
    </row>
    <row r="57" spans="1:4">
      <c r="A57" s="150"/>
      <c r="B57" s="151" t="s">
        <v>120</v>
      </c>
      <c r="C57" s="152"/>
      <c r="D57" s="153"/>
    </row>
    <row r="58" spans="1:4">
      <c r="A58" s="150"/>
      <c r="B58" s="151" t="s">
        <v>121</v>
      </c>
      <c r="C58" s="152"/>
      <c r="D58" s="153"/>
    </row>
    <row r="59" spans="1:4">
      <c r="A59" s="150"/>
      <c r="B59" s="151" t="s">
        <v>122</v>
      </c>
      <c r="C59" s="152"/>
      <c r="D59" s="153"/>
    </row>
    <row r="60" spans="1:4">
      <c r="A60" s="150"/>
      <c r="B60" s="151" t="s">
        <v>123</v>
      </c>
      <c r="C60" s="152" t="s">
        <v>76</v>
      </c>
      <c r="D60" s="153" t="s">
        <v>76</v>
      </c>
    </row>
    <row r="61" spans="1:4">
      <c r="A61" s="148" t="s">
        <v>124</v>
      </c>
      <c r="B61" s="149"/>
      <c r="C61" s="165">
        <f>C62</f>
        <v>0</v>
      </c>
      <c r="D61" s="166">
        <f>D62</f>
        <v>0</v>
      </c>
    </row>
    <row r="62" spans="1:4">
      <c r="A62" s="150"/>
      <c r="B62" s="151" t="s">
        <v>125</v>
      </c>
      <c r="C62" s="152"/>
      <c r="D62" s="153"/>
    </row>
    <row r="63" spans="1:4">
      <c r="A63" s="150"/>
      <c r="B63" s="156"/>
      <c r="C63" s="152"/>
      <c r="D63" s="153"/>
    </row>
    <row r="64" spans="1:4">
      <c r="A64" s="148" t="s">
        <v>126</v>
      </c>
      <c r="B64" s="149"/>
      <c r="C64" s="162">
        <f>C61+C54+C48+C34+C30+C44</f>
        <v>609012308.56000006</v>
      </c>
      <c r="D64" s="163">
        <f>D61+D54+D48+D34+D30+D44</f>
        <v>560459717</v>
      </c>
    </row>
    <row r="65" spans="1:5">
      <c r="A65" s="150"/>
      <c r="B65" s="156"/>
      <c r="C65" s="152"/>
      <c r="D65" s="153"/>
    </row>
    <row r="66" spans="1:5" ht="20.25">
      <c r="A66" s="148" t="s">
        <v>127</v>
      </c>
      <c r="B66" s="149"/>
      <c r="C66" s="162">
        <f>C27-C64</f>
        <v>124473851.73999989</v>
      </c>
      <c r="D66" s="163">
        <f>D27-D64</f>
        <v>124315496</v>
      </c>
      <c r="E66" s="666" t="str">
        <f>IF(C66-'ETCA-I-01'!E41&gt;0.99,"ERROR!!!, NO COINCIDEN LOS MONTOS CON LO REPORTADO EN EL FORMATO ETCA-I-01 EN EL EJERCICIO 2016","")</f>
        <v/>
      </c>
    </row>
    <row r="67" spans="1:5" ht="21" thickBot="1">
      <c r="A67" s="157"/>
      <c r="B67" s="158"/>
      <c r="C67" s="158"/>
      <c r="D67" s="662"/>
      <c r="E67" s="667" t="str">
        <f>IF(D66-'ETCA-I-01'!F41&gt;0.99,"ERROR!!!, NO COINCIDEN LOS MONTOS CON LO REPORTADO EN EL FORMATO ETCA-I-01 EN EL EJERCICIO 2015","")</f>
        <v/>
      </c>
    </row>
    <row r="68" spans="1:5" s="641" customFormat="1" ht="5.25" customHeight="1">
      <c r="A68" s="640"/>
      <c r="B68" s="640"/>
      <c r="C68" s="640"/>
      <c r="D68" s="663"/>
    </row>
    <row r="69" spans="1:5" s="641" customFormat="1">
      <c r="B69" s="82" t="s">
        <v>66</v>
      </c>
      <c r="C69" s="640"/>
      <c r="D69" s="663"/>
    </row>
    <row r="70" spans="1:5">
      <c r="C70" s="135"/>
      <c r="D70" s="664" t="s">
        <v>67</v>
      </c>
    </row>
  </sheetData>
  <sheetProtection sheet="1" objects="1" scenarios="1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3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7">
    <tabColor theme="5" tint="-0.249977111117893"/>
  </sheetPr>
  <dimension ref="A1:J33"/>
  <sheetViews>
    <sheetView zoomScaleSheetLayoutView="100" workbookViewId="0">
      <selection activeCell="B12" sqref="B12"/>
    </sheetView>
  </sheetViews>
  <sheetFormatPr baseColWidth="10" defaultColWidth="11.42578125" defaultRowHeight="16.5"/>
  <cols>
    <col min="1" max="1" width="4.28515625" style="172" customWidth="1"/>
    <col min="2" max="2" width="41.5703125" style="141" customWidth="1"/>
    <col min="3" max="5" width="16.7109375" style="141" customWidth="1"/>
    <col min="6" max="16384" width="11.42578125" style="141"/>
  </cols>
  <sheetData>
    <row r="1" spans="1:7">
      <c r="A1" s="816" t="s">
        <v>0</v>
      </c>
      <c r="B1" s="816"/>
      <c r="C1" s="816"/>
      <c r="D1" s="816"/>
      <c r="E1" s="816"/>
    </row>
    <row r="2" spans="1:7">
      <c r="A2" s="820" t="s">
        <v>173</v>
      </c>
      <c r="B2" s="820"/>
      <c r="C2" s="820"/>
      <c r="D2" s="820"/>
      <c r="E2" s="820"/>
    </row>
    <row r="3" spans="1:7">
      <c r="A3" s="735" t="s">
        <v>3</v>
      </c>
      <c r="B3" s="735"/>
      <c r="C3" s="735"/>
      <c r="D3" s="735"/>
      <c r="E3" s="735"/>
      <c r="G3" s="509"/>
    </row>
    <row r="4" spans="1:7">
      <c r="A4" s="735" t="s">
        <v>317</v>
      </c>
      <c r="B4" s="735"/>
      <c r="C4" s="735"/>
      <c r="D4" s="735"/>
      <c r="E4" s="735"/>
    </row>
    <row r="5" spans="1:7" ht="17.25" thickBot="1">
      <c r="A5" s="510"/>
      <c r="B5" s="820" t="s">
        <v>707</v>
      </c>
      <c r="C5" s="820"/>
      <c r="D5" s="84" t="s">
        <v>6</v>
      </c>
      <c r="E5" s="510" t="s">
        <v>318</v>
      </c>
    </row>
    <row r="6" spans="1:7" s="289" customFormat="1" ht="30" customHeight="1">
      <c r="A6" s="821" t="s">
        <v>708</v>
      </c>
      <c r="B6" s="822"/>
      <c r="C6" s="511" t="s">
        <v>709</v>
      </c>
      <c r="D6" s="512" t="s">
        <v>710</v>
      </c>
      <c r="E6" s="513" t="s">
        <v>173</v>
      </c>
    </row>
    <row r="7" spans="1:7" s="289" customFormat="1" ht="30" customHeight="1" thickBot="1">
      <c r="A7" s="823"/>
      <c r="B7" s="824"/>
      <c r="C7" s="514" t="s">
        <v>711</v>
      </c>
      <c r="D7" s="514" t="s">
        <v>712</v>
      </c>
      <c r="E7" s="515" t="s">
        <v>713</v>
      </c>
    </row>
    <row r="8" spans="1:7" s="289" customFormat="1" ht="21" customHeight="1">
      <c r="A8" s="825" t="s">
        <v>714</v>
      </c>
      <c r="B8" s="826"/>
      <c r="C8" s="826"/>
      <c r="D8" s="826"/>
      <c r="E8" s="827"/>
    </row>
    <row r="9" spans="1:7" s="289" customFormat="1" ht="20.25" customHeight="1">
      <c r="A9" s="516">
        <v>1</v>
      </c>
      <c r="B9" s="517"/>
      <c r="C9" s="518"/>
      <c r="D9" s="519"/>
      <c r="E9" s="529" t="str">
        <f>IF(B9="","",C9-D9)</f>
        <v/>
      </c>
    </row>
    <row r="10" spans="1:7" s="289" customFormat="1" ht="20.25" customHeight="1">
      <c r="A10" s="516">
        <v>2</v>
      </c>
      <c r="B10" s="517"/>
      <c r="C10" s="518"/>
      <c r="D10" s="519"/>
      <c r="E10" s="529" t="str">
        <f t="shared" ref="E10:E18" si="0">IF(B10="","",C10-D10)</f>
        <v/>
      </c>
    </row>
    <row r="11" spans="1:7" s="289" customFormat="1" ht="20.25" customHeight="1">
      <c r="A11" s="516">
        <v>3</v>
      </c>
      <c r="B11" s="517"/>
      <c r="C11" s="518"/>
      <c r="D11" s="519"/>
      <c r="E11" s="529" t="str">
        <f t="shared" si="0"/>
        <v/>
      </c>
    </row>
    <row r="12" spans="1:7" s="289" customFormat="1" ht="20.25" customHeight="1">
      <c r="A12" s="516">
        <v>4</v>
      </c>
      <c r="B12" s="517" t="s">
        <v>715</v>
      </c>
      <c r="C12" s="518"/>
      <c r="D12" s="519"/>
      <c r="E12" s="529">
        <f t="shared" si="0"/>
        <v>0</v>
      </c>
    </row>
    <row r="13" spans="1:7" s="289" customFormat="1" ht="20.25" customHeight="1">
      <c r="A13" s="516">
        <v>5</v>
      </c>
      <c r="B13" s="517"/>
      <c r="C13" s="518"/>
      <c r="D13" s="519"/>
      <c r="E13" s="529" t="str">
        <f t="shared" si="0"/>
        <v/>
      </c>
    </row>
    <row r="14" spans="1:7" s="289" customFormat="1" ht="20.25" customHeight="1">
      <c r="A14" s="516">
        <v>6</v>
      </c>
      <c r="B14" s="517"/>
      <c r="C14" s="518"/>
      <c r="D14" s="519"/>
      <c r="E14" s="529" t="str">
        <f t="shared" si="0"/>
        <v/>
      </c>
    </row>
    <row r="15" spans="1:7" s="289" customFormat="1" ht="20.25" customHeight="1">
      <c r="A15" s="516">
        <v>7</v>
      </c>
      <c r="B15" s="517"/>
      <c r="C15" s="518"/>
      <c r="D15" s="519"/>
      <c r="E15" s="529" t="str">
        <f t="shared" si="0"/>
        <v/>
      </c>
    </row>
    <row r="16" spans="1:7" s="289" customFormat="1" ht="20.25" customHeight="1">
      <c r="A16" s="516">
        <v>8</v>
      </c>
      <c r="B16" s="517"/>
      <c r="C16" s="518"/>
      <c r="D16" s="519"/>
      <c r="E16" s="529" t="str">
        <f t="shared" si="0"/>
        <v/>
      </c>
    </row>
    <row r="17" spans="1:5" s="289" customFormat="1" ht="20.25" customHeight="1">
      <c r="A17" s="516">
        <v>9</v>
      </c>
      <c r="B17" s="517"/>
      <c r="C17" s="518"/>
      <c r="D17" s="519"/>
      <c r="E17" s="529" t="str">
        <f t="shared" si="0"/>
        <v/>
      </c>
    </row>
    <row r="18" spans="1:5" s="289" customFormat="1" ht="20.25" customHeight="1">
      <c r="A18" s="516">
        <v>10</v>
      </c>
      <c r="B18" s="517"/>
      <c r="C18" s="518"/>
      <c r="D18" s="519"/>
      <c r="E18" s="529" t="str">
        <f t="shared" si="0"/>
        <v/>
      </c>
    </row>
    <row r="19" spans="1:5" s="289" customFormat="1" ht="20.25" customHeight="1">
      <c r="A19" s="516"/>
      <c r="B19" s="521" t="s">
        <v>716</v>
      </c>
      <c r="C19" s="527">
        <f>SUM(C9:C18)</f>
        <v>0</v>
      </c>
      <c r="D19" s="528">
        <f>SUM(D9:D18)</f>
        <v>0</v>
      </c>
      <c r="E19" s="529">
        <f>SUM(E9:E18)</f>
        <v>0</v>
      </c>
    </row>
    <row r="20" spans="1:5" s="289" customFormat="1" ht="21" customHeight="1">
      <c r="A20" s="817" t="s">
        <v>717</v>
      </c>
      <c r="B20" s="818"/>
      <c r="C20" s="818"/>
      <c r="D20" s="818"/>
      <c r="E20" s="819"/>
    </row>
    <row r="21" spans="1:5" s="289" customFormat="1" ht="20.25" customHeight="1">
      <c r="A21" s="516">
        <v>1</v>
      </c>
      <c r="B21" s="517"/>
      <c r="C21" s="518"/>
      <c r="D21" s="519"/>
      <c r="E21" s="529" t="str">
        <f>IF(B21="","",C21-D21)</f>
        <v/>
      </c>
    </row>
    <row r="22" spans="1:5" s="289" customFormat="1" ht="20.25" customHeight="1">
      <c r="A22" s="516">
        <v>2</v>
      </c>
      <c r="B22" s="517"/>
      <c r="C22" s="518"/>
      <c r="D22" s="519"/>
      <c r="E22" s="529" t="str">
        <f t="shared" ref="E22:E30" si="1">IF(B22="","",C22-D22)</f>
        <v/>
      </c>
    </row>
    <row r="23" spans="1:5" s="289" customFormat="1" ht="20.25" customHeight="1">
      <c r="A23" s="516">
        <v>3</v>
      </c>
      <c r="B23" s="517"/>
      <c r="C23" s="518"/>
      <c r="D23" s="519"/>
      <c r="E23" s="529" t="str">
        <f t="shared" si="1"/>
        <v/>
      </c>
    </row>
    <row r="24" spans="1:5" s="289" customFormat="1" ht="20.25" customHeight="1">
      <c r="A24" s="516">
        <v>4</v>
      </c>
      <c r="B24" s="517"/>
      <c r="C24" s="518"/>
      <c r="D24" s="519"/>
      <c r="E24" s="529" t="str">
        <f t="shared" si="1"/>
        <v/>
      </c>
    </row>
    <row r="25" spans="1:5" s="289" customFormat="1" ht="20.25" customHeight="1">
      <c r="A25" s="516">
        <v>5</v>
      </c>
      <c r="B25" s="517"/>
      <c r="C25" s="518"/>
      <c r="D25" s="519"/>
      <c r="E25" s="529" t="str">
        <f t="shared" si="1"/>
        <v/>
      </c>
    </row>
    <row r="26" spans="1:5" s="289" customFormat="1" ht="20.25" customHeight="1">
      <c r="A26" s="516">
        <v>6</v>
      </c>
      <c r="B26" s="517"/>
      <c r="C26" s="518"/>
      <c r="D26" s="519"/>
      <c r="E26" s="529" t="str">
        <f t="shared" si="1"/>
        <v/>
      </c>
    </row>
    <row r="27" spans="1:5" s="289" customFormat="1" ht="20.25" customHeight="1">
      <c r="A27" s="516">
        <v>7</v>
      </c>
      <c r="B27" s="517"/>
      <c r="C27" s="518"/>
      <c r="D27" s="519"/>
      <c r="E27" s="529" t="str">
        <f t="shared" si="1"/>
        <v/>
      </c>
    </row>
    <row r="28" spans="1:5" s="289" customFormat="1" ht="20.25" customHeight="1">
      <c r="A28" s="516">
        <v>8</v>
      </c>
      <c r="B28" s="517"/>
      <c r="C28" s="518"/>
      <c r="D28" s="519"/>
      <c r="E28" s="529" t="str">
        <f>IF(B28="","",C28-D29)</f>
        <v/>
      </c>
    </row>
    <row r="29" spans="1:5" s="289" customFormat="1" ht="20.25" customHeight="1">
      <c r="A29" s="516">
        <v>9</v>
      </c>
      <c r="B29" s="517"/>
      <c r="C29" s="518"/>
      <c r="D29" s="519"/>
      <c r="E29" s="529" t="str">
        <f>IF(B29="","",C29-#REF!)</f>
        <v/>
      </c>
    </row>
    <row r="30" spans="1:5" s="289" customFormat="1" ht="20.25" customHeight="1">
      <c r="A30" s="516">
        <v>10</v>
      </c>
      <c r="B30" s="517"/>
      <c r="C30" s="518"/>
      <c r="D30" s="519"/>
      <c r="E30" s="529" t="str">
        <f t="shared" si="1"/>
        <v/>
      </c>
    </row>
    <row r="31" spans="1:5" s="523" customFormat="1" ht="39.950000000000003" customHeight="1" thickBot="1">
      <c r="A31" s="516"/>
      <c r="B31" s="522" t="s">
        <v>718</v>
      </c>
      <c r="C31" s="527">
        <f>SUM(C21:C30)</f>
        <v>0</v>
      </c>
      <c r="D31" s="528">
        <f>SUM(D21:D30)</f>
        <v>0</v>
      </c>
      <c r="E31" s="529">
        <f>SUM(E21:E30)</f>
        <v>0</v>
      </c>
    </row>
    <row r="32" spans="1:5" ht="30" customHeight="1" thickBot="1">
      <c r="A32" s="524"/>
      <c r="B32" s="525" t="s">
        <v>719</v>
      </c>
      <c r="C32" s="530">
        <f>SUM(C19,C31)</f>
        <v>0</v>
      </c>
      <c r="D32" s="530">
        <f t="shared" ref="D32:E32" si="2">SUM(D19,D31)</f>
        <v>0</v>
      </c>
      <c r="E32" s="531">
        <f t="shared" si="2"/>
        <v>0</v>
      </c>
    </row>
    <row r="33" spans="1:10">
      <c r="A33" s="82" t="s">
        <v>66</v>
      </c>
      <c r="J33" s="526"/>
    </row>
  </sheetData>
  <sheetProtection sheet="1" objects="1" scenarios="1" insertHyperlinks="0" selectLockedCells="1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18">
    <tabColor theme="5" tint="-0.249977111117893"/>
  </sheetPr>
  <dimension ref="A1:I34"/>
  <sheetViews>
    <sheetView topLeftCell="A4" workbookViewId="0">
      <selection activeCell="C14" sqref="C14"/>
    </sheetView>
  </sheetViews>
  <sheetFormatPr baseColWidth="10" defaultColWidth="11.42578125" defaultRowHeight="16.5"/>
  <cols>
    <col min="1" max="1" width="4.85546875" style="172" customWidth="1"/>
    <col min="2" max="2" width="41" style="141" customWidth="1"/>
    <col min="3" max="4" width="25.7109375" style="141" customWidth="1"/>
    <col min="5" max="16384" width="11.42578125" style="141"/>
  </cols>
  <sheetData>
    <row r="1" spans="1:6">
      <c r="A1" s="532"/>
      <c r="B1" s="816" t="s">
        <v>0</v>
      </c>
      <c r="C1" s="816"/>
      <c r="D1" s="816"/>
    </row>
    <row r="2" spans="1:6">
      <c r="A2" s="141"/>
      <c r="B2" s="820" t="s">
        <v>720</v>
      </c>
      <c r="C2" s="820"/>
      <c r="D2" s="820"/>
      <c r="F2" s="509"/>
    </row>
    <row r="3" spans="1:6">
      <c r="B3" s="735" t="s">
        <v>3</v>
      </c>
      <c r="C3" s="735"/>
      <c r="D3" s="735"/>
    </row>
    <row r="4" spans="1:6">
      <c r="B4" s="735" t="s">
        <v>317</v>
      </c>
      <c r="C4" s="735"/>
      <c r="D4" s="735"/>
    </row>
    <row r="5" spans="1:6">
      <c r="A5" s="719"/>
      <c r="B5" s="820" t="s">
        <v>721</v>
      </c>
      <c r="C5" s="820"/>
      <c r="D5" s="360" t="s">
        <v>722</v>
      </c>
    </row>
    <row r="6" spans="1:6" ht="6.75" customHeight="1" thickBot="1"/>
    <row r="7" spans="1:6" s="289" customFormat="1" ht="30" customHeight="1">
      <c r="A7" s="821" t="s">
        <v>708</v>
      </c>
      <c r="B7" s="822"/>
      <c r="C7" s="828" t="s">
        <v>723</v>
      </c>
      <c r="D7" s="830" t="s">
        <v>724</v>
      </c>
    </row>
    <row r="8" spans="1:6" s="289" customFormat="1" ht="4.5" customHeight="1" thickBot="1">
      <c r="A8" s="823"/>
      <c r="B8" s="824"/>
      <c r="C8" s="829"/>
      <c r="D8" s="831"/>
    </row>
    <row r="9" spans="1:6" s="289" customFormat="1" ht="21" customHeight="1">
      <c r="A9" s="825" t="s">
        <v>714</v>
      </c>
      <c r="B9" s="826"/>
      <c r="C9" s="826"/>
      <c r="D9" s="827"/>
    </row>
    <row r="10" spans="1:6" s="289" customFormat="1" ht="20.25" customHeight="1">
      <c r="A10" s="516">
        <v>1</v>
      </c>
      <c r="B10" s="517"/>
      <c r="C10" s="533"/>
      <c r="D10" s="534"/>
    </row>
    <row r="11" spans="1:6" s="289" customFormat="1" ht="20.25" customHeight="1">
      <c r="A11" s="516">
        <v>2</v>
      </c>
      <c r="B11" s="517"/>
      <c r="C11" s="533"/>
      <c r="D11" s="534"/>
    </row>
    <row r="12" spans="1:6" s="289" customFormat="1" ht="20.25" customHeight="1">
      <c r="A12" s="516">
        <v>3</v>
      </c>
      <c r="B12" s="517"/>
      <c r="C12" s="533"/>
      <c r="D12" s="534"/>
    </row>
    <row r="13" spans="1:6" s="289" customFormat="1" ht="20.25" customHeight="1">
      <c r="A13" s="516">
        <v>4</v>
      </c>
      <c r="B13" s="517"/>
      <c r="C13" s="533"/>
      <c r="D13" s="534"/>
    </row>
    <row r="14" spans="1:6" s="289" customFormat="1" ht="20.25" customHeight="1">
      <c r="A14" s="516">
        <v>5</v>
      </c>
      <c r="B14" s="517" t="s">
        <v>715</v>
      </c>
      <c r="C14" s="533"/>
      <c r="D14" s="534"/>
    </row>
    <row r="15" spans="1:6" s="289" customFormat="1" ht="20.25" customHeight="1">
      <c r="A15" s="516">
        <v>6</v>
      </c>
      <c r="B15" s="517"/>
      <c r="C15" s="533"/>
      <c r="D15" s="534"/>
    </row>
    <row r="16" spans="1:6" s="289" customFormat="1" ht="20.25" customHeight="1">
      <c r="A16" s="516">
        <v>7</v>
      </c>
      <c r="B16" s="517"/>
      <c r="C16" s="533"/>
      <c r="D16" s="534"/>
    </row>
    <row r="17" spans="1:4" s="289" customFormat="1" ht="20.25" customHeight="1">
      <c r="A17" s="516">
        <v>8</v>
      </c>
      <c r="B17" s="517"/>
      <c r="C17" s="533"/>
      <c r="D17" s="534"/>
    </row>
    <row r="18" spans="1:4" s="289" customFormat="1" ht="20.25" customHeight="1">
      <c r="A18" s="516">
        <v>9</v>
      </c>
      <c r="B18" s="517"/>
      <c r="C18" s="533"/>
      <c r="D18" s="534"/>
    </row>
    <row r="19" spans="1:4" s="289" customFormat="1" ht="20.25" customHeight="1">
      <c r="A19" s="516">
        <v>10</v>
      </c>
      <c r="B19" s="517"/>
      <c r="C19" s="533"/>
      <c r="D19" s="534"/>
    </row>
    <row r="20" spans="1:4" s="289" customFormat="1" ht="20.25" customHeight="1">
      <c r="A20" s="516"/>
      <c r="B20" s="521" t="s">
        <v>725</v>
      </c>
      <c r="C20" s="527">
        <f>SUM(C10:C19)</f>
        <v>0</v>
      </c>
      <c r="D20" s="529">
        <f>SUM(D10:D19)</f>
        <v>0</v>
      </c>
    </row>
    <row r="21" spans="1:4" s="289" customFormat="1" ht="21" customHeight="1">
      <c r="A21" s="817" t="s">
        <v>717</v>
      </c>
      <c r="B21" s="818"/>
      <c r="C21" s="818"/>
      <c r="D21" s="819"/>
    </row>
    <row r="22" spans="1:4" s="289" customFormat="1" ht="20.25" customHeight="1">
      <c r="A22" s="516">
        <v>1</v>
      </c>
      <c r="B22" s="517"/>
      <c r="C22" s="533"/>
      <c r="D22" s="534"/>
    </row>
    <row r="23" spans="1:4" s="289" customFormat="1" ht="20.25" customHeight="1">
      <c r="A23" s="516">
        <v>2</v>
      </c>
      <c r="B23" s="517"/>
      <c r="C23" s="533"/>
      <c r="D23" s="534"/>
    </row>
    <row r="24" spans="1:4" s="289" customFormat="1" ht="20.25" customHeight="1">
      <c r="A24" s="516">
        <v>3</v>
      </c>
      <c r="B24" s="517"/>
      <c r="C24" s="533"/>
      <c r="D24" s="534"/>
    </row>
    <row r="25" spans="1:4" s="289" customFormat="1" ht="20.25" customHeight="1">
      <c r="A25" s="516">
        <v>4</v>
      </c>
      <c r="B25" s="517"/>
      <c r="C25" s="533"/>
      <c r="D25" s="534"/>
    </row>
    <row r="26" spans="1:4" s="289" customFormat="1" ht="20.25" customHeight="1">
      <c r="A26" s="516">
        <v>5</v>
      </c>
      <c r="B26" s="517"/>
      <c r="C26" s="533"/>
      <c r="D26" s="534"/>
    </row>
    <row r="27" spans="1:4" s="289" customFormat="1" ht="20.25" customHeight="1">
      <c r="A27" s="516">
        <v>6</v>
      </c>
      <c r="B27" s="517"/>
      <c r="C27" s="533"/>
      <c r="D27" s="534"/>
    </row>
    <row r="28" spans="1:4" s="289" customFormat="1" ht="20.25" customHeight="1">
      <c r="A28" s="516">
        <v>7</v>
      </c>
      <c r="B28" s="517"/>
      <c r="C28" s="533"/>
      <c r="D28" s="534"/>
    </row>
    <row r="29" spans="1:4" s="289" customFormat="1" ht="20.25" customHeight="1">
      <c r="A29" s="516">
        <v>8</v>
      </c>
      <c r="B29" s="517"/>
      <c r="C29" s="533"/>
      <c r="D29" s="534"/>
    </row>
    <row r="30" spans="1:4" s="289" customFormat="1" ht="20.25" customHeight="1">
      <c r="A30" s="516">
        <v>9</v>
      </c>
      <c r="B30" s="517"/>
      <c r="C30" s="533"/>
      <c r="D30" s="534"/>
    </row>
    <row r="31" spans="1:4" s="289" customFormat="1" ht="20.25" customHeight="1">
      <c r="A31" s="516">
        <v>10</v>
      </c>
      <c r="B31" s="517"/>
      <c r="C31" s="533"/>
      <c r="D31" s="534"/>
    </row>
    <row r="32" spans="1:4" s="523" customFormat="1" ht="39.950000000000003" customHeight="1" thickBot="1">
      <c r="A32" s="516"/>
      <c r="B32" s="522" t="s">
        <v>726</v>
      </c>
      <c r="C32" s="527">
        <f>SUM(C22:C31)</f>
        <v>0</v>
      </c>
      <c r="D32" s="529">
        <f>SUM(D22:D31)</f>
        <v>0</v>
      </c>
    </row>
    <row r="33" spans="1:9" ht="30" customHeight="1" thickBot="1">
      <c r="A33" s="524"/>
      <c r="B33" s="525" t="s">
        <v>719</v>
      </c>
      <c r="C33" s="530">
        <f>SUM(C32,C20)</f>
        <v>0</v>
      </c>
      <c r="D33" s="535">
        <f>SUM(D32,D20)</f>
        <v>0</v>
      </c>
    </row>
    <row r="34" spans="1:9">
      <c r="A34" s="82" t="s">
        <v>66</v>
      </c>
      <c r="I34" s="526"/>
    </row>
  </sheetData>
  <sheetProtection sheet="1" objects="1" scenarios="1" insertHyperlinks="0" selectLockedCells="1"/>
  <mergeCells count="10">
    <mergeCell ref="B1:D1"/>
    <mergeCell ref="B2:D2"/>
    <mergeCell ref="B3:D3"/>
    <mergeCell ref="B4:D4"/>
    <mergeCell ref="B5:C5"/>
    <mergeCell ref="A7:B8"/>
    <mergeCell ref="A9:D9"/>
    <mergeCell ref="A21:D21"/>
    <mergeCell ref="C7:C8"/>
    <mergeCell ref="D7:D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40"/>
  <sheetViews>
    <sheetView zoomScaleSheetLayoutView="100" workbookViewId="0">
      <selection activeCell="A4" sqref="A4:H4"/>
    </sheetView>
  </sheetViews>
  <sheetFormatPr baseColWidth="10" defaultColWidth="11.42578125" defaultRowHeight="15"/>
  <cols>
    <col min="1" max="1" width="47.5703125" style="555" bestFit="1" customWidth="1"/>
    <col min="2" max="16384" width="11.42578125" style="536"/>
  </cols>
  <sheetData>
    <row r="1" spans="1:8" ht="16.5" customHeight="1">
      <c r="A1" s="832" t="s">
        <v>0</v>
      </c>
      <c r="B1" s="832"/>
      <c r="C1" s="832"/>
      <c r="D1" s="832"/>
      <c r="E1" s="832"/>
      <c r="F1" s="832"/>
      <c r="G1" s="832"/>
      <c r="H1" s="832"/>
    </row>
    <row r="2" spans="1:8" ht="16.5" customHeight="1">
      <c r="A2" s="832" t="s">
        <v>727</v>
      </c>
      <c r="B2" s="832"/>
      <c r="C2" s="832"/>
      <c r="D2" s="832"/>
      <c r="E2" s="832"/>
      <c r="F2" s="832"/>
      <c r="G2" s="832"/>
      <c r="H2" s="832"/>
    </row>
    <row r="3" spans="1:8" ht="16.5">
      <c r="A3" s="833" t="s">
        <v>3</v>
      </c>
      <c r="B3" s="833"/>
      <c r="C3" s="833"/>
      <c r="D3" s="833"/>
      <c r="E3" s="833"/>
      <c r="F3" s="833"/>
      <c r="G3" s="833"/>
      <c r="H3" s="833"/>
    </row>
    <row r="4" spans="1:8" ht="16.5">
      <c r="A4" s="833" t="s">
        <v>317</v>
      </c>
      <c r="B4" s="833"/>
      <c r="C4" s="833"/>
      <c r="D4" s="833"/>
      <c r="E4" s="833"/>
      <c r="F4" s="833"/>
      <c r="G4" s="833"/>
      <c r="H4" s="833"/>
    </row>
    <row r="5" spans="1:8" ht="17.25" thickBot="1">
      <c r="A5" s="537"/>
      <c r="B5" s="747" t="s">
        <v>5</v>
      </c>
      <c r="C5" s="747"/>
      <c r="D5" s="747"/>
      <c r="E5" s="232"/>
      <c r="F5" s="84" t="s">
        <v>6</v>
      </c>
      <c r="G5" s="834" t="s">
        <v>318</v>
      </c>
      <c r="H5" s="834"/>
    </row>
    <row r="6" spans="1:8" ht="38.25">
      <c r="A6" s="801" t="s">
        <v>132</v>
      </c>
      <c r="B6" s="286" t="s">
        <v>320</v>
      </c>
      <c r="C6" s="286" t="s">
        <v>321</v>
      </c>
      <c r="D6" s="286" t="s">
        <v>322</v>
      </c>
      <c r="E6" s="287" t="s">
        <v>323</v>
      </c>
      <c r="F6" s="287" t="s">
        <v>324</v>
      </c>
      <c r="G6" s="286" t="s">
        <v>325</v>
      </c>
      <c r="H6" s="288" t="s">
        <v>521</v>
      </c>
    </row>
    <row r="7" spans="1:8" ht="15.75" thickBot="1">
      <c r="A7" s="802"/>
      <c r="B7" s="439" t="s">
        <v>268</v>
      </c>
      <c r="C7" s="439" t="s">
        <v>269</v>
      </c>
      <c r="D7" s="439" t="s">
        <v>326</v>
      </c>
      <c r="E7" s="538" t="s">
        <v>271</v>
      </c>
      <c r="F7" s="538" t="s">
        <v>272</v>
      </c>
      <c r="G7" s="439" t="s">
        <v>327</v>
      </c>
      <c r="H7" s="440" t="s">
        <v>522</v>
      </c>
    </row>
    <row r="8" spans="1:8" ht="16.5">
      <c r="A8" s="556"/>
      <c r="B8" s="539"/>
      <c r="C8" s="539"/>
      <c r="D8" s="539"/>
      <c r="E8" s="539"/>
      <c r="F8" s="539"/>
      <c r="G8" s="539"/>
      <c r="H8" s="540"/>
    </row>
    <row r="9" spans="1:8" s="544" customFormat="1">
      <c r="A9" s="541" t="s">
        <v>728</v>
      </c>
      <c r="B9" s="542"/>
      <c r="C9" s="542"/>
      <c r="D9" s="542"/>
      <c r="E9" s="542"/>
      <c r="F9" s="542"/>
      <c r="G9" s="542"/>
      <c r="H9" s="543"/>
    </row>
    <row r="10" spans="1:8" s="548" customFormat="1">
      <c r="A10" s="545" t="s">
        <v>729</v>
      </c>
      <c r="B10" s="546">
        <f t="shared" ref="B10:G10" si="0">SUM(B11:B13)</f>
        <v>0</v>
      </c>
      <c r="C10" s="546">
        <f t="shared" si="0"/>
        <v>0</v>
      </c>
      <c r="D10" s="546">
        <f t="shared" si="0"/>
        <v>0</v>
      </c>
      <c r="E10" s="546">
        <f t="shared" si="0"/>
        <v>0</v>
      </c>
      <c r="F10" s="546">
        <f t="shared" si="0"/>
        <v>0</v>
      </c>
      <c r="G10" s="546">
        <f t="shared" si="0"/>
        <v>0</v>
      </c>
      <c r="H10" s="547">
        <f t="shared" ref="H10:H39" si="1">IF(D10&lt;&gt;0,(E10/D10)*100,0)</f>
        <v>0</v>
      </c>
    </row>
    <row r="11" spans="1:8" s="551" customFormat="1">
      <c r="A11" s="557" t="s">
        <v>730</v>
      </c>
      <c r="B11" s="549"/>
      <c r="C11" s="549"/>
      <c r="D11" s="549">
        <f t="shared" ref="D11:D13" si="2">B11+C11</f>
        <v>0</v>
      </c>
      <c r="E11" s="549"/>
      <c r="F11" s="549"/>
      <c r="G11" s="549">
        <f>D11-E11</f>
        <v>0</v>
      </c>
      <c r="H11" s="550">
        <f t="shared" si="1"/>
        <v>0</v>
      </c>
    </row>
    <row r="12" spans="1:8" s="551" customFormat="1">
      <c r="A12" s="557" t="s">
        <v>731</v>
      </c>
      <c r="B12" s="549"/>
      <c r="C12" s="549"/>
      <c r="D12" s="549">
        <f t="shared" si="2"/>
        <v>0</v>
      </c>
      <c r="E12" s="549"/>
      <c r="F12" s="549"/>
      <c r="G12" s="549">
        <f t="shared" ref="G12:G13" si="3">D12-E12</f>
        <v>0</v>
      </c>
      <c r="H12" s="550">
        <f t="shared" si="1"/>
        <v>0</v>
      </c>
    </row>
    <row r="13" spans="1:8" s="551" customFormat="1">
      <c r="A13" s="557" t="s">
        <v>732</v>
      </c>
      <c r="B13" s="549"/>
      <c r="C13" s="549"/>
      <c r="D13" s="549">
        <f t="shared" si="2"/>
        <v>0</v>
      </c>
      <c r="E13" s="549"/>
      <c r="F13" s="549"/>
      <c r="G13" s="549">
        <f t="shared" si="3"/>
        <v>0</v>
      </c>
      <c r="H13" s="550">
        <f t="shared" si="1"/>
        <v>0</v>
      </c>
    </row>
    <row r="14" spans="1:8" s="548" customFormat="1">
      <c r="A14" s="545" t="s">
        <v>733</v>
      </c>
      <c r="B14" s="546">
        <f t="shared" ref="B14:G14" si="4">SUM(B15:B22)</f>
        <v>3205583242.04</v>
      </c>
      <c r="C14" s="546">
        <f t="shared" si="4"/>
        <v>246846120.17999998</v>
      </c>
      <c r="D14" s="546">
        <f t="shared" si="4"/>
        <v>3452429362.2199998</v>
      </c>
      <c r="E14" s="546">
        <f t="shared" si="4"/>
        <v>23640514.119999997</v>
      </c>
      <c r="F14" s="546">
        <f t="shared" si="4"/>
        <v>438558973.56</v>
      </c>
      <c r="G14" s="546">
        <f t="shared" si="4"/>
        <v>3428788848.0999999</v>
      </c>
      <c r="H14" s="547">
        <f t="shared" si="1"/>
        <v>0.6847501176620322</v>
      </c>
    </row>
    <row r="15" spans="1:8" s="551" customFormat="1">
      <c r="A15" s="557" t="s">
        <v>734</v>
      </c>
      <c r="B15" s="549">
        <v>2921618768.3800001</v>
      </c>
      <c r="C15" s="549">
        <v>84605322.489999995</v>
      </c>
      <c r="D15" s="549">
        <f>B15+C15</f>
        <v>3006224090.8699999</v>
      </c>
      <c r="E15" s="549">
        <v>17474851.459999997</v>
      </c>
      <c r="F15" s="549">
        <v>368029696.53999996</v>
      </c>
      <c r="G15" s="549">
        <f>D15-E15</f>
        <v>2988749239.4099998</v>
      </c>
      <c r="H15" s="550">
        <f t="shared" si="1"/>
        <v>0.58128905004359754</v>
      </c>
    </row>
    <row r="16" spans="1:8" s="551" customFormat="1">
      <c r="A16" s="557" t="s">
        <v>735</v>
      </c>
      <c r="B16" s="549"/>
      <c r="C16" s="549"/>
      <c r="D16" s="549">
        <f t="shared" ref="D16:D22" si="5">B16+C16</f>
        <v>0</v>
      </c>
      <c r="E16" s="549"/>
      <c r="F16" s="549"/>
      <c r="G16" s="549">
        <f t="shared" ref="G16:G39" si="6">D16-E16</f>
        <v>0</v>
      </c>
      <c r="H16" s="550">
        <f t="shared" si="1"/>
        <v>0</v>
      </c>
    </row>
    <row r="17" spans="1:8" s="551" customFormat="1">
      <c r="A17" s="557" t="s">
        <v>736</v>
      </c>
      <c r="B17" s="549">
        <v>200905463.66</v>
      </c>
      <c r="C17" s="549">
        <v>-7041168.3899999997</v>
      </c>
      <c r="D17" s="549">
        <f t="shared" si="5"/>
        <v>193864295.27000001</v>
      </c>
      <c r="E17" s="549">
        <v>3137871.52</v>
      </c>
      <c r="F17" s="549">
        <v>35038526.049999997</v>
      </c>
      <c r="G17" s="549">
        <f t="shared" si="6"/>
        <v>190726423.75</v>
      </c>
      <c r="H17" s="550">
        <f t="shared" si="1"/>
        <v>1.6185917657657396</v>
      </c>
    </row>
    <row r="18" spans="1:8" s="551" customFormat="1">
      <c r="A18" s="557" t="s">
        <v>737</v>
      </c>
      <c r="B18" s="549"/>
      <c r="C18" s="549"/>
      <c r="D18" s="549">
        <f t="shared" si="5"/>
        <v>0</v>
      </c>
      <c r="E18" s="549"/>
      <c r="F18" s="549"/>
      <c r="G18" s="549">
        <f t="shared" si="6"/>
        <v>0</v>
      </c>
      <c r="H18" s="550">
        <f t="shared" si="1"/>
        <v>0</v>
      </c>
    </row>
    <row r="19" spans="1:8" s="551" customFormat="1">
      <c r="A19" s="557" t="s">
        <v>738</v>
      </c>
      <c r="B19" s="549">
        <v>75003874</v>
      </c>
      <c r="C19" s="549">
        <v>18786025.949999988</v>
      </c>
      <c r="D19" s="549">
        <f t="shared" si="5"/>
        <v>93789899.949999988</v>
      </c>
      <c r="E19" s="549">
        <v>266134.36</v>
      </c>
      <c r="F19" s="549">
        <v>21858687.859999999</v>
      </c>
      <c r="G19" s="549">
        <f t="shared" si="6"/>
        <v>93523765.589999989</v>
      </c>
      <c r="H19" s="550">
        <f t="shared" si="1"/>
        <v>0.28375588431363929</v>
      </c>
    </row>
    <row r="20" spans="1:8" s="551" customFormat="1" ht="27">
      <c r="A20" s="557" t="s">
        <v>739</v>
      </c>
      <c r="B20" s="549"/>
      <c r="C20" s="549"/>
      <c r="D20" s="549">
        <f t="shared" si="5"/>
        <v>0</v>
      </c>
      <c r="E20" s="549"/>
      <c r="F20" s="549"/>
      <c r="G20" s="549">
        <f t="shared" si="6"/>
        <v>0</v>
      </c>
      <c r="H20" s="550">
        <f t="shared" si="1"/>
        <v>0</v>
      </c>
    </row>
    <row r="21" spans="1:8" s="551" customFormat="1">
      <c r="A21" s="557" t="s">
        <v>740</v>
      </c>
      <c r="B21" s="549"/>
      <c r="C21" s="549"/>
      <c r="D21" s="549">
        <f t="shared" si="5"/>
        <v>0</v>
      </c>
      <c r="E21" s="549"/>
      <c r="F21" s="549"/>
      <c r="G21" s="549">
        <f t="shared" si="6"/>
        <v>0</v>
      </c>
      <c r="H21" s="550">
        <f t="shared" si="1"/>
        <v>0</v>
      </c>
    </row>
    <row r="22" spans="1:8" s="551" customFormat="1">
      <c r="A22" s="557" t="s">
        <v>741</v>
      </c>
      <c r="B22" s="549">
        <v>8055136</v>
      </c>
      <c r="C22" s="549">
        <v>150495940.13</v>
      </c>
      <c r="D22" s="549">
        <f t="shared" si="5"/>
        <v>158551076.13</v>
      </c>
      <c r="E22" s="549">
        <v>2761656.7800000003</v>
      </c>
      <c r="F22" s="549">
        <v>13632063.109999999</v>
      </c>
      <c r="G22" s="549">
        <f t="shared" si="6"/>
        <v>155789419.34999999</v>
      </c>
      <c r="H22" s="550">
        <f t="shared" si="1"/>
        <v>1.7418089157185215</v>
      </c>
    </row>
    <row r="23" spans="1:8" s="548" customFormat="1">
      <c r="A23" s="545" t="s">
        <v>742</v>
      </c>
      <c r="B23" s="546">
        <f t="shared" ref="B23:G23" si="7">SUM(B24:B26)</f>
        <v>490641812.93000001</v>
      </c>
      <c r="C23" s="546">
        <f t="shared" si="7"/>
        <v>-24741036.259999964</v>
      </c>
      <c r="D23" s="546">
        <f t="shared" si="7"/>
        <v>465900776.67000002</v>
      </c>
      <c r="E23" s="546">
        <f t="shared" si="7"/>
        <v>740556.61</v>
      </c>
      <c r="F23" s="546">
        <f t="shared" si="7"/>
        <v>82524950.249999985</v>
      </c>
      <c r="G23" s="546">
        <f t="shared" si="7"/>
        <v>465160220.06</v>
      </c>
      <c r="H23" s="547">
        <f t="shared" si="1"/>
        <v>0.15895157232685622</v>
      </c>
    </row>
    <row r="24" spans="1:8" s="551" customFormat="1" ht="27">
      <c r="A24" s="557" t="s">
        <v>743</v>
      </c>
      <c r="B24" s="549">
        <v>489189347.93000001</v>
      </c>
      <c r="C24" s="549">
        <v>-25789264.099999964</v>
      </c>
      <c r="D24" s="549">
        <f>B24+C24</f>
        <v>463400083.83000004</v>
      </c>
      <c r="E24" s="549">
        <v>701316.61</v>
      </c>
      <c r="F24" s="549">
        <v>81253839.149999991</v>
      </c>
      <c r="G24" s="549">
        <f t="shared" si="6"/>
        <v>462698767.22000003</v>
      </c>
      <c r="H24" s="550">
        <f t="shared" si="1"/>
        <v>0.15134149398584928</v>
      </c>
    </row>
    <row r="25" spans="1:8" s="551" customFormat="1">
      <c r="A25" s="557" t="s">
        <v>744</v>
      </c>
      <c r="B25" s="549">
        <v>1452465</v>
      </c>
      <c r="C25" s="549">
        <v>1048227.8399999999</v>
      </c>
      <c r="D25" s="549">
        <f>B25+C25</f>
        <v>2500692.84</v>
      </c>
      <c r="E25" s="549">
        <v>39240</v>
      </c>
      <c r="F25" s="549">
        <v>1271111.1000000001</v>
      </c>
      <c r="G25" s="549">
        <f t="shared" si="6"/>
        <v>2461452.84</v>
      </c>
      <c r="H25" s="550">
        <f t="shared" si="1"/>
        <v>1.5691651278531276</v>
      </c>
    </row>
    <row r="26" spans="1:8" s="551" customFormat="1">
      <c r="A26" s="557" t="s">
        <v>745</v>
      </c>
      <c r="B26" s="549"/>
      <c r="C26" s="549"/>
      <c r="D26" s="549">
        <f>B26+C26</f>
        <v>0</v>
      </c>
      <c r="E26" s="549"/>
      <c r="F26" s="549"/>
      <c r="G26" s="549">
        <f t="shared" si="6"/>
        <v>0</v>
      </c>
      <c r="H26" s="550">
        <f t="shared" si="1"/>
        <v>0</v>
      </c>
    </row>
    <row r="27" spans="1:8" s="548" customFormat="1">
      <c r="A27" s="545" t="s">
        <v>746</v>
      </c>
      <c r="B27" s="546"/>
      <c r="C27" s="546"/>
      <c r="D27" s="546">
        <f>SUM(D28:D29)</f>
        <v>0</v>
      </c>
      <c r="E27" s="546"/>
      <c r="F27" s="546"/>
      <c r="G27" s="546">
        <f>SUM(G28:G29)</f>
        <v>0</v>
      </c>
      <c r="H27" s="547">
        <f t="shared" si="1"/>
        <v>0</v>
      </c>
    </row>
    <row r="28" spans="1:8" s="551" customFormat="1">
      <c r="A28" s="557" t="s">
        <v>747</v>
      </c>
      <c r="B28" s="549"/>
      <c r="C28" s="549"/>
      <c r="D28" s="549">
        <f t="shared" ref="D28:D29" si="8">B28+C28</f>
        <v>0</v>
      </c>
      <c r="E28" s="549"/>
      <c r="F28" s="549"/>
      <c r="G28" s="549">
        <f t="shared" si="6"/>
        <v>0</v>
      </c>
      <c r="H28" s="550">
        <f t="shared" si="1"/>
        <v>0</v>
      </c>
    </row>
    <row r="29" spans="1:8" s="551" customFormat="1">
      <c r="A29" s="557" t="s">
        <v>748</v>
      </c>
      <c r="B29" s="549"/>
      <c r="C29" s="549"/>
      <c r="D29" s="549">
        <f t="shared" si="8"/>
        <v>0</v>
      </c>
      <c r="E29" s="549"/>
      <c r="F29" s="549"/>
      <c r="G29" s="549">
        <f t="shared" si="6"/>
        <v>0</v>
      </c>
      <c r="H29" s="550">
        <f t="shared" si="1"/>
        <v>0</v>
      </c>
    </row>
    <row r="30" spans="1:8" s="548" customFormat="1">
      <c r="A30" s="545" t="s">
        <v>749</v>
      </c>
      <c r="B30" s="546"/>
      <c r="C30" s="546"/>
      <c r="D30" s="546">
        <f>SUM(D31:D34)</f>
        <v>0</v>
      </c>
      <c r="E30" s="546"/>
      <c r="F30" s="546"/>
      <c r="G30" s="546">
        <f>SUM(G31:G34)</f>
        <v>0</v>
      </c>
      <c r="H30" s="547">
        <f t="shared" si="1"/>
        <v>0</v>
      </c>
    </row>
    <row r="31" spans="1:8" s="551" customFormat="1">
      <c r="A31" s="557" t="s">
        <v>103</v>
      </c>
      <c r="B31" s="549"/>
      <c r="C31" s="549"/>
      <c r="D31" s="549">
        <f t="shared" ref="D31:D34" si="9">B31+C31</f>
        <v>0</v>
      </c>
      <c r="E31" s="549"/>
      <c r="F31" s="549"/>
      <c r="G31" s="549">
        <f t="shared" si="6"/>
        <v>0</v>
      </c>
      <c r="H31" s="550">
        <f t="shared" si="1"/>
        <v>0</v>
      </c>
    </row>
    <row r="32" spans="1:8" s="551" customFormat="1">
      <c r="A32" s="557" t="s">
        <v>750</v>
      </c>
      <c r="B32" s="549"/>
      <c r="C32" s="549"/>
      <c r="D32" s="549">
        <f t="shared" si="9"/>
        <v>0</v>
      </c>
      <c r="E32" s="549"/>
      <c r="F32" s="549"/>
      <c r="G32" s="549">
        <f t="shared" si="6"/>
        <v>0</v>
      </c>
      <c r="H32" s="550">
        <f t="shared" si="1"/>
        <v>0</v>
      </c>
    </row>
    <row r="33" spans="1:8" s="551" customFormat="1">
      <c r="A33" s="557" t="s">
        <v>751</v>
      </c>
      <c r="B33" s="549"/>
      <c r="C33" s="549"/>
      <c r="D33" s="549">
        <f t="shared" si="9"/>
        <v>0</v>
      </c>
      <c r="E33" s="549"/>
      <c r="F33" s="549"/>
      <c r="G33" s="549">
        <f t="shared" si="6"/>
        <v>0</v>
      </c>
      <c r="H33" s="550">
        <f t="shared" si="1"/>
        <v>0</v>
      </c>
    </row>
    <row r="34" spans="1:8" s="551" customFormat="1">
      <c r="A34" s="557" t="s">
        <v>752</v>
      </c>
      <c r="B34" s="549"/>
      <c r="C34" s="549"/>
      <c r="D34" s="549">
        <f t="shared" si="9"/>
        <v>0</v>
      </c>
      <c r="E34" s="549"/>
      <c r="F34" s="549"/>
      <c r="G34" s="549">
        <f t="shared" si="6"/>
        <v>0</v>
      </c>
      <c r="H34" s="550">
        <f t="shared" si="1"/>
        <v>0</v>
      </c>
    </row>
    <row r="35" spans="1:8" s="548" customFormat="1">
      <c r="A35" s="545" t="s">
        <v>753</v>
      </c>
      <c r="B35" s="546"/>
      <c r="C35" s="546"/>
      <c r="D35" s="546">
        <f>D36</f>
        <v>0</v>
      </c>
      <c r="E35" s="546"/>
      <c r="F35" s="546"/>
      <c r="G35" s="546">
        <f>G36</f>
        <v>0</v>
      </c>
      <c r="H35" s="547">
        <f t="shared" si="1"/>
        <v>0</v>
      </c>
    </row>
    <row r="36" spans="1:8" s="551" customFormat="1">
      <c r="A36" s="557" t="s">
        <v>754</v>
      </c>
      <c r="B36" s="549"/>
      <c r="C36" s="549"/>
      <c r="D36" s="549">
        <f>B36+C36</f>
        <v>0</v>
      </c>
      <c r="E36" s="549"/>
      <c r="F36" s="549"/>
      <c r="G36" s="549">
        <f t="shared" si="6"/>
        <v>0</v>
      </c>
      <c r="H36" s="550">
        <f t="shared" si="1"/>
        <v>0</v>
      </c>
    </row>
    <row r="37" spans="1:8" s="548" customFormat="1">
      <c r="A37" s="545" t="s">
        <v>755</v>
      </c>
      <c r="B37" s="546"/>
      <c r="C37" s="546"/>
      <c r="D37" s="546">
        <f>B37-C37</f>
        <v>0</v>
      </c>
      <c r="E37" s="546"/>
      <c r="F37" s="546"/>
      <c r="G37" s="546">
        <f t="shared" si="6"/>
        <v>0</v>
      </c>
      <c r="H37" s="547">
        <f t="shared" si="1"/>
        <v>0</v>
      </c>
    </row>
    <row r="38" spans="1:8" s="548" customFormat="1" ht="27">
      <c r="A38" s="545" t="s">
        <v>756</v>
      </c>
      <c r="B38" s="546"/>
      <c r="C38" s="546"/>
      <c r="D38" s="546">
        <f t="shared" ref="D38:D39" si="10">B38-C38</f>
        <v>0</v>
      </c>
      <c r="E38" s="546"/>
      <c r="F38" s="546"/>
      <c r="G38" s="546">
        <f t="shared" si="6"/>
        <v>0</v>
      </c>
      <c r="H38" s="547">
        <f t="shared" si="1"/>
        <v>0</v>
      </c>
    </row>
    <row r="39" spans="1:8" s="548" customFormat="1" ht="15.75" thickBot="1">
      <c r="A39" s="545" t="s">
        <v>757</v>
      </c>
      <c r="B39" s="546"/>
      <c r="C39" s="546"/>
      <c r="D39" s="546">
        <f t="shared" si="10"/>
        <v>0</v>
      </c>
      <c r="E39" s="546"/>
      <c r="F39" s="546"/>
      <c r="G39" s="546">
        <f t="shared" si="6"/>
        <v>0</v>
      </c>
      <c r="H39" s="552">
        <f t="shared" si="1"/>
        <v>0</v>
      </c>
    </row>
    <row r="40" spans="1:8" ht="32.25" customHeight="1" thickBot="1">
      <c r="A40" s="558" t="s">
        <v>377</v>
      </c>
      <c r="B40" s="553">
        <f>SUM(B$10,B$14,B$23,B$27,B$30,B$35,B$37,B$38,B$39)</f>
        <v>3696225054.9699998</v>
      </c>
      <c r="C40" s="553">
        <f t="shared" ref="C40:G40" si="11">SUM(C$10,C$14,C$23,C$27,C$30,C$35,C$37,C$38,C$39)</f>
        <v>222105083.92000002</v>
      </c>
      <c r="D40" s="553">
        <f t="shared" si="11"/>
        <v>3918330138.8899999</v>
      </c>
      <c r="E40" s="553">
        <f t="shared" si="11"/>
        <v>24381070.729999997</v>
      </c>
      <c r="F40" s="553">
        <f t="shared" si="11"/>
        <v>521083923.81</v>
      </c>
      <c r="G40" s="553">
        <f t="shared" si="11"/>
        <v>3893949068.1599998</v>
      </c>
      <c r="H40" s="554">
        <f>IF(D40&lt;&gt;0,(E40/D40)*100,0)</f>
        <v>0.62223115117366712</v>
      </c>
    </row>
  </sheetData>
  <sheetProtection sheet="1" objects="1" scenarios="1"/>
  <mergeCells count="7">
    <mergeCell ref="A1:H1"/>
    <mergeCell ref="A2:H2"/>
    <mergeCell ref="A4:H4"/>
    <mergeCell ref="A3:H3"/>
    <mergeCell ref="A6:A7"/>
    <mergeCell ref="B5:D5"/>
    <mergeCell ref="G5:H5"/>
  </mergeCells>
  <printOptions horizontalCentered="1"/>
  <pageMargins left="0.39370078740157483" right="0.39370078740157483" top="0.74803149606299213" bottom="0.74803149606299213" header="0.31496062992125984" footer="0.31496062992125984"/>
  <pageSetup scale="7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I5:N8"/>
  <sheetViews>
    <sheetView workbookViewId="0">
      <selection activeCell="L16" sqref="L16"/>
    </sheetView>
  </sheetViews>
  <sheetFormatPr baseColWidth="10" defaultColWidth="11.42578125" defaultRowHeight="15"/>
  <sheetData>
    <row r="5" spans="9:14">
      <c r="I5" s="835" t="s">
        <v>758</v>
      </c>
      <c r="J5" s="835"/>
      <c r="K5" s="835"/>
      <c r="L5" s="835"/>
      <c r="M5" s="835"/>
      <c r="N5" s="835"/>
    </row>
    <row r="6" spans="9:14">
      <c r="I6" s="835"/>
      <c r="J6" s="835"/>
      <c r="K6" s="835"/>
      <c r="L6" s="835"/>
      <c r="M6" s="835"/>
      <c r="N6" s="835"/>
    </row>
    <row r="7" spans="9:14">
      <c r="I7" s="835"/>
      <c r="J7" s="835"/>
      <c r="K7" s="835"/>
      <c r="L7" s="835"/>
      <c r="M7" s="835"/>
      <c r="N7" s="835"/>
    </row>
    <row r="8" spans="9:14">
      <c r="I8" s="835"/>
      <c r="J8" s="835"/>
      <c r="K8" s="835"/>
      <c r="L8" s="835"/>
      <c r="M8" s="835"/>
      <c r="N8" s="835"/>
    </row>
  </sheetData>
  <mergeCells count="1">
    <mergeCell ref="I5:N8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G46"/>
  <sheetViews>
    <sheetView workbookViewId="0">
      <selection activeCell="G11" sqref="G11"/>
    </sheetView>
  </sheetViews>
  <sheetFormatPr baseColWidth="10" defaultColWidth="11.42578125" defaultRowHeight="16.5"/>
  <cols>
    <col min="1" max="1" width="1.85546875" style="561" customWidth="1"/>
    <col min="2" max="2" width="34.7109375" style="57" customWidth="1"/>
    <col min="3" max="3" width="20.85546875" style="57" customWidth="1"/>
    <col min="4" max="4" width="25.5703125" style="57" customWidth="1"/>
    <col min="5" max="5" width="15" style="57" customWidth="1"/>
    <col min="6" max="16384" width="11.42578125" style="57"/>
  </cols>
  <sheetData>
    <row r="1" spans="1:7" ht="16.5" customHeight="1">
      <c r="A1" s="837" t="s">
        <v>759</v>
      </c>
      <c r="B1" s="837"/>
      <c r="C1" s="837"/>
      <c r="D1" s="837"/>
      <c r="E1" s="837"/>
    </row>
    <row r="2" spans="1:7">
      <c r="A2" s="838" t="s">
        <v>760</v>
      </c>
      <c r="B2" s="838"/>
      <c r="C2" s="838"/>
      <c r="D2" s="838"/>
      <c r="E2" s="838"/>
    </row>
    <row r="3" spans="1:7">
      <c r="A3" s="770" t="s">
        <v>3</v>
      </c>
      <c r="B3" s="770"/>
      <c r="C3" s="770"/>
      <c r="D3" s="770"/>
      <c r="E3" s="770"/>
      <c r="G3" s="559"/>
    </row>
    <row r="4" spans="1:7">
      <c r="A4" s="838" t="s">
        <v>317</v>
      </c>
      <c r="B4" s="838"/>
      <c r="C4" s="838"/>
      <c r="D4" s="838"/>
      <c r="E4" s="838"/>
    </row>
    <row r="5" spans="1:7">
      <c r="A5" s="725"/>
      <c r="B5" s="725"/>
      <c r="C5" s="725" t="s">
        <v>761</v>
      </c>
      <c r="D5" s="4" t="s">
        <v>6</v>
      </c>
      <c r="E5" s="560" t="s">
        <v>318</v>
      </c>
    </row>
    <row r="6" spans="1:7" ht="6.75" customHeight="1" thickBot="1"/>
    <row r="7" spans="1:7" s="562" customFormat="1" ht="17.25" customHeight="1">
      <c r="A7" s="839"/>
      <c r="B7" s="840"/>
      <c r="C7" s="726"/>
      <c r="D7" s="726"/>
      <c r="E7" s="577"/>
    </row>
    <row r="8" spans="1:7" s="562" customFormat="1" ht="20.25" customHeight="1">
      <c r="A8" s="564"/>
      <c r="B8" s="563"/>
      <c r="C8" s="563"/>
      <c r="D8" s="563"/>
      <c r="E8" s="565"/>
      <c r="F8" s="566"/>
    </row>
    <row r="9" spans="1:7" s="562" customFormat="1" ht="20.25" customHeight="1">
      <c r="A9" s="567"/>
      <c r="B9" s="576" t="s">
        <v>762</v>
      </c>
      <c r="C9" s="563"/>
      <c r="D9" s="563"/>
      <c r="E9" s="565"/>
      <c r="F9" s="566"/>
    </row>
    <row r="10" spans="1:7" s="562" customFormat="1" ht="20.25" customHeight="1">
      <c r="A10" s="567"/>
      <c r="B10" s="576" t="s">
        <v>763</v>
      </c>
      <c r="C10" s="563"/>
      <c r="D10" s="563" t="s">
        <v>764</v>
      </c>
      <c r="E10" s="568" t="s">
        <v>765</v>
      </c>
      <c r="F10" s="566"/>
    </row>
    <row r="11" spans="1:7" s="562" customFormat="1" ht="20.25" customHeight="1">
      <c r="A11" s="564"/>
      <c r="E11" s="565"/>
      <c r="F11" s="566"/>
    </row>
    <row r="12" spans="1:7" s="562" customFormat="1" ht="20.25" customHeight="1">
      <c r="A12" s="567"/>
      <c r="E12" s="565"/>
      <c r="F12" s="566"/>
    </row>
    <row r="13" spans="1:7" ht="20.25">
      <c r="A13" s="569"/>
      <c r="B13" s="836" t="s">
        <v>766</v>
      </c>
      <c r="C13" s="836"/>
      <c r="D13" s="836"/>
      <c r="E13" s="570"/>
      <c r="F13" s="18"/>
    </row>
    <row r="14" spans="1:7">
      <c r="A14" s="569"/>
      <c r="B14" s="18"/>
      <c r="C14" s="18"/>
      <c r="D14" s="18"/>
      <c r="E14" s="570"/>
      <c r="F14" s="18"/>
    </row>
    <row r="15" spans="1:7">
      <c r="A15" s="569"/>
      <c r="B15" s="18"/>
      <c r="C15" s="18"/>
      <c r="D15" s="18"/>
      <c r="E15" s="570"/>
      <c r="F15" s="18"/>
    </row>
    <row r="16" spans="1:7">
      <c r="A16" s="569"/>
      <c r="B16" s="18"/>
      <c r="C16" s="18"/>
      <c r="D16" s="18"/>
      <c r="E16" s="570"/>
      <c r="F16" s="18"/>
    </row>
    <row r="17" spans="1:6">
      <c r="A17" s="569"/>
      <c r="B17" s="18"/>
      <c r="C17" s="18"/>
      <c r="D17" s="18"/>
      <c r="E17" s="570"/>
      <c r="F17" s="18"/>
    </row>
    <row r="18" spans="1:6">
      <c r="A18" s="569"/>
      <c r="B18" s="18"/>
      <c r="C18" s="18"/>
      <c r="D18" s="18"/>
      <c r="E18" s="570"/>
      <c r="F18" s="18"/>
    </row>
    <row r="19" spans="1:6">
      <c r="A19" s="569"/>
      <c r="B19" s="18"/>
      <c r="C19" s="18"/>
      <c r="D19" s="18"/>
      <c r="E19" s="570"/>
      <c r="F19" s="18"/>
    </row>
    <row r="20" spans="1:6">
      <c r="A20" s="569"/>
      <c r="B20" s="18"/>
      <c r="C20" s="18"/>
      <c r="D20" s="18"/>
      <c r="E20" s="570"/>
      <c r="F20" s="18"/>
    </row>
    <row r="21" spans="1:6">
      <c r="A21" s="569"/>
      <c r="B21" s="18"/>
      <c r="C21" s="18"/>
      <c r="D21" s="18"/>
      <c r="E21" s="570"/>
      <c r="F21" s="18"/>
    </row>
    <row r="22" spans="1:6">
      <c r="A22" s="569"/>
      <c r="B22" s="18"/>
      <c r="C22" s="18"/>
      <c r="D22" s="18"/>
      <c r="E22" s="570"/>
      <c r="F22" s="18"/>
    </row>
    <row r="23" spans="1:6">
      <c r="A23" s="569"/>
      <c r="B23" s="18"/>
      <c r="C23" s="18"/>
      <c r="D23" s="18"/>
      <c r="E23" s="570"/>
      <c r="F23" s="18"/>
    </row>
    <row r="24" spans="1:6">
      <c r="A24" s="569"/>
      <c r="B24" s="18"/>
      <c r="C24" s="18"/>
      <c r="D24" s="18"/>
      <c r="E24" s="570"/>
      <c r="F24" s="18"/>
    </row>
    <row r="25" spans="1:6">
      <c r="A25" s="569"/>
      <c r="B25" s="18"/>
      <c r="C25" s="18"/>
      <c r="D25" s="18"/>
      <c r="E25" s="570"/>
      <c r="F25" s="18"/>
    </row>
    <row r="26" spans="1:6">
      <c r="A26" s="569"/>
      <c r="B26" s="18"/>
      <c r="C26" s="18"/>
      <c r="D26" s="18"/>
      <c r="E26" s="570"/>
      <c r="F26" s="18"/>
    </row>
    <row r="27" spans="1:6">
      <c r="A27" s="569"/>
      <c r="B27" s="18"/>
      <c r="C27" s="18"/>
      <c r="D27" s="18"/>
      <c r="E27" s="570"/>
      <c r="F27" s="18"/>
    </row>
    <row r="28" spans="1:6">
      <c r="A28" s="569"/>
      <c r="B28" s="18"/>
      <c r="C28" s="18"/>
      <c r="D28" s="18"/>
      <c r="E28" s="570"/>
      <c r="F28" s="18"/>
    </row>
    <row r="29" spans="1:6">
      <c r="A29" s="569"/>
      <c r="B29" s="18"/>
      <c r="C29" s="18"/>
      <c r="D29" s="18"/>
      <c r="E29" s="570"/>
      <c r="F29" s="18"/>
    </row>
    <row r="30" spans="1:6">
      <c r="A30" s="569"/>
      <c r="B30" s="18"/>
      <c r="C30" s="18"/>
      <c r="D30" s="18"/>
      <c r="E30" s="570"/>
      <c r="F30" s="18"/>
    </row>
    <row r="31" spans="1:6">
      <c r="A31" s="569"/>
      <c r="B31" s="18"/>
      <c r="C31" s="18"/>
      <c r="D31" s="18"/>
      <c r="E31" s="570"/>
      <c r="F31" s="18"/>
    </row>
    <row r="32" spans="1:6">
      <c r="A32" s="569"/>
      <c r="B32" s="18"/>
      <c r="C32" s="18"/>
      <c r="D32" s="18"/>
      <c r="E32" s="570"/>
      <c r="F32" s="18"/>
    </row>
    <row r="33" spans="1:6">
      <c r="A33" s="569"/>
      <c r="B33" s="18"/>
      <c r="C33" s="18"/>
      <c r="D33" s="18"/>
      <c r="E33" s="570"/>
      <c r="F33" s="18"/>
    </row>
    <row r="34" spans="1:6">
      <c r="A34" s="569"/>
      <c r="B34" s="18"/>
      <c r="C34" s="18"/>
      <c r="D34" s="18"/>
      <c r="E34" s="570"/>
      <c r="F34" s="18"/>
    </row>
    <row r="35" spans="1:6">
      <c r="A35" s="569"/>
      <c r="B35" s="18"/>
      <c r="C35" s="18"/>
      <c r="D35" s="18"/>
      <c r="E35" s="570"/>
      <c r="F35" s="18"/>
    </row>
    <row r="36" spans="1:6">
      <c r="A36" s="569"/>
      <c r="B36" s="18"/>
      <c r="C36" s="18"/>
      <c r="D36" s="18"/>
      <c r="E36" s="570"/>
      <c r="F36" s="18"/>
    </row>
    <row r="37" spans="1:6">
      <c r="A37" s="569"/>
      <c r="B37" s="18"/>
      <c r="C37" s="18"/>
      <c r="D37" s="18"/>
      <c r="E37" s="570"/>
      <c r="F37" s="18"/>
    </row>
    <row r="38" spans="1:6">
      <c r="A38" s="569"/>
      <c r="B38" s="575"/>
      <c r="C38" s="575"/>
      <c r="D38" s="575"/>
      <c r="E38" s="570"/>
      <c r="F38" s="18"/>
    </row>
    <row r="39" spans="1:6">
      <c r="A39" s="569"/>
      <c r="B39" s="575"/>
      <c r="C39" s="575"/>
      <c r="D39" s="575"/>
      <c r="E39" s="570"/>
    </row>
    <row r="40" spans="1:6">
      <c r="A40" s="569"/>
      <c r="B40" s="575"/>
      <c r="C40" s="575"/>
      <c r="D40" s="575"/>
      <c r="E40" s="570"/>
    </row>
    <row r="41" spans="1:6">
      <c r="A41" s="569"/>
      <c r="B41" s="18"/>
      <c r="C41" s="18"/>
      <c r="D41" s="18"/>
      <c r="E41" s="570"/>
    </row>
    <row r="42" spans="1:6" ht="17.25" thickBot="1">
      <c r="A42" s="571"/>
      <c r="B42" s="572"/>
      <c r="C42" s="572"/>
      <c r="D42" s="572"/>
      <c r="E42" s="573"/>
    </row>
    <row r="43" spans="1:6">
      <c r="A43" s="82" t="s">
        <v>66</v>
      </c>
    </row>
    <row r="45" spans="1:6" ht="25.5">
      <c r="A45" s="574" t="s">
        <v>765</v>
      </c>
      <c r="B45" s="57" t="s">
        <v>767</v>
      </c>
    </row>
    <row r="46" spans="1:6">
      <c r="B46" s="57" t="s">
        <v>768</v>
      </c>
    </row>
  </sheetData>
  <mergeCells count="6">
    <mergeCell ref="B13:D13"/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9">
    <tabColor theme="9" tint="-0.249977111117893"/>
  </sheetPr>
  <dimension ref="A1:J34"/>
  <sheetViews>
    <sheetView view="pageBreakPreview" topLeftCell="A13" zoomScaleSheetLayoutView="100" workbookViewId="0">
      <selection activeCell="H20" sqref="H20"/>
    </sheetView>
  </sheetViews>
  <sheetFormatPr baseColWidth="10" defaultColWidth="11.42578125" defaultRowHeight="16.5"/>
  <cols>
    <col min="1" max="1" width="4.28515625" style="172" customWidth="1"/>
    <col min="2" max="2" width="41" style="141" customWidth="1"/>
    <col min="3" max="5" width="15.7109375" style="141" customWidth="1"/>
    <col min="6" max="16384" width="11.42578125" style="141"/>
  </cols>
  <sheetData>
    <row r="1" spans="1:7">
      <c r="B1" s="852" t="s">
        <v>0</v>
      </c>
      <c r="C1" s="852"/>
      <c r="D1" s="852"/>
      <c r="E1" s="852"/>
    </row>
    <row r="2" spans="1:7">
      <c r="A2" s="510"/>
      <c r="B2" s="820" t="s">
        <v>769</v>
      </c>
      <c r="C2" s="820"/>
      <c r="D2" s="820"/>
      <c r="E2" s="820"/>
    </row>
    <row r="3" spans="1:7">
      <c r="B3" s="735" t="s">
        <v>770</v>
      </c>
      <c r="C3" s="735"/>
      <c r="D3" s="735"/>
      <c r="E3" s="735"/>
      <c r="G3" s="578"/>
    </row>
    <row r="4" spans="1:7">
      <c r="B4" s="735" t="s">
        <v>771</v>
      </c>
      <c r="C4" s="735"/>
      <c r="D4" s="735"/>
      <c r="E4" s="735"/>
    </row>
    <row r="5" spans="1:7">
      <c r="A5" s="719"/>
      <c r="B5" s="820" t="s">
        <v>772</v>
      </c>
      <c r="C5" s="820"/>
      <c r="D5" s="84" t="s">
        <v>6</v>
      </c>
      <c r="E5" s="510"/>
    </row>
    <row r="6" spans="1:7" ht="6.75" customHeight="1" thickBot="1"/>
    <row r="7" spans="1:7" s="289" customFormat="1">
      <c r="A7" s="841" t="s">
        <v>132</v>
      </c>
      <c r="B7" s="842"/>
      <c r="C7" s="845" t="s">
        <v>773</v>
      </c>
      <c r="D7" s="579" t="s">
        <v>723</v>
      </c>
      <c r="E7" s="847" t="s">
        <v>774</v>
      </c>
    </row>
    <row r="8" spans="1:7" s="289" customFormat="1" ht="17.25" thickBot="1">
      <c r="A8" s="843"/>
      <c r="B8" s="844"/>
      <c r="C8" s="846"/>
      <c r="D8" s="580"/>
      <c r="E8" s="848"/>
    </row>
    <row r="9" spans="1:7" s="289" customFormat="1" ht="20.25" customHeight="1">
      <c r="A9" s="581" t="s">
        <v>775</v>
      </c>
      <c r="B9" s="517"/>
      <c r="C9" s="527">
        <f>C10+C11</f>
        <v>0</v>
      </c>
      <c r="D9" s="527">
        <f>D10+D11</f>
        <v>0</v>
      </c>
      <c r="E9" s="589">
        <f>E10+E11</f>
        <v>0</v>
      </c>
    </row>
    <row r="10" spans="1:7" s="289" customFormat="1" ht="20.25" customHeight="1">
      <c r="A10" s="516"/>
      <c r="B10" s="583" t="s">
        <v>776</v>
      </c>
      <c r="C10" s="518"/>
      <c r="D10" s="518"/>
      <c r="E10" s="582"/>
    </row>
    <row r="11" spans="1:7" s="289" customFormat="1" ht="20.25" customHeight="1">
      <c r="A11" s="516"/>
      <c r="B11" s="583" t="s">
        <v>777</v>
      </c>
      <c r="C11" s="518"/>
      <c r="D11" s="518"/>
      <c r="E11" s="582"/>
    </row>
    <row r="12" spans="1:7" s="289" customFormat="1" ht="20.25" customHeight="1">
      <c r="A12" s="581" t="s">
        <v>778</v>
      </c>
      <c r="B12" s="583"/>
      <c r="C12" s="527">
        <f>C13+C14</f>
        <v>0</v>
      </c>
      <c r="D12" s="527">
        <f>D13+D14</f>
        <v>0</v>
      </c>
      <c r="E12" s="589">
        <f>E13+E14</f>
        <v>0</v>
      </c>
    </row>
    <row r="13" spans="1:7" s="289" customFormat="1" ht="20.25" customHeight="1">
      <c r="A13" s="516"/>
      <c r="B13" s="583" t="s">
        <v>779</v>
      </c>
      <c r="C13" s="518"/>
      <c r="D13" s="518"/>
      <c r="E13" s="582"/>
    </row>
    <row r="14" spans="1:7" s="289" customFormat="1" ht="20.25" customHeight="1">
      <c r="A14" s="516"/>
      <c r="B14" s="583" t="s">
        <v>780</v>
      </c>
      <c r="C14" s="518"/>
      <c r="D14" s="518"/>
      <c r="E14" s="582"/>
    </row>
    <row r="15" spans="1:7" s="289" customFormat="1" ht="20.25" customHeight="1">
      <c r="A15" s="581" t="s">
        <v>781</v>
      </c>
      <c r="B15" s="583"/>
      <c r="C15" s="527">
        <f>C9-C12</f>
        <v>0</v>
      </c>
      <c r="D15" s="527">
        <f>D9-D12</f>
        <v>0</v>
      </c>
      <c r="E15" s="589">
        <f>E9-E12</f>
        <v>0</v>
      </c>
    </row>
    <row r="16" spans="1:7" s="289" customFormat="1" ht="20.25" customHeight="1" thickBot="1">
      <c r="A16" s="516"/>
      <c r="B16" s="517"/>
      <c r="C16" s="518"/>
      <c r="D16" s="518"/>
      <c r="E16" s="520"/>
    </row>
    <row r="17" spans="1:10" s="289" customFormat="1">
      <c r="A17" s="841" t="s">
        <v>132</v>
      </c>
      <c r="B17" s="842"/>
      <c r="C17" s="845" t="s">
        <v>773</v>
      </c>
      <c r="D17" s="584" t="s">
        <v>723</v>
      </c>
      <c r="E17" s="849" t="s">
        <v>774</v>
      </c>
    </row>
    <row r="18" spans="1:10" s="289" customFormat="1" ht="12" customHeight="1" thickBot="1">
      <c r="A18" s="843"/>
      <c r="B18" s="844"/>
      <c r="C18" s="846"/>
      <c r="D18" s="585"/>
      <c r="E18" s="850"/>
    </row>
    <row r="19" spans="1:10" s="289" customFormat="1" ht="20.25" customHeight="1">
      <c r="A19" s="581" t="s">
        <v>782</v>
      </c>
      <c r="B19" s="517"/>
      <c r="C19" s="518"/>
      <c r="D19" s="518"/>
      <c r="E19" s="520"/>
    </row>
    <row r="20" spans="1:10" s="289" customFormat="1" ht="20.25" customHeight="1">
      <c r="A20" s="581" t="s">
        <v>783</v>
      </c>
      <c r="B20" s="517"/>
      <c r="C20" s="518"/>
      <c r="D20" s="518"/>
      <c r="E20" s="520"/>
    </row>
    <row r="21" spans="1:10" s="289" customFormat="1" ht="20.25" customHeight="1">
      <c r="A21" s="581" t="s">
        <v>784</v>
      </c>
      <c r="B21" s="517"/>
      <c r="C21" s="527">
        <f>C19-C20</f>
        <v>0</v>
      </c>
      <c r="D21" s="527">
        <f>D19-D20</f>
        <v>0</v>
      </c>
      <c r="E21" s="589">
        <f>E19-E20</f>
        <v>0</v>
      </c>
    </row>
    <row r="22" spans="1:10" s="289" customFormat="1" ht="20.25" customHeight="1" thickBot="1">
      <c r="A22" s="516"/>
      <c r="B22" s="517"/>
      <c r="C22" s="533"/>
      <c r="D22" s="533"/>
      <c r="E22" s="534"/>
    </row>
    <row r="23" spans="1:10" s="289" customFormat="1" ht="28.5" customHeight="1">
      <c r="A23" s="841" t="s">
        <v>132</v>
      </c>
      <c r="B23" s="842"/>
      <c r="C23" s="845" t="s">
        <v>773</v>
      </c>
      <c r="D23" s="584" t="s">
        <v>723</v>
      </c>
      <c r="E23" s="849" t="s">
        <v>774</v>
      </c>
    </row>
    <row r="24" spans="1:10" s="289" customFormat="1" ht="0.75" customHeight="1" thickBot="1">
      <c r="A24" s="843"/>
      <c r="B24" s="844"/>
      <c r="C24" s="846"/>
      <c r="D24" s="585"/>
      <c r="E24" s="850"/>
    </row>
    <row r="25" spans="1:10" s="289" customFormat="1" ht="20.25" customHeight="1">
      <c r="A25" s="581" t="s">
        <v>785</v>
      </c>
      <c r="B25" s="517"/>
      <c r="C25" s="518"/>
      <c r="D25" s="518"/>
      <c r="E25" s="520"/>
    </row>
    <row r="26" spans="1:10" s="289" customFormat="1" ht="20.25" customHeight="1">
      <c r="A26" s="581" t="s">
        <v>786</v>
      </c>
      <c r="B26" s="517"/>
      <c r="C26" s="518"/>
      <c r="D26" s="518"/>
      <c r="E26" s="520"/>
    </row>
    <row r="27" spans="1:10" s="289" customFormat="1" ht="20.25" customHeight="1">
      <c r="A27" s="581" t="s">
        <v>787</v>
      </c>
      <c r="B27" s="517"/>
      <c r="C27" s="527">
        <f>C25-C26</f>
        <v>0</v>
      </c>
      <c r="D27" s="527">
        <f>D25-D26</f>
        <v>0</v>
      </c>
      <c r="E27" s="589">
        <f>E25-E26</f>
        <v>0</v>
      </c>
    </row>
    <row r="28" spans="1:10" s="289" customFormat="1" ht="20.25" customHeight="1" thickBot="1">
      <c r="A28" s="720"/>
      <c r="B28" s="721"/>
      <c r="C28" s="723"/>
      <c r="D28" s="723"/>
      <c r="E28" s="586"/>
    </row>
    <row r="29" spans="1:10">
      <c r="A29" s="82" t="s">
        <v>66</v>
      </c>
      <c r="B29" s="588"/>
      <c r="C29" s="588"/>
      <c r="D29" s="588"/>
      <c r="E29" s="588"/>
      <c r="J29" s="526"/>
    </row>
    <row r="30" spans="1:10" ht="49.5" customHeight="1">
      <c r="A30" s="851" t="s">
        <v>788</v>
      </c>
      <c r="B30" s="851"/>
      <c r="C30" s="851"/>
      <c r="D30" s="851"/>
      <c r="E30" s="851"/>
    </row>
    <row r="31" spans="1:10">
      <c r="A31" s="587"/>
      <c r="B31" s="588"/>
      <c r="C31" s="588"/>
      <c r="D31" s="588"/>
      <c r="E31" s="588"/>
    </row>
    <row r="32" spans="1:10" ht="75" customHeight="1">
      <c r="A32" s="851" t="s">
        <v>789</v>
      </c>
      <c r="B32" s="851"/>
      <c r="C32" s="851"/>
      <c r="D32" s="851"/>
      <c r="E32" s="851"/>
    </row>
    <row r="33" spans="1:5">
      <c r="A33" s="587"/>
      <c r="B33" s="588"/>
      <c r="C33" s="588"/>
      <c r="D33" s="588"/>
      <c r="E33" s="588"/>
    </row>
    <row r="34" spans="1:5" ht="44.25" customHeight="1">
      <c r="A34" s="851" t="s">
        <v>790</v>
      </c>
      <c r="B34" s="851"/>
      <c r="C34" s="851"/>
      <c r="D34" s="851"/>
      <c r="E34" s="851"/>
    </row>
  </sheetData>
  <sheetProtection sheet="1" objects="1" scenarios="1"/>
  <mergeCells count="17">
    <mergeCell ref="B1:E1"/>
    <mergeCell ref="B2:E2"/>
    <mergeCell ref="B3:E3"/>
    <mergeCell ref="B4:E4"/>
    <mergeCell ref="B5:C5"/>
    <mergeCell ref="A30:E30"/>
    <mergeCell ref="A32:E32"/>
    <mergeCell ref="A34:E34"/>
    <mergeCell ref="A23:B24"/>
    <mergeCell ref="C23:C24"/>
    <mergeCell ref="E23:E24"/>
    <mergeCell ref="A7:B8"/>
    <mergeCell ref="C7:C8"/>
    <mergeCell ref="E7:E8"/>
    <mergeCell ref="C17:C18"/>
    <mergeCell ref="E17:E18"/>
    <mergeCell ref="A17:B1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2">
    <tabColor theme="7" tint="-0.249977111117893"/>
  </sheetPr>
  <dimension ref="A1:D27"/>
  <sheetViews>
    <sheetView workbookViewId="0">
      <selection activeCell="D5" sqref="D5"/>
    </sheetView>
  </sheetViews>
  <sheetFormatPr baseColWidth="10" defaultColWidth="11.42578125" defaultRowHeight="16.5"/>
  <cols>
    <col min="1" max="1" width="2.85546875" style="7" customWidth="1"/>
    <col min="2" max="2" width="40.28515625" style="3" customWidth="1"/>
    <col min="3" max="3" width="31.5703125" style="3" customWidth="1"/>
    <col min="4" max="4" width="23" style="3" customWidth="1"/>
    <col min="5" max="16384" width="11.42578125" style="3"/>
  </cols>
  <sheetData>
    <row r="1" spans="1:4">
      <c r="A1" s="857" t="s">
        <v>0</v>
      </c>
      <c r="B1" s="857"/>
      <c r="C1" s="857"/>
      <c r="D1" s="857"/>
    </row>
    <row r="2" spans="1:4">
      <c r="A2" s="859" t="s">
        <v>791</v>
      </c>
      <c r="B2" s="859"/>
      <c r="C2" s="859"/>
      <c r="D2" s="859"/>
    </row>
    <row r="3" spans="1:4">
      <c r="A3" s="858" t="s">
        <v>3</v>
      </c>
      <c r="B3" s="858"/>
      <c r="C3" s="858"/>
      <c r="D3" s="858"/>
    </row>
    <row r="4" spans="1:4">
      <c r="A4" s="859" t="s">
        <v>70</v>
      </c>
      <c r="B4" s="859"/>
      <c r="C4" s="859"/>
      <c r="D4" s="859"/>
    </row>
    <row r="5" spans="1:4">
      <c r="A5" s="40"/>
      <c r="B5" s="859" t="s">
        <v>792</v>
      </c>
      <c r="C5" s="859"/>
      <c r="D5" s="76" t="s">
        <v>299</v>
      </c>
    </row>
    <row r="6" spans="1:4" ht="6.75" customHeight="1" thickBot="1"/>
    <row r="7" spans="1:4" s="34" customFormat="1" ht="30" customHeight="1">
      <c r="A7" s="862" t="s">
        <v>793</v>
      </c>
      <c r="B7" s="863"/>
      <c r="C7" s="860" t="s">
        <v>794</v>
      </c>
      <c r="D7" s="861"/>
    </row>
    <row r="8" spans="1:4" s="34" customFormat="1" ht="32.25" customHeight="1" thickBot="1">
      <c r="A8" s="864"/>
      <c r="B8" s="865"/>
      <c r="C8" s="41" t="s">
        <v>795</v>
      </c>
      <c r="D8" s="42" t="s">
        <v>796</v>
      </c>
    </row>
    <row r="9" spans="1:4" s="34" customFormat="1" ht="31.5" customHeight="1">
      <c r="A9" s="37">
        <v>1</v>
      </c>
      <c r="B9" s="683" t="s">
        <v>797</v>
      </c>
      <c r="C9" s="683" t="s">
        <v>798</v>
      </c>
      <c r="D9" s="684" t="s">
        <v>799</v>
      </c>
    </row>
    <row r="10" spans="1:4" s="34" customFormat="1" ht="31.5" customHeight="1">
      <c r="A10" s="37">
        <v>2</v>
      </c>
      <c r="B10" s="683" t="s">
        <v>800</v>
      </c>
      <c r="C10" s="683" t="s">
        <v>798</v>
      </c>
      <c r="D10" s="684" t="s">
        <v>801</v>
      </c>
    </row>
    <row r="11" spans="1:4" s="34" customFormat="1" ht="31.5" customHeight="1">
      <c r="A11" s="37">
        <v>3</v>
      </c>
      <c r="B11" s="683" t="s">
        <v>802</v>
      </c>
      <c r="C11" s="683" t="s">
        <v>798</v>
      </c>
      <c r="D11" s="684" t="s">
        <v>803</v>
      </c>
    </row>
    <row r="12" spans="1:4" s="34" customFormat="1" ht="31.5" customHeight="1">
      <c r="A12" s="37">
        <v>4</v>
      </c>
      <c r="B12" s="683" t="s">
        <v>804</v>
      </c>
      <c r="C12" s="683" t="s">
        <v>805</v>
      </c>
      <c r="D12" s="684" t="s">
        <v>806</v>
      </c>
    </row>
    <row r="13" spans="1:4" s="34" customFormat="1" ht="31.5" customHeight="1">
      <c r="A13" s="37">
        <v>5</v>
      </c>
      <c r="B13" s="683" t="s">
        <v>807</v>
      </c>
      <c r="C13" s="683" t="s">
        <v>805</v>
      </c>
      <c r="D13" s="684" t="s">
        <v>808</v>
      </c>
    </row>
    <row r="14" spans="1:4" s="34" customFormat="1" ht="31.5" customHeight="1">
      <c r="A14" s="37">
        <v>6</v>
      </c>
      <c r="B14" s="683" t="s">
        <v>809</v>
      </c>
      <c r="C14" s="683" t="s">
        <v>810</v>
      </c>
      <c r="D14" s="684" t="s">
        <v>811</v>
      </c>
    </row>
    <row r="15" spans="1:4" s="34" customFormat="1" ht="31.5" customHeight="1">
      <c r="A15" s="37">
        <v>7</v>
      </c>
      <c r="B15" s="683" t="s">
        <v>812</v>
      </c>
      <c r="C15" s="683" t="s">
        <v>810</v>
      </c>
      <c r="D15" s="684" t="s">
        <v>813</v>
      </c>
    </row>
    <row r="16" spans="1:4" s="34" customFormat="1" ht="31.5" customHeight="1">
      <c r="A16" s="37">
        <v>8</v>
      </c>
      <c r="B16" s="683" t="s">
        <v>814</v>
      </c>
      <c r="C16" s="683" t="s">
        <v>810</v>
      </c>
      <c r="D16" s="684" t="s">
        <v>815</v>
      </c>
    </row>
    <row r="17" spans="1:4" s="34" customFormat="1" ht="31.5" customHeight="1">
      <c r="A17" s="37">
        <v>9</v>
      </c>
      <c r="B17" s="683" t="s">
        <v>816</v>
      </c>
      <c r="C17" s="685" t="s">
        <v>817</v>
      </c>
      <c r="D17" s="686" t="s">
        <v>818</v>
      </c>
    </row>
    <row r="18" spans="1:4" s="34" customFormat="1" ht="31.5" customHeight="1">
      <c r="A18" s="37">
        <v>10</v>
      </c>
      <c r="B18" s="683" t="s">
        <v>819</v>
      </c>
      <c r="C18" s="683" t="s">
        <v>798</v>
      </c>
      <c r="D18" s="684" t="s">
        <v>820</v>
      </c>
    </row>
    <row r="19" spans="1:4" s="34" customFormat="1" ht="31.5" customHeight="1">
      <c r="A19" s="37">
        <v>11</v>
      </c>
      <c r="B19" s="683" t="s">
        <v>821</v>
      </c>
      <c r="C19" s="683" t="s">
        <v>798</v>
      </c>
      <c r="D19" s="684" t="s">
        <v>822</v>
      </c>
    </row>
    <row r="20" spans="1:4" s="34" customFormat="1" ht="31.5" customHeight="1">
      <c r="A20" s="37">
        <v>12</v>
      </c>
      <c r="B20" s="687" t="s">
        <v>823</v>
      </c>
      <c r="C20" s="688" t="s">
        <v>805</v>
      </c>
      <c r="D20" s="689" t="s">
        <v>824</v>
      </c>
    </row>
    <row r="21" spans="1:4" s="34" customFormat="1" ht="31.5" customHeight="1">
      <c r="A21" s="37">
        <v>13</v>
      </c>
      <c r="B21" s="687" t="s">
        <v>825</v>
      </c>
      <c r="C21" s="688" t="s">
        <v>805</v>
      </c>
      <c r="D21" s="689" t="s">
        <v>826</v>
      </c>
    </row>
    <row r="22" spans="1:4" s="34" customFormat="1" ht="31.5" customHeight="1">
      <c r="A22" s="37">
        <v>14</v>
      </c>
      <c r="B22" s="687" t="s">
        <v>827</v>
      </c>
      <c r="C22" s="687" t="s">
        <v>798</v>
      </c>
      <c r="D22" s="690" t="s">
        <v>828</v>
      </c>
    </row>
    <row r="23" spans="1:4" s="34" customFormat="1" ht="31.5" customHeight="1">
      <c r="A23" s="37">
        <v>15</v>
      </c>
      <c r="B23" s="691" t="s">
        <v>829</v>
      </c>
      <c r="C23" s="695" t="s">
        <v>805</v>
      </c>
      <c r="D23" s="696" t="s">
        <v>830</v>
      </c>
    </row>
    <row r="24" spans="1:4" s="34" customFormat="1" ht="31.5" customHeight="1">
      <c r="A24" s="37">
        <v>10</v>
      </c>
      <c r="B24" s="694"/>
      <c r="C24" s="692"/>
      <c r="D24" s="693"/>
    </row>
    <row r="25" spans="1:4" s="34" customFormat="1" ht="31.5" customHeight="1">
      <c r="A25" s="853"/>
      <c r="B25" s="854"/>
      <c r="C25" s="855"/>
      <c r="D25" s="856"/>
    </row>
    <row r="26" spans="1:4">
      <c r="A26" s="82" t="s">
        <v>66</v>
      </c>
      <c r="B26" s="57"/>
    </row>
    <row r="27" spans="1:4" ht="18.75">
      <c r="B27" s="590" t="s">
        <v>831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3">
    <tabColor theme="7" tint="-0.249977111117893"/>
  </sheetPr>
  <dimension ref="A1:D29"/>
  <sheetViews>
    <sheetView view="pageBreakPreview" zoomScaleSheetLayoutView="100" workbookViewId="0">
      <selection activeCell="A4" sqref="A4:D4"/>
    </sheetView>
  </sheetViews>
  <sheetFormatPr baseColWidth="10" defaultColWidth="11.42578125" defaultRowHeight="16.5"/>
  <cols>
    <col min="1" max="1" width="2.7109375" style="7" bestFit="1" customWidth="1"/>
    <col min="2" max="2" width="37" style="3" customWidth="1"/>
    <col min="3" max="3" width="36.42578125" style="3" customWidth="1"/>
    <col min="4" max="4" width="21.42578125" style="3" customWidth="1"/>
    <col min="5" max="16384" width="11.42578125" style="3"/>
  </cols>
  <sheetData>
    <row r="1" spans="1:4">
      <c r="A1" s="857" t="s">
        <v>0</v>
      </c>
      <c r="B1" s="857"/>
      <c r="C1" s="857"/>
      <c r="D1" s="857"/>
    </row>
    <row r="2" spans="1:4">
      <c r="A2" s="859" t="s">
        <v>832</v>
      </c>
      <c r="B2" s="859"/>
      <c r="C2" s="859"/>
      <c r="D2" s="859"/>
    </row>
    <row r="3" spans="1:4">
      <c r="A3" s="858" t="s">
        <v>3</v>
      </c>
      <c r="B3" s="858"/>
      <c r="C3" s="858"/>
      <c r="D3" s="858"/>
    </row>
    <row r="4" spans="1:4">
      <c r="A4" s="859" t="s">
        <v>155</v>
      </c>
      <c r="B4" s="859"/>
      <c r="C4" s="859"/>
      <c r="D4" s="859"/>
    </row>
    <row r="5" spans="1:4">
      <c r="A5" s="40"/>
      <c r="B5" s="859" t="s">
        <v>833</v>
      </c>
      <c r="C5" s="859"/>
      <c r="D5" s="76" t="s">
        <v>834</v>
      </c>
    </row>
    <row r="6" spans="1:4" ht="6.75" customHeight="1"/>
    <row r="7" spans="1:4" s="34" customFormat="1" ht="30" customHeight="1">
      <c r="A7" s="867" t="s">
        <v>835</v>
      </c>
      <c r="B7" s="867"/>
      <c r="C7" s="867" t="s">
        <v>836</v>
      </c>
      <c r="D7" s="867" t="s">
        <v>837</v>
      </c>
    </row>
    <row r="8" spans="1:4" s="34" customFormat="1" ht="32.25" customHeight="1">
      <c r="A8" s="868"/>
      <c r="B8" s="868"/>
      <c r="C8" s="868"/>
      <c r="D8" s="868"/>
    </row>
    <row r="9" spans="1:4" s="34" customFormat="1" ht="24" customHeight="1">
      <c r="A9" s="44"/>
      <c r="B9" s="56" t="s">
        <v>838</v>
      </c>
      <c r="C9" s="45"/>
      <c r="D9" s="46"/>
    </row>
    <row r="10" spans="1:4" s="34" customFormat="1" ht="30" customHeight="1">
      <c r="A10" s="43">
        <v>1</v>
      </c>
      <c r="B10" s="54">
        <v>12201</v>
      </c>
      <c r="C10" s="43" t="s">
        <v>839</v>
      </c>
      <c r="D10" s="682">
        <v>320268185.85000002</v>
      </c>
    </row>
    <row r="11" spans="1:4" s="34" customFormat="1" ht="30" customHeight="1">
      <c r="A11" s="38">
        <v>2</v>
      </c>
      <c r="B11" s="55">
        <v>12203</v>
      </c>
      <c r="C11" s="38" t="s">
        <v>840</v>
      </c>
      <c r="D11" s="681">
        <v>836978344.84000003</v>
      </c>
    </row>
    <row r="12" spans="1:4" s="34" customFormat="1" ht="30" customHeight="1">
      <c r="A12" s="38">
        <v>3</v>
      </c>
      <c r="B12" s="55">
        <v>12202</v>
      </c>
      <c r="C12" s="38" t="s">
        <v>841</v>
      </c>
      <c r="D12" s="681">
        <v>192195555.24000001</v>
      </c>
    </row>
    <row r="13" spans="1:4" s="34" customFormat="1" ht="30" customHeight="1">
      <c r="A13" s="38">
        <v>4</v>
      </c>
      <c r="B13" s="55"/>
      <c r="C13" s="38"/>
      <c r="D13" s="39"/>
    </row>
    <row r="14" spans="1:4" s="34" customFormat="1" ht="30" customHeight="1">
      <c r="A14" s="38">
        <v>5</v>
      </c>
      <c r="B14" s="55"/>
      <c r="C14" s="38"/>
      <c r="D14" s="39"/>
    </row>
    <row r="15" spans="1:4" s="34" customFormat="1" ht="30" customHeight="1">
      <c r="A15" s="38">
        <v>6</v>
      </c>
      <c r="B15" s="55"/>
      <c r="C15" s="38"/>
      <c r="D15" s="39"/>
    </row>
    <row r="16" spans="1:4" s="34" customFormat="1" ht="30" customHeight="1">
      <c r="A16" s="38">
        <v>7</v>
      </c>
      <c r="B16" s="55"/>
      <c r="C16" s="38"/>
      <c r="D16" s="39"/>
    </row>
    <row r="17" spans="1:4" s="34" customFormat="1" ht="30" customHeight="1">
      <c r="A17" s="38">
        <v>8</v>
      </c>
      <c r="B17" s="55"/>
      <c r="C17" s="38"/>
      <c r="D17" s="39"/>
    </row>
    <row r="18" spans="1:4" s="34" customFormat="1" ht="30" customHeight="1">
      <c r="A18" s="592">
        <v>9</v>
      </c>
      <c r="B18" s="55"/>
      <c r="C18" s="38"/>
      <c r="D18" s="39"/>
    </row>
    <row r="19" spans="1:4" s="34" customFormat="1" ht="22.5" customHeight="1">
      <c r="A19" s="44"/>
      <c r="B19" s="56" t="s">
        <v>842</v>
      </c>
      <c r="C19" s="45"/>
      <c r="D19" s="47"/>
    </row>
    <row r="20" spans="1:4" s="34" customFormat="1" ht="30" customHeight="1">
      <c r="A20" s="38"/>
      <c r="B20" s="55" t="s">
        <v>843</v>
      </c>
      <c r="C20" s="38"/>
      <c r="D20" s="39"/>
    </row>
    <row r="21" spans="1:4" s="34" customFormat="1" ht="30" customHeight="1">
      <c r="A21" s="38">
        <v>10</v>
      </c>
      <c r="B21" s="55"/>
      <c r="C21" s="38"/>
      <c r="D21" s="39"/>
    </row>
    <row r="22" spans="1:4" s="34" customFormat="1" ht="30" customHeight="1">
      <c r="A22" s="38">
        <v>11</v>
      </c>
      <c r="B22" s="55"/>
      <c r="C22" s="38"/>
      <c r="D22" s="39"/>
    </row>
    <row r="23" spans="1:4" s="34" customFormat="1" ht="30" customHeight="1">
      <c r="A23" s="38"/>
      <c r="B23" s="55" t="s">
        <v>844</v>
      </c>
      <c r="C23" s="38" t="s">
        <v>845</v>
      </c>
      <c r="D23" s="681">
        <v>1793888731.74</v>
      </c>
    </row>
    <row r="24" spans="1:4" s="34" customFormat="1" ht="30" customHeight="1">
      <c r="A24" s="38">
        <v>12</v>
      </c>
      <c r="B24" s="55"/>
      <c r="C24" s="38"/>
      <c r="D24" s="39"/>
    </row>
    <row r="25" spans="1:4" s="34" customFormat="1" ht="30" customHeight="1">
      <c r="A25" s="38">
        <v>13</v>
      </c>
      <c r="B25" s="55"/>
      <c r="C25" s="38"/>
      <c r="D25" s="39"/>
    </row>
    <row r="26" spans="1:4" s="34" customFormat="1" ht="30" customHeight="1">
      <c r="A26" s="38"/>
      <c r="B26" s="55" t="s">
        <v>846</v>
      </c>
      <c r="C26" s="38"/>
      <c r="D26" s="39"/>
    </row>
    <row r="27" spans="1:4" s="34" customFormat="1">
      <c r="A27" s="866"/>
      <c r="B27" s="866"/>
      <c r="C27" s="866"/>
      <c r="D27" s="866"/>
    </row>
    <row r="28" spans="1:4">
      <c r="A28" s="82" t="s">
        <v>66</v>
      </c>
    </row>
    <row r="29" spans="1:4" ht="23.25">
      <c r="B29" s="591" t="s">
        <v>847</v>
      </c>
    </row>
  </sheetData>
  <mergeCells count="9">
    <mergeCell ref="A27:D27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J35"/>
  <sheetViews>
    <sheetView view="pageBreakPreview" zoomScaleSheetLayoutView="100" workbookViewId="0">
      <selection activeCell="D8" sqref="D8"/>
    </sheetView>
  </sheetViews>
  <sheetFormatPr baseColWidth="10" defaultColWidth="11.42578125" defaultRowHeight="16.5"/>
  <cols>
    <col min="1" max="1" width="3.7109375" style="172" customWidth="1"/>
    <col min="2" max="2" width="35.7109375" style="141" customWidth="1"/>
    <col min="3" max="3" width="26.7109375" style="141" customWidth="1"/>
    <col min="4" max="5" width="15.7109375" style="141" customWidth="1"/>
    <col min="6" max="16384" width="11.42578125" style="141"/>
  </cols>
  <sheetData>
    <row r="1" spans="1:5">
      <c r="A1" s="532"/>
      <c r="B1" s="593"/>
      <c r="C1" s="594" t="s">
        <v>0</v>
      </c>
      <c r="D1" s="593"/>
      <c r="E1" s="509"/>
    </row>
    <row r="2" spans="1:5">
      <c r="A2" s="820" t="s">
        <v>848</v>
      </c>
      <c r="B2" s="820"/>
      <c r="C2" s="820"/>
      <c r="D2" s="820"/>
      <c r="E2" s="820"/>
    </row>
    <row r="3" spans="1:5">
      <c r="C3" s="709" t="s">
        <v>3</v>
      </c>
    </row>
    <row r="4" spans="1:5">
      <c r="B4" s="719"/>
      <c r="C4" s="719" t="s">
        <v>70</v>
      </c>
      <c r="D4" s="719"/>
      <c r="E4" s="719"/>
    </row>
    <row r="5" spans="1:5">
      <c r="A5" s="719"/>
      <c r="B5" s="719"/>
      <c r="C5" s="719" t="s">
        <v>761</v>
      </c>
      <c r="D5" s="84" t="s">
        <v>6</v>
      </c>
      <c r="E5" s="595" t="s">
        <v>7</v>
      </c>
    </row>
    <row r="6" spans="1:5" ht="6.75" customHeight="1" thickBot="1"/>
    <row r="7" spans="1:5" s="289" customFormat="1" ht="30" customHeight="1">
      <c r="A7" s="821" t="s">
        <v>849</v>
      </c>
      <c r="B7" s="822"/>
      <c r="C7" s="596" t="s">
        <v>850</v>
      </c>
      <c r="D7" s="722" t="s">
        <v>851</v>
      </c>
      <c r="E7" s="724" t="s">
        <v>852</v>
      </c>
    </row>
    <row r="8" spans="1:5" s="289" customFormat="1" ht="30" customHeight="1" thickBot="1">
      <c r="A8" s="823"/>
      <c r="B8" s="824"/>
      <c r="C8" s="514" t="s">
        <v>711</v>
      </c>
      <c r="D8" s="514" t="s">
        <v>712</v>
      </c>
      <c r="E8" s="515" t="s">
        <v>853</v>
      </c>
    </row>
    <row r="9" spans="1:5" s="289" customFormat="1" ht="12.75" customHeight="1">
      <c r="A9" s="825"/>
      <c r="B9" s="869"/>
      <c r="C9" s="826"/>
      <c r="D9" s="826"/>
      <c r="E9" s="870"/>
    </row>
    <row r="10" spans="1:5" s="289" customFormat="1" ht="20.25" customHeight="1">
      <c r="A10" s="516">
        <v>1</v>
      </c>
      <c r="B10" s="597"/>
      <c r="C10" s="518"/>
      <c r="D10" s="519"/>
      <c r="E10" s="529" t="str">
        <f>IF(B10&lt;&gt;"",C10+D10,"")</f>
        <v/>
      </c>
    </row>
    <row r="11" spans="1:5" s="289" customFormat="1" ht="20.25" customHeight="1">
      <c r="A11" s="516">
        <v>2</v>
      </c>
      <c r="B11" s="597"/>
      <c r="C11" s="518"/>
      <c r="D11" s="519"/>
      <c r="E11" s="529" t="str">
        <f t="shared" ref="E11:E19" si="0">IF(B11&lt;&gt;"",C11+D11,"")</f>
        <v/>
      </c>
    </row>
    <row r="12" spans="1:5" s="289" customFormat="1" ht="20.25" customHeight="1">
      <c r="A12" s="516">
        <v>3</v>
      </c>
      <c r="B12" s="597"/>
      <c r="C12" s="518"/>
      <c r="D12" s="519"/>
      <c r="E12" s="529" t="str">
        <f t="shared" si="0"/>
        <v/>
      </c>
    </row>
    <row r="13" spans="1:5" s="289" customFormat="1" ht="20.25" customHeight="1">
      <c r="A13" s="516">
        <v>4</v>
      </c>
      <c r="B13" s="597"/>
      <c r="C13" s="518"/>
      <c r="D13" s="519"/>
      <c r="E13" s="529" t="str">
        <f t="shared" si="0"/>
        <v/>
      </c>
    </row>
    <row r="14" spans="1:5" s="289" customFormat="1" ht="20.25" customHeight="1">
      <c r="A14" s="516">
        <v>5</v>
      </c>
      <c r="B14" s="597"/>
      <c r="C14" s="518" t="s">
        <v>854</v>
      </c>
      <c r="D14" s="519"/>
      <c r="E14" s="529" t="str">
        <f t="shared" si="0"/>
        <v/>
      </c>
    </row>
    <row r="15" spans="1:5" s="289" customFormat="1" ht="20.25" customHeight="1">
      <c r="A15" s="516">
        <v>6</v>
      </c>
      <c r="B15" s="597"/>
      <c r="C15" s="518"/>
      <c r="D15" s="519"/>
      <c r="E15" s="529" t="str">
        <f t="shared" si="0"/>
        <v/>
      </c>
    </row>
    <row r="16" spans="1:5" s="289" customFormat="1" ht="20.25" customHeight="1">
      <c r="A16" s="516">
        <v>7</v>
      </c>
      <c r="B16" s="597"/>
      <c r="C16" s="518"/>
      <c r="D16" s="519"/>
      <c r="E16" s="529" t="str">
        <f t="shared" si="0"/>
        <v/>
      </c>
    </row>
    <row r="17" spans="1:7" s="289" customFormat="1" ht="20.25" customHeight="1">
      <c r="A17" s="516">
        <v>8</v>
      </c>
      <c r="B17" s="597"/>
      <c r="C17" s="518"/>
      <c r="D17" s="519"/>
      <c r="E17" s="529" t="str">
        <f t="shared" si="0"/>
        <v/>
      </c>
    </row>
    <row r="18" spans="1:7" s="289" customFormat="1" ht="20.25" customHeight="1">
      <c r="A18" s="516">
        <v>9</v>
      </c>
      <c r="B18" s="597"/>
      <c r="C18" s="518"/>
      <c r="D18" s="519"/>
      <c r="E18" s="529" t="str">
        <f t="shared" si="0"/>
        <v/>
      </c>
    </row>
    <row r="19" spans="1:7" s="289" customFormat="1" ht="20.25" customHeight="1">
      <c r="A19" s="516">
        <v>10</v>
      </c>
      <c r="B19" s="597"/>
      <c r="C19" s="518"/>
      <c r="D19" s="519"/>
      <c r="E19" s="529" t="str">
        <f t="shared" si="0"/>
        <v/>
      </c>
    </row>
    <row r="20" spans="1:7" s="289" customFormat="1" ht="20.25" customHeight="1">
      <c r="A20" s="516"/>
      <c r="B20" s="598" t="s">
        <v>855</v>
      </c>
      <c r="C20" s="527">
        <f>SUM(C10:C19)</f>
        <v>0</v>
      </c>
      <c r="D20" s="527">
        <f>SUM(D10:D19)</f>
        <v>0</v>
      </c>
      <c r="E20" s="529">
        <f>C20+D20</f>
        <v>0</v>
      </c>
      <c r="G20" s="599"/>
    </row>
    <row r="21" spans="1:7" s="289" customFormat="1" ht="21" customHeight="1">
      <c r="A21" s="817" t="s">
        <v>856</v>
      </c>
      <c r="B21" s="818"/>
      <c r="C21" s="818"/>
      <c r="D21" s="818"/>
      <c r="E21" s="819"/>
    </row>
    <row r="22" spans="1:7" s="289" customFormat="1" ht="20.25" customHeight="1">
      <c r="A22" s="516">
        <v>1</v>
      </c>
      <c r="B22" s="517"/>
      <c r="C22" s="518"/>
      <c r="D22" s="519"/>
      <c r="E22" s="529" t="str">
        <f>IF(B22&lt;&gt;"",C22+D22,"")</f>
        <v/>
      </c>
    </row>
    <row r="23" spans="1:7" s="289" customFormat="1" ht="20.25" customHeight="1">
      <c r="A23" s="516">
        <v>2</v>
      </c>
      <c r="B23" s="517"/>
      <c r="C23" s="518"/>
      <c r="D23" s="519"/>
      <c r="E23" s="529" t="str">
        <f t="shared" ref="E23:E31" si="1">IF(B23&lt;&gt;"",C23+D23,"")</f>
        <v/>
      </c>
    </row>
    <row r="24" spans="1:7" s="289" customFormat="1" ht="20.25" customHeight="1">
      <c r="A24" s="516">
        <v>3</v>
      </c>
      <c r="B24" s="517"/>
      <c r="C24" s="518"/>
      <c r="D24" s="519"/>
      <c r="E24" s="529" t="str">
        <f t="shared" si="1"/>
        <v/>
      </c>
    </row>
    <row r="25" spans="1:7" s="289" customFormat="1" ht="20.25" customHeight="1">
      <c r="A25" s="516">
        <v>4</v>
      </c>
      <c r="B25" s="517"/>
      <c r="C25" s="518"/>
      <c r="D25" s="519"/>
      <c r="E25" s="529" t="str">
        <f t="shared" si="1"/>
        <v/>
      </c>
    </row>
    <row r="26" spans="1:7" s="289" customFormat="1" ht="20.25" customHeight="1">
      <c r="A26" s="516">
        <v>5</v>
      </c>
      <c r="B26" s="517"/>
      <c r="C26" s="518" t="s">
        <v>854</v>
      </c>
      <c r="D26" s="519"/>
      <c r="E26" s="529" t="str">
        <f t="shared" si="1"/>
        <v/>
      </c>
    </row>
    <row r="27" spans="1:7" s="289" customFormat="1" ht="20.25" customHeight="1">
      <c r="A27" s="516">
        <v>6</v>
      </c>
      <c r="B27" s="517"/>
      <c r="C27" s="518"/>
      <c r="D27" s="519"/>
      <c r="E27" s="529" t="str">
        <f t="shared" si="1"/>
        <v/>
      </c>
    </row>
    <row r="28" spans="1:7" s="289" customFormat="1" ht="20.25" customHeight="1">
      <c r="A28" s="516">
        <v>7</v>
      </c>
      <c r="B28" s="517"/>
      <c r="C28" s="518"/>
      <c r="D28" s="519"/>
      <c r="E28" s="529" t="str">
        <f t="shared" si="1"/>
        <v/>
      </c>
    </row>
    <row r="29" spans="1:7" s="289" customFormat="1" ht="20.25" customHeight="1">
      <c r="A29" s="516">
        <v>8</v>
      </c>
      <c r="B29" s="517"/>
      <c r="C29" s="518"/>
      <c r="D29" s="519"/>
      <c r="E29" s="529" t="str">
        <f t="shared" si="1"/>
        <v/>
      </c>
    </row>
    <row r="30" spans="1:7" s="289" customFormat="1" ht="20.25" customHeight="1">
      <c r="A30" s="516">
        <v>9</v>
      </c>
      <c r="B30" s="517"/>
      <c r="C30" s="518"/>
      <c r="D30" s="519"/>
      <c r="E30" s="529" t="str">
        <f t="shared" si="1"/>
        <v/>
      </c>
    </row>
    <row r="31" spans="1:7" s="289" customFormat="1" ht="20.25" customHeight="1">
      <c r="A31" s="516">
        <v>10</v>
      </c>
      <c r="B31" s="517"/>
      <c r="C31" s="518"/>
      <c r="D31" s="519"/>
      <c r="E31" s="529" t="str">
        <f t="shared" si="1"/>
        <v/>
      </c>
    </row>
    <row r="32" spans="1:7" s="523" customFormat="1" ht="22.5" customHeight="1" thickBot="1">
      <c r="A32" s="516"/>
      <c r="B32" s="522" t="s">
        <v>857</v>
      </c>
      <c r="C32" s="602">
        <f>SUM(C22:C31)</f>
        <v>0</v>
      </c>
      <c r="D32" s="603">
        <f>SUM(D22:D31)</f>
        <v>0</v>
      </c>
      <c r="E32" s="601">
        <f>C32+D32</f>
        <v>0</v>
      </c>
    </row>
    <row r="33" spans="1:10" ht="30" customHeight="1" thickBot="1">
      <c r="A33" s="524"/>
      <c r="B33" s="525" t="s">
        <v>719</v>
      </c>
      <c r="C33" s="530">
        <f>SUM(C20,C32)</f>
        <v>0</v>
      </c>
      <c r="D33" s="530">
        <f t="shared" ref="D33:E33" si="2">SUM(D20,D32)</f>
        <v>0</v>
      </c>
      <c r="E33" s="531">
        <f t="shared" si="2"/>
        <v>0</v>
      </c>
    </row>
    <row r="34" spans="1:10" ht="12.75" customHeight="1">
      <c r="J34" s="526"/>
    </row>
    <row r="35" spans="1:10" ht="20.25">
      <c r="B35" s="600" t="s">
        <v>858</v>
      </c>
    </row>
  </sheetData>
  <sheetProtection sheet="1" objects="1" scenarios="1"/>
  <mergeCells count="4">
    <mergeCell ref="A2:E2"/>
    <mergeCell ref="A7:B8"/>
    <mergeCell ref="A9:E9"/>
    <mergeCell ref="A21:E21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49"/>
  <sheetViews>
    <sheetView showGridLines="0" view="pageBreakPreview" topLeftCell="B30" zoomScale="80" zoomScaleNormal="115" zoomScaleSheetLayoutView="80" workbookViewId="0">
      <selection activeCell="D48" sqref="D48"/>
    </sheetView>
  </sheetViews>
  <sheetFormatPr baseColWidth="10" defaultColWidth="11.42578125" defaultRowHeight="15" customHeight="1"/>
  <cols>
    <col min="1" max="1" width="0.5703125" style="3" hidden="1" customWidth="1"/>
    <col min="2" max="2" width="3.28515625" style="3" customWidth="1"/>
    <col min="3" max="3" width="14.42578125" style="3" customWidth="1"/>
    <col min="4" max="4" width="71.42578125" style="3" customWidth="1"/>
    <col min="5" max="5" width="3" style="3" customWidth="1"/>
    <col min="6" max="16384" width="11.42578125" style="3"/>
  </cols>
  <sheetData>
    <row r="1" spans="1:4" ht="15" hidden="1" customHeight="1">
      <c r="A1" s="857" t="s">
        <v>859</v>
      </c>
      <c r="B1" s="857"/>
      <c r="C1" s="857"/>
      <c r="D1" s="857"/>
    </row>
    <row r="2" spans="1:4" ht="15" hidden="1" customHeight="1">
      <c r="A2" s="857" t="s">
        <v>860</v>
      </c>
      <c r="B2" s="857"/>
      <c r="C2" s="857"/>
      <c r="D2" s="857"/>
    </row>
    <row r="3" spans="1:4" ht="15" hidden="1" customHeight="1">
      <c r="A3" s="858" t="s">
        <v>861</v>
      </c>
      <c r="B3" s="858"/>
      <c r="C3" s="858"/>
      <c r="D3" s="858"/>
    </row>
    <row r="4" spans="1:4" ht="15" hidden="1" customHeight="1">
      <c r="A4" s="858" t="s">
        <v>862</v>
      </c>
      <c r="B4" s="858"/>
      <c r="C4" s="858"/>
      <c r="D4" s="858"/>
    </row>
    <row r="5" spans="1:4" ht="15" hidden="1" customHeight="1">
      <c r="A5" s="858" t="s">
        <v>863</v>
      </c>
      <c r="B5" s="858"/>
      <c r="C5" s="858"/>
      <c r="D5" s="858"/>
    </row>
    <row r="6" spans="1:4" ht="27.75" customHeight="1">
      <c r="A6" s="727"/>
      <c r="B6" s="727"/>
      <c r="C6" s="48" t="s">
        <v>864</v>
      </c>
      <c r="D6" s="727"/>
    </row>
    <row r="7" spans="1:4" ht="9" customHeight="1">
      <c r="A7" s="727"/>
      <c r="B7" s="727"/>
      <c r="C7" s="727"/>
      <c r="D7" s="727"/>
    </row>
    <row r="8" spans="1:4" ht="15" customHeight="1">
      <c r="B8" s="49"/>
      <c r="C8" s="50" t="s">
        <v>865</v>
      </c>
      <c r="D8" s="49"/>
    </row>
    <row r="9" spans="1:4" ht="9.75" customHeight="1">
      <c r="D9" s="36"/>
    </row>
    <row r="10" spans="1:4" s="33" customFormat="1" ht="15" customHeight="1">
      <c r="B10" s="51" t="s">
        <v>866</v>
      </c>
      <c r="C10" s="52" t="s">
        <v>867</v>
      </c>
      <c r="D10" s="51" t="s">
        <v>868</v>
      </c>
    </row>
    <row r="11" spans="1:4" s="33" customFormat="1" ht="6.75" customHeight="1">
      <c r="B11" s="53"/>
      <c r="C11" s="53"/>
      <c r="D11" s="53"/>
    </row>
    <row r="12" spans="1:4" s="33" customFormat="1" ht="15" customHeight="1">
      <c r="B12" s="715"/>
      <c r="C12" s="872" t="s">
        <v>869</v>
      </c>
      <c r="D12" s="872"/>
    </row>
    <row r="13" spans="1:4" ht="15" customHeight="1">
      <c r="B13" s="58">
        <v>1</v>
      </c>
      <c r="C13" s="59" t="s">
        <v>1</v>
      </c>
      <c r="D13" s="60" t="s">
        <v>870</v>
      </c>
    </row>
    <row r="14" spans="1:4" ht="15" customHeight="1">
      <c r="B14" s="58">
        <v>2</v>
      </c>
      <c r="C14" s="59" t="s">
        <v>871</v>
      </c>
      <c r="D14" s="60" t="s">
        <v>69</v>
      </c>
    </row>
    <row r="15" spans="1:4" ht="15" customHeight="1">
      <c r="B15" s="58">
        <v>4</v>
      </c>
      <c r="C15" s="59" t="s">
        <v>872</v>
      </c>
      <c r="D15" s="60" t="s">
        <v>873</v>
      </c>
    </row>
    <row r="16" spans="1:4" ht="15" customHeight="1">
      <c r="B16" s="58">
        <v>5</v>
      </c>
      <c r="C16" s="59" t="s">
        <v>874</v>
      </c>
      <c r="D16" s="60" t="s">
        <v>144</v>
      </c>
    </row>
    <row r="17" spans="2:4" ht="15" customHeight="1">
      <c r="B17" s="58">
        <v>3</v>
      </c>
      <c r="C17" s="59" t="s">
        <v>875</v>
      </c>
      <c r="D17" s="60" t="s">
        <v>154</v>
      </c>
    </row>
    <row r="18" spans="2:4" ht="15" customHeight="1">
      <c r="B18" s="58">
        <v>8</v>
      </c>
      <c r="C18" s="59" t="s">
        <v>876</v>
      </c>
      <c r="D18" s="60" t="s">
        <v>183</v>
      </c>
    </row>
    <row r="19" spans="2:4" ht="15" customHeight="1">
      <c r="B19" s="58">
        <v>9</v>
      </c>
      <c r="C19" s="59" t="s">
        <v>877</v>
      </c>
      <c r="D19" s="60" t="s">
        <v>189</v>
      </c>
    </row>
    <row r="20" spans="2:4" ht="15" customHeight="1">
      <c r="B20" s="58">
        <v>6</v>
      </c>
      <c r="C20" s="59" t="s">
        <v>878</v>
      </c>
      <c r="D20" s="60" t="s">
        <v>210</v>
      </c>
    </row>
    <row r="21" spans="2:4" ht="15" customHeight="1">
      <c r="B21" s="58">
        <v>7</v>
      </c>
      <c r="C21" s="59" t="s">
        <v>879</v>
      </c>
      <c r="D21" s="60" t="s">
        <v>217</v>
      </c>
    </row>
    <row r="22" spans="2:4" ht="6.75" customHeight="1">
      <c r="B22" s="53"/>
      <c r="C22" s="53"/>
      <c r="D22" s="53"/>
    </row>
    <row r="23" spans="2:4" s="33" customFormat="1" ht="15" customHeight="1">
      <c r="B23" s="69"/>
      <c r="C23" s="871" t="s">
        <v>880</v>
      </c>
      <c r="D23" s="871"/>
    </row>
    <row r="24" spans="2:4" ht="15" customHeight="1">
      <c r="B24" s="58">
        <v>10</v>
      </c>
      <c r="C24" s="59" t="s">
        <v>881</v>
      </c>
      <c r="D24" s="60" t="s">
        <v>259</v>
      </c>
    </row>
    <row r="25" spans="2:4" ht="15" customHeight="1">
      <c r="B25" s="61">
        <v>11</v>
      </c>
      <c r="C25" s="59" t="s">
        <v>882</v>
      </c>
      <c r="D25" s="62" t="s">
        <v>297</v>
      </c>
    </row>
    <row r="26" spans="2:4" ht="25.5">
      <c r="B26" s="66">
        <v>12</v>
      </c>
      <c r="C26" s="67" t="s">
        <v>883</v>
      </c>
      <c r="D26" s="77" t="s">
        <v>884</v>
      </c>
    </row>
    <row r="27" spans="2:4" ht="25.5">
      <c r="B27" s="66">
        <v>13</v>
      </c>
      <c r="C27" s="67" t="s">
        <v>885</v>
      </c>
      <c r="D27" s="77" t="s">
        <v>886</v>
      </c>
    </row>
    <row r="28" spans="2:4" ht="27">
      <c r="B28" s="66">
        <v>14</v>
      </c>
      <c r="C28" s="67" t="s">
        <v>887</v>
      </c>
      <c r="D28" s="78" t="s">
        <v>888</v>
      </c>
    </row>
    <row r="29" spans="2:4" ht="27">
      <c r="B29" s="66">
        <v>15</v>
      </c>
      <c r="C29" s="67" t="s">
        <v>889</v>
      </c>
      <c r="D29" s="78" t="s">
        <v>890</v>
      </c>
    </row>
    <row r="30" spans="2:4" ht="27">
      <c r="B30" s="79">
        <v>16</v>
      </c>
      <c r="C30" s="67" t="s">
        <v>891</v>
      </c>
      <c r="D30" s="78" t="s">
        <v>892</v>
      </c>
    </row>
    <row r="31" spans="2:4" ht="27">
      <c r="B31" s="79">
        <v>17</v>
      </c>
      <c r="C31" s="67" t="s">
        <v>893</v>
      </c>
      <c r="D31" s="78" t="s">
        <v>894</v>
      </c>
    </row>
    <row r="32" spans="2:4" ht="15" customHeight="1">
      <c r="B32" s="64">
        <v>18</v>
      </c>
      <c r="C32" s="63" t="s">
        <v>895</v>
      </c>
      <c r="D32" s="65" t="s">
        <v>490</v>
      </c>
    </row>
    <row r="33" spans="2:4" ht="25.5">
      <c r="B33" s="79">
        <v>19</v>
      </c>
      <c r="C33" s="67" t="s">
        <v>896</v>
      </c>
      <c r="D33" s="77" t="s">
        <v>897</v>
      </c>
    </row>
    <row r="34" spans="2:4" ht="15" customHeight="1">
      <c r="B34" s="58">
        <v>20</v>
      </c>
      <c r="C34" s="63" t="s">
        <v>898</v>
      </c>
      <c r="D34" s="62" t="s">
        <v>173</v>
      </c>
    </row>
    <row r="35" spans="2:4" ht="15" customHeight="1">
      <c r="B35" s="58">
        <v>21</v>
      </c>
      <c r="C35" s="59" t="s">
        <v>899</v>
      </c>
      <c r="D35" s="60" t="s">
        <v>900</v>
      </c>
    </row>
    <row r="36" spans="2:4" ht="7.5" customHeight="1">
      <c r="B36" s="74"/>
      <c r="C36" s="75"/>
      <c r="D36" s="75"/>
    </row>
    <row r="37" spans="2:4" s="33" customFormat="1" ht="15" customHeight="1">
      <c r="B37" s="69"/>
      <c r="C37" s="871" t="s">
        <v>901</v>
      </c>
      <c r="D37" s="871"/>
    </row>
    <row r="38" spans="2:4" ht="16.5">
      <c r="B38" s="66">
        <v>22</v>
      </c>
      <c r="C38" s="67" t="s">
        <v>902</v>
      </c>
      <c r="D38" s="68" t="s">
        <v>903</v>
      </c>
    </row>
    <row r="39" spans="2:4" ht="39.75">
      <c r="B39" s="66">
        <v>23</v>
      </c>
      <c r="C39" s="67" t="s">
        <v>904</v>
      </c>
      <c r="D39" s="68" t="s">
        <v>905</v>
      </c>
    </row>
    <row r="40" spans="2:4" ht="15" customHeight="1">
      <c r="B40" s="58">
        <v>24</v>
      </c>
      <c r="C40" s="59" t="s">
        <v>906</v>
      </c>
      <c r="D40" s="60" t="s">
        <v>907</v>
      </c>
    </row>
    <row r="41" spans="2:4" ht="7.5" customHeight="1">
      <c r="B41" s="74"/>
      <c r="C41" s="75"/>
      <c r="D41" s="75"/>
    </row>
    <row r="42" spans="2:4" s="33" customFormat="1" ht="15" customHeight="1">
      <c r="B42" s="69"/>
      <c r="C42" s="871" t="s">
        <v>908</v>
      </c>
      <c r="D42" s="871"/>
    </row>
    <row r="43" spans="2:4" s="33" customFormat="1" ht="15" customHeight="1">
      <c r="B43" s="69"/>
      <c r="C43" s="70" t="s">
        <v>909</v>
      </c>
      <c r="D43" s="70"/>
    </row>
    <row r="44" spans="2:4" ht="15" customHeight="1">
      <c r="B44" s="71"/>
      <c r="C44" s="72" t="s">
        <v>910</v>
      </c>
      <c r="D44" s="71"/>
    </row>
    <row r="45" spans="2:4" ht="15" customHeight="1">
      <c r="B45" s="58">
        <v>25</v>
      </c>
      <c r="C45" s="59" t="s">
        <v>911</v>
      </c>
      <c r="D45" s="60" t="s">
        <v>769</v>
      </c>
    </row>
    <row r="46" spans="2:4" ht="15" customHeight="1">
      <c r="B46" s="58">
        <v>26</v>
      </c>
      <c r="C46" s="63" t="s">
        <v>912</v>
      </c>
      <c r="D46" s="62" t="s">
        <v>791</v>
      </c>
    </row>
    <row r="47" spans="2:4" ht="15" customHeight="1">
      <c r="B47" s="58">
        <v>27</v>
      </c>
      <c r="C47" s="59" t="s">
        <v>913</v>
      </c>
      <c r="D47" s="60" t="s">
        <v>914</v>
      </c>
    </row>
    <row r="48" spans="2:4" ht="15" customHeight="1">
      <c r="B48" s="58">
        <v>28</v>
      </c>
      <c r="C48" s="59" t="s">
        <v>915</v>
      </c>
      <c r="D48" s="60" t="s">
        <v>916</v>
      </c>
    </row>
    <row r="49" spans="2:4" ht="15" customHeight="1">
      <c r="B49" s="58"/>
      <c r="C49" s="59" t="s">
        <v>917</v>
      </c>
      <c r="D49" s="60" t="s">
        <v>918</v>
      </c>
    </row>
  </sheetData>
  <mergeCells count="9">
    <mergeCell ref="C23:D23"/>
    <mergeCell ref="C37:D37"/>
    <mergeCell ref="C42:D42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tabColor theme="7"/>
    <pageSetUpPr fitToPage="1"/>
  </sheetPr>
  <dimension ref="A1:G37"/>
  <sheetViews>
    <sheetView topLeftCell="A28" zoomScaleSheetLayoutView="100" workbookViewId="0">
      <selection activeCell="G45" sqref="G45"/>
    </sheetView>
  </sheetViews>
  <sheetFormatPr baseColWidth="10" defaultColWidth="11.42578125" defaultRowHeight="16.5"/>
  <cols>
    <col min="1" max="1" width="36.7109375" style="141" customWidth="1"/>
    <col min="2" max="6" width="11.7109375" style="141" customWidth="1"/>
    <col min="7" max="7" width="17" style="214" bestFit="1" customWidth="1"/>
    <col min="8" max="16384" width="11.42578125" style="141"/>
  </cols>
  <sheetData>
    <row r="1" spans="1:7" ht="18.75">
      <c r="A1" s="737" t="s">
        <v>0</v>
      </c>
      <c r="B1" s="737"/>
      <c r="C1" s="737"/>
      <c r="D1" s="737"/>
      <c r="E1" s="737"/>
      <c r="F1" s="737"/>
      <c r="G1" s="668" t="s">
        <v>128</v>
      </c>
    </row>
    <row r="2" spans="1:7" s="142" customFormat="1" ht="18">
      <c r="A2" s="736" t="s">
        <v>129</v>
      </c>
      <c r="B2" s="736"/>
      <c r="C2" s="736"/>
      <c r="D2" s="736"/>
      <c r="E2" s="736"/>
      <c r="F2" s="736"/>
      <c r="G2" s="668"/>
    </row>
    <row r="3" spans="1:7" s="142" customFormat="1" ht="18">
      <c r="A3" s="735" t="s">
        <v>3</v>
      </c>
      <c r="B3" s="735"/>
      <c r="C3" s="735"/>
      <c r="D3" s="735"/>
      <c r="E3" s="735"/>
      <c r="F3" s="735"/>
      <c r="G3" s="668"/>
    </row>
    <row r="4" spans="1:7" s="142" customFormat="1" ht="18">
      <c r="A4" s="735" t="s">
        <v>70</v>
      </c>
      <c r="B4" s="735"/>
      <c r="C4" s="735"/>
      <c r="D4" s="735"/>
      <c r="E4" s="735"/>
      <c r="F4" s="735"/>
      <c r="G4" s="668"/>
    </row>
    <row r="5" spans="1:7" s="144" customFormat="1" ht="19.5" thickBot="1">
      <c r="A5" s="738" t="s">
        <v>130</v>
      </c>
      <c r="B5" s="738"/>
      <c r="C5" s="738"/>
      <c r="D5" s="738"/>
      <c r="E5" s="84" t="s">
        <v>6</v>
      </c>
      <c r="F5" s="143" t="s">
        <v>131</v>
      </c>
      <c r="G5" s="668"/>
    </row>
    <row r="6" spans="1:7" s="169" customFormat="1" ht="77.25" thickBot="1">
      <c r="A6" s="483" t="s">
        <v>132</v>
      </c>
      <c r="B6" s="258" t="s">
        <v>133</v>
      </c>
      <c r="C6" s="258" t="s">
        <v>134</v>
      </c>
      <c r="D6" s="258" t="s">
        <v>135</v>
      </c>
      <c r="E6" s="258" t="s">
        <v>136</v>
      </c>
      <c r="F6" s="484" t="s">
        <v>137</v>
      </c>
      <c r="G6" s="668"/>
    </row>
    <row r="7" spans="1:7" s="170" customFormat="1" ht="18">
      <c r="A7" s="485"/>
      <c r="B7" s="486"/>
      <c r="C7" s="486"/>
      <c r="D7" s="486"/>
      <c r="E7" s="486"/>
      <c r="F7" s="487"/>
      <c r="G7" s="668"/>
    </row>
    <row r="8" spans="1:7" s="171" customFormat="1" ht="27">
      <c r="A8" s="488" t="s">
        <v>60</v>
      </c>
      <c r="B8" s="489"/>
      <c r="C8" s="489"/>
      <c r="D8" s="489"/>
      <c r="E8" s="489"/>
      <c r="F8" s="499"/>
      <c r="G8" s="668"/>
    </row>
    <row r="9" spans="1:7" s="171" customFormat="1" ht="16.5" customHeight="1">
      <c r="A9" s="488"/>
      <c r="B9" s="489"/>
      <c r="C9" s="489"/>
      <c r="D9" s="489"/>
      <c r="E9" s="489"/>
      <c r="F9" s="490"/>
      <c r="G9" s="668"/>
    </row>
    <row r="10" spans="1:7" s="171" customFormat="1" ht="16.5" customHeight="1">
      <c r="A10" s="488" t="s">
        <v>138</v>
      </c>
      <c r="B10" s="491">
        <f>SUM(B11:B13)</f>
        <v>3320389333</v>
      </c>
      <c r="C10" s="491">
        <f t="shared" ref="C10:F10" si="0">SUM(C11:C13)</f>
        <v>0</v>
      </c>
      <c r="D10" s="491">
        <f t="shared" si="0"/>
        <v>0</v>
      </c>
      <c r="E10" s="491">
        <f t="shared" si="0"/>
        <v>0</v>
      </c>
      <c r="F10" s="492">
        <f t="shared" si="0"/>
        <v>3320389333</v>
      </c>
      <c r="G10" s="668"/>
    </row>
    <row r="11" spans="1:7" s="171" customFormat="1" ht="16.5" customHeight="1">
      <c r="A11" s="493" t="s">
        <v>52</v>
      </c>
      <c r="B11" s="494">
        <f>3318267211+2122122</f>
        <v>3320389333</v>
      </c>
      <c r="C11" s="494"/>
      <c r="D11" s="494"/>
      <c r="E11" s="494"/>
      <c r="F11" s="495">
        <f>SUM(B11:E11)</f>
        <v>3320389333</v>
      </c>
      <c r="G11" s="668"/>
    </row>
    <row r="12" spans="1:7" s="171" customFormat="1" ht="16.5" customHeight="1">
      <c r="A12" s="493" t="s">
        <v>53</v>
      </c>
      <c r="B12" s="494"/>
      <c r="C12" s="494"/>
      <c r="D12" s="494"/>
      <c r="E12" s="494"/>
      <c r="F12" s="495">
        <f t="shared" ref="F12:F13" si="1">SUM(B12:E12)</f>
        <v>0</v>
      </c>
      <c r="G12" s="668"/>
    </row>
    <row r="13" spans="1:7" s="171" customFormat="1" ht="16.5" customHeight="1">
      <c r="A13" s="493" t="s">
        <v>54</v>
      </c>
      <c r="B13" s="494"/>
      <c r="C13" s="494"/>
      <c r="D13" s="494"/>
      <c r="E13" s="494"/>
      <c r="F13" s="495">
        <f t="shared" si="1"/>
        <v>0</v>
      </c>
      <c r="G13" s="668"/>
    </row>
    <row r="14" spans="1:7" s="171" customFormat="1" ht="16.5" customHeight="1">
      <c r="A14" s="488"/>
      <c r="B14" s="494"/>
      <c r="C14" s="494"/>
      <c r="D14" s="494"/>
      <c r="E14" s="494"/>
      <c r="F14" s="496"/>
      <c r="G14" s="668"/>
    </row>
    <row r="15" spans="1:7" s="171" customFormat="1" ht="27">
      <c r="A15" s="488" t="s">
        <v>139</v>
      </c>
      <c r="B15" s="491">
        <f>SUM(B16:B19)</f>
        <v>0</v>
      </c>
      <c r="C15" s="491">
        <f t="shared" ref="C15:F15" si="2">SUM(C16:C19)</f>
        <v>-3136679</v>
      </c>
      <c r="D15" s="491">
        <f t="shared" si="2"/>
        <v>124315496</v>
      </c>
      <c r="E15" s="491">
        <f t="shared" si="2"/>
        <v>0</v>
      </c>
      <c r="F15" s="492">
        <f t="shared" si="2"/>
        <v>121178817</v>
      </c>
      <c r="G15" s="668"/>
    </row>
    <row r="16" spans="1:7" s="171" customFormat="1" ht="16.5" customHeight="1">
      <c r="A16" s="493" t="s">
        <v>127</v>
      </c>
      <c r="B16" s="494"/>
      <c r="C16" s="494"/>
      <c r="D16" s="494">
        <v>124315496</v>
      </c>
      <c r="E16" s="494"/>
      <c r="F16" s="495">
        <f>SUM(B16:E16)</f>
        <v>124315496</v>
      </c>
      <c r="G16" s="668"/>
    </row>
    <row r="17" spans="1:7" s="171" customFormat="1" ht="16.5" customHeight="1">
      <c r="A17" s="493" t="s">
        <v>57</v>
      </c>
      <c r="B17" s="494"/>
      <c r="C17" s="494">
        <v>-3136679</v>
      </c>
      <c r="D17" s="494"/>
      <c r="E17" s="494"/>
      <c r="F17" s="495">
        <f t="shared" ref="F17:F19" si="3">SUM(B17:E17)</f>
        <v>-3136679</v>
      </c>
      <c r="G17" s="668"/>
    </row>
    <row r="18" spans="1:7" s="171" customFormat="1" ht="16.5" customHeight="1">
      <c r="A18" s="493" t="s">
        <v>58</v>
      </c>
      <c r="B18" s="494"/>
      <c r="C18" s="494"/>
      <c r="D18" s="494"/>
      <c r="E18" s="494"/>
      <c r="F18" s="495">
        <f t="shared" si="3"/>
        <v>0</v>
      </c>
      <c r="G18" s="668"/>
    </row>
    <row r="19" spans="1:7" s="171" customFormat="1" ht="16.5" customHeight="1">
      <c r="A19" s="493" t="s">
        <v>59</v>
      </c>
      <c r="B19" s="494"/>
      <c r="C19" s="494"/>
      <c r="D19" s="494"/>
      <c r="E19" s="494"/>
      <c r="F19" s="495">
        <f t="shared" si="3"/>
        <v>0</v>
      </c>
      <c r="G19" s="668"/>
    </row>
    <row r="20" spans="1:7" s="171" customFormat="1" ht="16.5" customHeight="1">
      <c r="A20" s="488"/>
      <c r="B20" s="494"/>
      <c r="C20" s="494"/>
      <c r="D20" s="494"/>
      <c r="E20" s="494"/>
      <c r="F20" s="496"/>
      <c r="G20" s="668"/>
    </row>
    <row r="21" spans="1:7" s="171" customFormat="1" ht="27">
      <c r="A21" s="488" t="s">
        <v>140</v>
      </c>
      <c r="B21" s="497">
        <f>B15++B10</f>
        <v>3320389333</v>
      </c>
      <c r="C21" s="497">
        <f t="shared" ref="C21:F21" si="4">C15++C10</f>
        <v>-3136679</v>
      </c>
      <c r="D21" s="497">
        <f t="shared" si="4"/>
        <v>124315496</v>
      </c>
      <c r="E21" s="497">
        <f t="shared" si="4"/>
        <v>0</v>
      </c>
      <c r="F21" s="492">
        <f t="shared" si="4"/>
        <v>3441568150</v>
      </c>
      <c r="G21" s="668"/>
    </row>
    <row r="22" spans="1:7" s="171" customFormat="1" ht="16.5" customHeight="1">
      <c r="A22" s="488"/>
      <c r="B22" s="494"/>
      <c r="C22" s="494"/>
      <c r="D22" s="494"/>
      <c r="E22" s="494"/>
      <c r="F22" s="496"/>
      <c r="G22" s="668"/>
    </row>
    <row r="23" spans="1:7" s="171" customFormat="1" ht="27">
      <c r="A23" s="488" t="s">
        <v>141</v>
      </c>
      <c r="B23" s="491">
        <f>SUM(B24:B26)</f>
        <v>534076305.53999996</v>
      </c>
      <c r="C23" s="491">
        <f t="shared" ref="C23:F23" si="5">SUM(C24:C26)</f>
        <v>0</v>
      </c>
      <c r="D23" s="491">
        <f t="shared" si="5"/>
        <v>0</v>
      </c>
      <c r="E23" s="491">
        <f t="shared" si="5"/>
        <v>0</v>
      </c>
      <c r="F23" s="492">
        <f t="shared" si="5"/>
        <v>534076305.53999996</v>
      </c>
      <c r="G23" s="668"/>
    </row>
    <row r="24" spans="1:7" s="171" customFormat="1" ht="16.5" customHeight="1">
      <c r="A24" s="493" t="s">
        <v>52</v>
      </c>
      <c r="B24" s="494">
        <f>3854465638.54-3320389333</f>
        <v>534076305.53999996</v>
      </c>
      <c r="C24" s="494"/>
      <c r="D24" s="494"/>
      <c r="E24" s="494"/>
      <c r="F24" s="495">
        <f t="shared" ref="F24:F26" si="6">SUM(B24:E24)</f>
        <v>534076305.53999996</v>
      </c>
      <c r="G24" s="668"/>
    </row>
    <row r="25" spans="1:7" s="171" customFormat="1" ht="16.5" customHeight="1">
      <c r="A25" s="493" t="s">
        <v>53</v>
      </c>
      <c r="B25" s="494"/>
      <c r="C25" s="494"/>
      <c r="D25" s="494"/>
      <c r="E25" s="494"/>
      <c r="F25" s="495">
        <f t="shared" si="6"/>
        <v>0</v>
      </c>
      <c r="G25" s="668"/>
    </row>
    <row r="26" spans="1:7" s="171" customFormat="1" ht="16.5" customHeight="1">
      <c r="A26" s="493" t="s">
        <v>54</v>
      </c>
      <c r="B26" s="494"/>
      <c r="C26" s="494"/>
      <c r="D26" s="494"/>
      <c r="E26" s="494"/>
      <c r="F26" s="495">
        <f t="shared" si="6"/>
        <v>0</v>
      </c>
      <c r="G26" s="668"/>
    </row>
    <row r="27" spans="1:7" s="171" customFormat="1" ht="16.5" customHeight="1">
      <c r="A27" s="488"/>
      <c r="B27" s="494"/>
      <c r="C27" s="494"/>
      <c r="D27" s="494"/>
      <c r="E27" s="494"/>
      <c r="F27" s="496"/>
      <c r="G27" s="668"/>
    </row>
    <row r="28" spans="1:7" s="171" customFormat="1" ht="27">
      <c r="A28" s="488" t="s">
        <v>139</v>
      </c>
      <c r="B28" s="491">
        <f>SUM(B29:B32)</f>
        <v>0</v>
      </c>
      <c r="C28" s="491">
        <f t="shared" ref="C28:F28" si="7">SUM(C29:C32)</f>
        <v>2414080.87</v>
      </c>
      <c r="D28" s="491">
        <f t="shared" si="7"/>
        <v>158355.73999999464</v>
      </c>
      <c r="E28" s="491">
        <f t="shared" si="7"/>
        <v>0</v>
      </c>
      <c r="F28" s="492">
        <f t="shared" si="7"/>
        <v>2572436.6099999947</v>
      </c>
      <c r="G28" s="668"/>
    </row>
    <row r="29" spans="1:7" s="171" customFormat="1" ht="16.5" customHeight="1">
      <c r="A29" s="493" t="s">
        <v>127</v>
      </c>
      <c r="B29" s="494"/>
      <c r="C29" s="494"/>
      <c r="D29" s="494">
        <f>124473851.74-124315496</f>
        <v>158355.73999999464</v>
      </c>
      <c r="E29" s="494"/>
      <c r="F29" s="495">
        <f t="shared" ref="F29:F32" si="8">SUM(B29:E29)</f>
        <v>158355.73999999464</v>
      </c>
      <c r="G29" s="668"/>
    </row>
    <row r="30" spans="1:7" s="171" customFormat="1" ht="16.5" customHeight="1">
      <c r="A30" s="493" t="s">
        <v>57</v>
      </c>
      <c r="B30" s="494"/>
      <c r="C30" s="494">
        <f>+(-722598.13)-(-3136679)</f>
        <v>2414080.87</v>
      </c>
      <c r="D30" s="494"/>
      <c r="E30" s="494"/>
      <c r="F30" s="495">
        <f t="shared" si="8"/>
        <v>2414080.87</v>
      </c>
      <c r="G30" s="668"/>
    </row>
    <row r="31" spans="1:7" s="171" customFormat="1" ht="16.5" customHeight="1">
      <c r="A31" s="493" t="s">
        <v>58</v>
      </c>
      <c r="B31" s="494"/>
      <c r="C31" s="494"/>
      <c r="D31" s="494"/>
      <c r="E31" s="494"/>
      <c r="F31" s="495">
        <f t="shared" si="8"/>
        <v>0</v>
      </c>
      <c r="G31" s="668"/>
    </row>
    <row r="32" spans="1:7" s="171" customFormat="1" ht="16.5" customHeight="1">
      <c r="A32" s="493" t="s">
        <v>59</v>
      </c>
      <c r="B32" s="494"/>
      <c r="C32" s="494"/>
      <c r="D32" s="494"/>
      <c r="E32" s="494"/>
      <c r="F32" s="495">
        <f t="shared" si="8"/>
        <v>0</v>
      </c>
      <c r="G32" s="668"/>
    </row>
    <row r="33" spans="1:7" s="171" customFormat="1" ht="16.5" customHeight="1">
      <c r="A33" s="488"/>
      <c r="B33" s="498"/>
      <c r="C33" s="498"/>
      <c r="D33" s="498"/>
      <c r="E33" s="498"/>
      <c r="F33" s="499"/>
      <c r="G33" s="668"/>
    </row>
    <row r="34" spans="1:7" s="171" customFormat="1" ht="16.5" customHeight="1">
      <c r="A34" s="488" t="s">
        <v>142</v>
      </c>
      <c r="B34" s="497">
        <f>B28+B23+B21</f>
        <v>3854465638.54</v>
      </c>
      <c r="C34" s="497">
        <f t="shared" ref="C34:F34" si="9">C28+C23+C21</f>
        <v>-722598.12999999989</v>
      </c>
      <c r="D34" s="497">
        <f t="shared" si="9"/>
        <v>124473851.73999999</v>
      </c>
      <c r="E34" s="497">
        <f t="shared" si="9"/>
        <v>0</v>
      </c>
      <c r="F34" s="492">
        <f t="shared" si="9"/>
        <v>3978216892.1500001</v>
      </c>
    </row>
    <row r="35" spans="1:7" s="170" customFormat="1" ht="16.5" customHeight="1" thickBot="1">
      <c r="A35" s="500"/>
      <c r="B35" s="501"/>
      <c r="C35" s="501"/>
      <c r="D35" s="501"/>
      <c r="E35" s="501"/>
      <c r="F35" s="502"/>
      <c r="G35" s="668"/>
    </row>
    <row r="36" spans="1:7" ht="18.75">
      <c r="A36" s="82"/>
      <c r="B36" s="659" t="str">
        <f>IF(B$34-'ETCA-I-01'!E36&gt;0.99,"ERROR!!!,NO CONCUERDA CON LO REPORTADO EN EL ETCA-I-01 EN EL MISMO RUBRO","")</f>
        <v/>
      </c>
      <c r="C36" s="659" t="str">
        <f>IF(C$34-'ETCA-I-01'!E42&gt;0.99,"ERROR!!!,NO CONCUERDA CON LO REPORTADO EN EL ETCA-I-01 EN EL MISMO RUBRO","")</f>
        <v/>
      </c>
      <c r="D36" s="659" t="str">
        <f>IF(D$34-'ETCA-I-01'!E$41&gt;0.99,"ERROR!!!,NO CONCUERDA CON LO REPORTADO EN EL ETCA-I-01 EN EL MISMO RUBRO","")</f>
        <v/>
      </c>
      <c r="E36" s="659" t="str">
        <f>IF($F$34-'ETCA-I-01'!$E$50&gt;1,"ERROR!!!,NO CONCUERDA CON LO REPORTADO EN EL ETCA-I-01 EN EL MISMO RUBRO DEL EJERCICIO ACTUAL","")</f>
        <v/>
      </c>
      <c r="F36" s="659" t="str">
        <f>IF($F$34-'ETCA-I-01'!$E$50&gt;1,"ERROR!!!,NO CONCUERDA CON LO REPORTADO EN EL ETCA-I-01 EN EL MISMO RUBRO DEL EJERCICIO ACTUAL","")</f>
        <v/>
      </c>
    </row>
    <row r="37" spans="1:7">
      <c r="A37" s="141" t="s">
        <v>143</v>
      </c>
    </row>
  </sheetData>
  <sheetProtection sheet="1" objects="1" scenarios="1" insertHyperlinks="0"/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>
    <tabColor theme="7"/>
    <pageSetUpPr fitToPage="1"/>
  </sheetPr>
  <dimension ref="A1:C63"/>
  <sheetViews>
    <sheetView zoomScaleSheetLayoutView="100" workbookViewId="0">
      <selection activeCell="D16" sqref="D16"/>
    </sheetView>
  </sheetViews>
  <sheetFormatPr baseColWidth="10" defaultColWidth="11.42578125" defaultRowHeight="16.5"/>
  <cols>
    <col min="1" max="1" width="80.85546875" style="172" bestFit="1" customWidth="1"/>
    <col min="2" max="3" width="17" style="172" customWidth="1"/>
    <col min="4" max="16384" width="11.42578125" style="172"/>
  </cols>
  <sheetData>
    <row r="1" spans="1:3">
      <c r="A1" s="737" t="s">
        <v>0</v>
      </c>
      <c r="B1" s="737"/>
      <c r="C1" s="737"/>
    </row>
    <row r="2" spans="1:3" s="142" customFormat="1" ht="15.75">
      <c r="A2" s="736" t="s">
        <v>144</v>
      </c>
      <c r="B2" s="736"/>
      <c r="C2" s="736"/>
    </row>
    <row r="3" spans="1:3" s="142" customFormat="1">
      <c r="A3" s="735" t="s">
        <v>3</v>
      </c>
      <c r="B3" s="735"/>
      <c r="C3" s="735"/>
    </row>
    <row r="4" spans="1:3" s="142" customFormat="1">
      <c r="A4" s="735" t="s">
        <v>70</v>
      </c>
      <c r="B4" s="735"/>
      <c r="C4" s="735"/>
    </row>
    <row r="5" spans="1:3" s="144" customFormat="1" ht="17.25" thickBot="1">
      <c r="A5" s="87" t="s">
        <v>145</v>
      </c>
      <c r="B5" s="84" t="s">
        <v>6</v>
      </c>
      <c r="C5" s="88" t="s">
        <v>146</v>
      </c>
    </row>
    <row r="6" spans="1:3" ht="30" customHeight="1" thickBot="1">
      <c r="A6" s="182"/>
      <c r="B6" s="183" t="s">
        <v>147</v>
      </c>
      <c r="C6" s="184" t="s">
        <v>148</v>
      </c>
    </row>
    <row r="7" spans="1:3" ht="17.25" thickTop="1">
      <c r="A7" s="173" t="s">
        <v>149</v>
      </c>
      <c r="B7" s="185">
        <f>B8+B17</f>
        <v>52294763.329999998</v>
      </c>
      <c r="C7" s="186">
        <f>C8+C17</f>
        <v>178745081.75999999</v>
      </c>
    </row>
    <row r="8" spans="1:3">
      <c r="A8" s="174" t="s">
        <v>10</v>
      </c>
      <c r="B8" s="187">
        <f>SUM(B9:B15)</f>
        <v>52294763.329999998</v>
      </c>
      <c r="C8" s="188">
        <f>SUM(C9:C15)</f>
        <v>160531302.09</v>
      </c>
    </row>
    <row r="9" spans="1:3" s="177" customFormat="1" ht="13.5">
      <c r="A9" s="175" t="s">
        <v>12</v>
      </c>
      <c r="B9" s="176"/>
      <c r="C9" s="189">
        <v>142341272.80000001</v>
      </c>
    </row>
    <row r="10" spans="1:3" s="177" customFormat="1" ht="13.5">
      <c r="A10" s="175" t="s">
        <v>14</v>
      </c>
      <c r="B10" s="176"/>
      <c r="C10" s="189"/>
    </row>
    <row r="11" spans="1:3" s="177" customFormat="1" ht="13.5">
      <c r="A11" s="175" t="s">
        <v>16</v>
      </c>
      <c r="B11" s="176"/>
      <c r="C11" s="189">
        <v>18190029.289999999</v>
      </c>
    </row>
    <row r="12" spans="1:3" s="177" customFormat="1" ht="13.5">
      <c r="A12" s="175" t="s">
        <v>150</v>
      </c>
      <c r="B12" s="176"/>
      <c r="C12" s="189"/>
    </row>
    <row r="13" spans="1:3" s="177" customFormat="1" ht="13.5">
      <c r="A13" s="175" t="s">
        <v>20</v>
      </c>
      <c r="B13" s="176">
        <v>52294763.329999998</v>
      </c>
      <c r="C13" s="189"/>
    </row>
    <row r="14" spans="1:3" s="177" customFormat="1" ht="13.5">
      <c r="A14" s="175" t="s">
        <v>22</v>
      </c>
      <c r="B14" s="176"/>
      <c r="C14" s="189"/>
    </row>
    <row r="15" spans="1:3" s="177" customFormat="1" ht="13.5">
      <c r="A15" s="175" t="s">
        <v>24</v>
      </c>
      <c r="B15" s="176"/>
      <c r="C15" s="189"/>
    </row>
    <row r="16" spans="1:3" ht="5.25" customHeight="1">
      <c r="A16" s="173"/>
      <c r="B16" s="190"/>
      <c r="C16" s="191"/>
    </row>
    <row r="17" spans="1:3">
      <c r="A17" s="174" t="s">
        <v>29</v>
      </c>
      <c r="B17" s="187">
        <f>SUM(B18:B26)</f>
        <v>0</v>
      </c>
      <c r="C17" s="188">
        <f>SUM(C18:C26)</f>
        <v>18213779.670000002</v>
      </c>
    </row>
    <row r="18" spans="1:3" s="177" customFormat="1" ht="13.5">
      <c r="A18" s="175" t="s">
        <v>31</v>
      </c>
      <c r="B18" s="176"/>
      <c r="C18" s="189"/>
    </row>
    <row r="19" spans="1:3" s="177" customFormat="1" ht="13.5">
      <c r="A19" s="175" t="s">
        <v>33</v>
      </c>
      <c r="B19" s="176"/>
      <c r="C19" s="189"/>
    </row>
    <row r="20" spans="1:3" s="177" customFormat="1" ht="13.5">
      <c r="A20" s="175" t="s">
        <v>35</v>
      </c>
      <c r="B20" s="176"/>
      <c r="C20" s="189">
        <v>16158808.74</v>
      </c>
    </row>
    <row r="21" spans="1:3" s="177" customFormat="1" ht="13.5">
      <c r="A21" s="175" t="s">
        <v>37</v>
      </c>
      <c r="B21" s="176"/>
      <c r="C21" s="189">
        <v>2054970.93</v>
      </c>
    </row>
    <row r="22" spans="1:3" s="177" customFormat="1" ht="13.5">
      <c r="A22" s="175" t="s">
        <v>39</v>
      </c>
      <c r="B22" s="176"/>
      <c r="C22" s="189"/>
    </row>
    <row r="23" spans="1:3" s="177" customFormat="1" ht="13.5">
      <c r="A23" s="175" t="s">
        <v>41</v>
      </c>
      <c r="B23" s="176"/>
      <c r="C23" s="189"/>
    </row>
    <row r="24" spans="1:3" s="177" customFormat="1" ht="13.5">
      <c r="A24" s="175" t="s">
        <v>43</v>
      </c>
      <c r="B24" s="176"/>
      <c r="C24" s="189"/>
    </row>
    <row r="25" spans="1:3" s="177" customFormat="1" ht="13.5">
      <c r="A25" s="175" t="s">
        <v>44</v>
      </c>
      <c r="B25" s="176"/>
      <c r="C25" s="189"/>
    </row>
    <row r="26" spans="1:3" s="177" customFormat="1" ht="13.5">
      <c r="A26" s="175" t="s">
        <v>45</v>
      </c>
      <c r="B26" s="176"/>
      <c r="C26" s="189"/>
    </row>
    <row r="27" spans="1:3" ht="6.75" customHeight="1">
      <c r="A27" s="178"/>
      <c r="B27" s="190"/>
      <c r="C27" s="191"/>
    </row>
    <row r="28" spans="1:3">
      <c r="A28" s="173" t="s">
        <v>151</v>
      </c>
      <c r="B28" s="185">
        <f>B29+B39</f>
        <v>32937393.280000001</v>
      </c>
      <c r="C28" s="186">
        <f>C29+C39</f>
        <v>0</v>
      </c>
    </row>
    <row r="29" spans="1:3">
      <c r="A29" s="174" t="s">
        <v>11</v>
      </c>
      <c r="B29" s="187">
        <f>SUM(B30:B37)</f>
        <v>32937393.280000001</v>
      </c>
      <c r="C29" s="188">
        <f>SUM(C30:C37)</f>
        <v>0</v>
      </c>
    </row>
    <row r="30" spans="1:3" s="177" customFormat="1" ht="13.5">
      <c r="A30" s="175" t="s">
        <v>13</v>
      </c>
      <c r="B30" s="176">
        <v>32937393.280000001</v>
      </c>
      <c r="C30" s="189"/>
    </row>
    <row r="31" spans="1:3" s="177" customFormat="1" ht="13.5">
      <c r="A31" s="175" t="s">
        <v>15</v>
      </c>
      <c r="B31" s="176"/>
      <c r="C31" s="189"/>
    </row>
    <row r="32" spans="1:3" s="177" customFormat="1" ht="13.5">
      <c r="A32" s="175" t="s">
        <v>17</v>
      </c>
      <c r="B32" s="176"/>
      <c r="C32" s="189"/>
    </row>
    <row r="33" spans="1:3" s="177" customFormat="1" ht="13.5">
      <c r="A33" s="175" t="s">
        <v>19</v>
      </c>
      <c r="B33" s="176"/>
      <c r="C33" s="189"/>
    </row>
    <row r="34" spans="1:3" s="177" customFormat="1" ht="13.5">
      <c r="A34" s="175" t="s">
        <v>21</v>
      </c>
      <c r="B34" s="176"/>
      <c r="C34" s="189"/>
    </row>
    <row r="35" spans="1:3" s="177" customFormat="1" ht="13.5">
      <c r="A35" s="175" t="s">
        <v>23</v>
      </c>
      <c r="B35" s="176"/>
      <c r="C35" s="189"/>
    </row>
    <row r="36" spans="1:3" s="177" customFormat="1" ht="13.5">
      <c r="A36" s="175" t="s">
        <v>25</v>
      </c>
      <c r="B36" s="176"/>
      <c r="C36" s="189"/>
    </row>
    <row r="37" spans="1:3" s="177" customFormat="1" ht="13.5">
      <c r="A37" s="175" t="s">
        <v>26</v>
      </c>
      <c r="B37" s="176"/>
      <c r="C37" s="189"/>
    </row>
    <row r="38" spans="1:3" ht="6" customHeight="1">
      <c r="A38" s="173"/>
      <c r="B38" s="192"/>
      <c r="C38" s="193"/>
    </row>
    <row r="39" spans="1:3">
      <c r="A39" s="174" t="s">
        <v>30</v>
      </c>
      <c r="B39" s="187">
        <f>SUM(B40:B45)</f>
        <v>0</v>
      </c>
      <c r="C39" s="188">
        <f>SUM(C40:C45)</f>
        <v>0</v>
      </c>
    </row>
    <row r="40" spans="1:3" s="177" customFormat="1" ht="13.5">
      <c r="A40" s="175" t="s">
        <v>32</v>
      </c>
      <c r="B40" s="176"/>
      <c r="C40" s="189"/>
    </row>
    <row r="41" spans="1:3" s="177" customFormat="1" ht="13.5">
      <c r="A41" s="175" t="s">
        <v>34</v>
      </c>
      <c r="B41" s="176"/>
      <c r="C41" s="189"/>
    </row>
    <row r="42" spans="1:3" s="177" customFormat="1" ht="13.5">
      <c r="A42" s="175" t="s">
        <v>36</v>
      </c>
      <c r="B42" s="176"/>
      <c r="C42" s="189"/>
    </row>
    <row r="43" spans="1:3" s="177" customFormat="1" ht="13.5">
      <c r="A43" s="175" t="s">
        <v>38</v>
      </c>
      <c r="B43" s="176"/>
      <c r="C43" s="189"/>
    </row>
    <row r="44" spans="1:3" s="177" customFormat="1" ht="13.5">
      <c r="A44" s="175" t="s">
        <v>40</v>
      </c>
      <c r="B44" s="176"/>
      <c r="C44" s="189"/>
    </row>
    <row r="45" spans="1:3" s="177" customFormat="1" ht="13.5">
      <c r="A45" s="175" t="s">
        <v>42</v>
      </c>
      <c r="B45" s="176"/>
      <c r="C45" s="189"/>
    </row>
    <row r="46" spans="1:3">
      <c r="A46" s="179"/>
      <c r="B46" s="190"/>
      <c r="C46" s="191"/>
    </row>
    <row r="47" spans="1:3">
      <c r="A47" s="173" t="s">
        <v>152</v>
      </c>
      <c r="B47" s="185">
        <f>B48+B53</f>
        <v>506310672.41000003</v>
      </c>
      <c r="C47" s="186">
        <f>C48+C53</f>
        <v>459340753.25999999</v>
      </c>
    </row>
    <row r="48" spans="1:3">
      <c r="A48" s="174" t="s">
        <v>51</v>
      </c>
      <c r="B48" s="187">
        <f>SUM(B49:B51)</f>
        <v>520457672.54000002</v>
      </c>
      <c r="C48" s="188">
        <f>SUM(C49:C51)</f>
        <v>0</v>
      </c>
    </row>
    <row r="49" spans="1:3" s="177" customFormat="1" ht="13.5">
      <c r="A49" s="175" t="s">
        <v>52</v>
      </c>
      <c r="B49" s="176">
        <v>520457672.54000002</v>
      </c>
      <c r="C49" s="189"/>
    </row>
    <row r="50" spans="1:3" s="177" customFormat="1" ht="13.5">
      <c r="A50" s="175" t="s">
        <v>53</v>
      </c>
      <c r="B50" s="176"/>
      <c r="C50" s="189"/>
    </row>
    <row r="51" spans="1:3" s="177" customFormat="1" ht="13.5">
      <c r="A51" s="175" t="s">
        <v>54</v>
      </c>
      <c r="B51" s="176"/>
      <c r="C51" s="189"/>
    </row>
    <row r="52" spans="1:3" ht="6" customHeight="1">
      <c r="A52" s="174"/>
      <c r="B52" s="192"/>
      <c r="C52" s="193"/>
    </row>
    <row r="53" spans="1:3" ht="15.75" customHeight="1">
      <c r="A53" s="174" t="s">
        <v>55</v>
      </c>
      <c r="B53" s="187">
        <f>SUM(B54:B58)</f>
        <v>-14147000.130000001</v>
      </c>
      <c r="C53" s="188">
        <f>SUM(C54:C58)</f>
        <v>459340753.25999999</v>
      </c>
    </row>
    <row r="54" spans="1:3" s="177" customFormat="1" ht="13.5">
      <c r="A54" s="175" t="s">
        <v>56</v>
      </c>
      <c r="B54" s="176"/>
      <c r="C54" s="189">
        <v>459340753.25999999</v>
      </c>
    </row>
    <row r="55" spans="1:3" s="177" customFormat="1" ht="13.5">
      <c r="A55" s="175" t="s">
        <v>57</v>
      </c>
      <c r="B55" s="176">
        <f>+(-722598.13)-(-9847564)</f>
        <v>9124965.8699999992</v>
      </c>
      <c r="C55" s="176"/>
    </row>
    <row r="56" spans="1:3" s="177" customFormat="1" ht="13.5">
      <c r="A56" s="175" t="s">
        <v>58</v>
      </c>
      <c r="B56" s="176"/>
      <c r="C56" s="189"/>
    </row>
    <row r="57" spans="1:3" s="177" customFormat="1" ht="13.5">
      <c r="A57" s="175" t="s">
        <v>59</v>
      </c>
      <c r="B57" s="176"/>
      <c r="C57" s="189"/>
    </row>
    <row r="58" spans="1:3" s="177" customFormat="1" ht="13.5">
      <c r="A58" s="175" t="s">
        <v>60</v>
      </c>
      <c r="B58" s="194">
        <f>+(0)-(23271966)</f>
        <v>-23271966</v>
      </c>
      <c r="C58" s="194"/>
    </row>
    <row r="59" spans="1:3" ht="7.5" customHeight="1">
      <c r="A59" s="174"/>
      <c r="B59" s="190"/>
      <c r="C59" s="191"/>
    </row>
    <row r="60" spans="1:3">
      <c r="A60" s="174" t="s">
        <v>153</v>
      </c>
      <c r="B60" s="187">
        <f>SUM(B61:B62)</f>
        <v>0</v>
      </c>
      <c r="C60" s="188">
        <f>SUM(C61:C62)</f>
        <v>0</v>
      </c>
    </row>
    <row r="61" spans="1:3" s="177" customFormat="1" ht="13.5">
      <c r="A61" s="175" t="s">
        <v>62</v>
      </c>
      <c r="B61" s="176"/>
      <c r="C61" s="189"/>
    </row>
    <row r="62" spans="1:3" s="177" customFormat="1" ht="14.25" thickBot="1">
      <c r="A62" s="180" t="s">
        <v>63</v>
      </c>
      <c r="B62" s="181"/>
      <c r="C62" s="195"/>
    </row>
    <row r="63" spans="1:3">
      <c r="A63" s="141" t="s">
        <v>143</v>
      </c>
    </row>
  </sheetData>
  <sheetProtection sheet="1" objects="1" scenarios="1" insertHyperlinks="0" selectLockedCells="1"/>
  <mergeCells count="4">
    <mergeCell ref="A1:C1"/>
    <mergeCell ref="A3:C3"/>
    <mergeCell ref="A2:C2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tabColor theme="7"/>
    <pageSetUpPr fitToPage="1"/>
  </sheetPr>
  <dimension ref="A1:D67"/>
  <sheetViews>
    <sheetView zoomScaleSheetLayoutView="150" workbookViewId="0">
      <selection activeCell="D16" sqref="D16"/>
    </sheetView>
  </sheetViews>
  <sheetFormatPr baseColWidth="10" defaultColWidth="11.42578125" defaultRowHeight="16.5"/>
  <cols>
    <col min="1" max="1" width="2.85546875" style="82" customWidth="1"/>
    <col min="2" max="2" width="63.85546875" style="82" customWidth="1"/>
    <col min="3" max="4" width="12.7109375" style="82" customWidth="1"/>
    <col min="5" max="16384" width="11.42578125" style="82"/>
  </cols>
  <sheetData>
    <row r="1" spans="1:4">
      <c r="A1" s="737" t="s">
        <v>0</v>
      </c>
      <c r="B1" s="737"/>
      <c r="C1" s="737"/>
      <c r="D1" s="737"/>
    </row>
    <row r="2" spans="1:4">
      <c r="A2" s="736" t="s">
        <v>154</v>
      </c>
      <c r="B2" s="736"/>
      <c r="C2" s="736"/>
      <c r="D2" s="736"/>
    </row>
    <row r="3" spans="1:4">
      <c r="A3" s="735" t="s">
        <v>3</v>
      </c>
      <c r="B3" s="735"/>
      <c r="C3" s="735"/>
      <c r="D3" s="735"/>
    </row>
    <row r="4" spans="1:4">
      <c r="A4" s="735" t="s">
        <v>155</v>
      </c>
      <c r="B4" s="735"/>
      <c r="C4" s="735"/>
      <c r="D4" s="735"/>
    </row>
    <row r="5" spans="1:4" ht="17.25" thickBot="1">
      <c r="A5" s="732" t="s">
        <v>156</v>
      </c>
      <c r="B5" s="732"/>
      <c r="C5" s="84" t="s">
        <v>6</v>
      </c>
      <c r="D5" s="81" t="s">
        <v>157</v>
      </c>
    </row>
    <row r="6" spans="1:4" ht="23.25" customHeight="1" thickBot="1">
      <c r="A6" s="741" t="s">
        <v>132</v>
      </c>
      <c r="B6" s="742"/>
      <c r="C6" s="679">
        <v>42430</v>
      </c>
      <c r="D6" s="680">
        <v>42064</v>
      </c>
    </row>
    <row r="7" spans="1:4" s="197" customFormat="1" ht="12" customHeight="1" thickTop="1">
      <c r="A7" s="739" t="s">
        <v>158</v>
      </c>
      <c r="B7" s="740"/>
      <c r="C7" s="740"/>
      <c r="D7" s="196"/>
    </row>
    <row r="8" spans="1:4" s="197" customFormat="1" ht="12.75" customHeight="1">
      <c r="A8" s="198"/>
      <c r="B8" s="199" t="s">
        <v>147</v>
      </c>
      <c r="C8" s="215">
        <f>SUM(C9:C19)</f>
        <v>733486160.30000007</v>
      </c>
      <c r="D8" s="216">
        <f>SUM(D9:D19)</f>
        <v>684775213</v>
      </c>
    </row>
    <row r="9" spans="1:4" s="201" customFormat="1" ht="11.1" customHeight="1">
      <c r="A9" s="200"/>
      <c r="B9" s="212" t="s">
        <v>75</v>
      </c>
      <c r="C9" s="217"/>
      <c r="D9" s="218"/>
    </row>
    <row r="10" spans="1:4" s="201" customFormat="1" ht="11.1" customHeight="1">
      <c r="A10" s="200"/>
      <c r="B10" s="212" t="s">
        <v>77</v>
      </c>
      <c r="C10" s="217"/>
      <c r="D10" s="218"/>
    </row>
    <row r="11" spans="1:4" s="201" customFormat="1" ht="11.1" customHeight="1">
      <c r="A11" s="200"/>
      <c r="B11" s="212" t="s">
        <v>159</v>
      </c>
      <c r="C11" s="217"/>
      <c r="D11" s="218"/>
    </row>
    <row r="12" spans="1:4" s="201" customFormat="1" ht="11.1" customHeight="1">
      <c r="A12" s="200"/>
      <c r="B12" s="212" t="s">
        <v>79</v>
      </c>
      <c r="C12" s="217"/>
      <c r="D12" s="218"/>
    </row>
    <row r="13" spans="1:4" s="201" customFormat="1" ht="11.1" customHeight="1">
      <c r="A13" s="200"/>
      <c r="B13" s="212" t="s">
        <v>160</v>
      </c>
      <c r="C13" s="217"/>
      <c r="D13" s="218"/>
    </row>
    <row r="14" spans="1:4" s="201" customFormat="1" ht="11.1" customHeight="1">
      <c r="A14" s="200"/>
      <c r="B14" s="212" t="s">
        <v>81</v>
      </c>
      <c r="C14" s="217"/>
      <c r="D14" s="218"/>
    </row>
    <row r="15" spans="1:4" s="201" customFormat="1" ht="11.1" customHeight="1">
      <c r="A15" s="200"/>
      <c r="B15" s="212" t="s">
        <v>82</v>
      </c>
      <c r="C15" s="217">
        <v>11767681.9</v>
      </c>
      <c r="D15" s="218">
        <v>46943936</v>
      </c>
    </row>
    <row r="16" spans="1:4" s="201" customFormat="1" ht="22.5" customHeight="1">
      <c r="A16" s="200"/>
      <c r="B16" s="212" t="s">
        <v>83</v>
      </c>
      <c r="C16" s="217"/>
      <c r="D16" s="218"/>
    </row>
    <row r="17" spans="1:4" s="201" customFormat="1" ht="12" customHeight="1">
      <c r="A17" s="200"/>
      <c r="B17" s="212" t="s">
        <v>85</v>
      </c>
      <c r="C17" s="217">
        <v>554094308.5</v>
      </c>
      <c r="D17" s="218">
        <v>586141650</v>
      </c>
    </row>
    <row r="18" spans="1:4" s="201" customFormat="1" ht="12" customHeight="1">
      <c r="A18" s="200"/>
      <c r="B18" s="212" t="s">
        <v>161</v>
      </c>
      <c r="C18" s="217">
        <v>164696801.06</v>
      </c>
      <c r="D18" s="218">
        <v>25272758</v>
      </c>
    </row>
    <row r="19" spans="1:4" s="201" customFormat="1" ht="12" customHeight="1">
      <c r="A19" s="200"/>
      <c r="B19" s="212" t="s">
        <v>162</v>
      </c>
      <c r="C19" s="217">
        <v>2927368.84</v>
      </c>
      <c r="D19" s="218">
        <v>26416869</v>
      </c>
    </row>
    <row r="20" spans="1:4" s="197" customFormat="1" ht="13.5" customHeight="1">
      <c r="A20" s="198"/>
      <c r="B20" s="199" t="s">
        <v>148</v>
      </c>
      <c r="C20" s="215">
        <f>SUM(C21:C36)</f>
        <v>609012308.56000006</v>
      </c>
      <c r="D20" s="216">
        <f>SUM(D21:D36)</f>
        <v>560459717</v>
      </c>
    </row>
    <row r="21" spans="1:4" s="197" customFormat="1" ht="11.1" customHeight="1">
      <c r="A21" s="198"/>
      <c r="B21" s="212" t="s">
        <v>96</v>
      </c>
      <c r="C21" s="217">
        <v>544606821.86000001</v>
      </c>
      <c r="D21" s="218">
        <v>481953470</v>
      </c>
    </row>
    <row r="22" spans="1:4" s="197" customFormat="1" ht="11.1" customHeight="1">
      <c r="A22" s="198"/>
      <c r="B22" s="212" t="s">
        <v>97</v>
      </c>
      <c r="C22" s="217">
        <v>31145469.079999998</v>
      </c>
      <c r="D22" s="218">
        <v>47541966</v>
      </c>
    </row>
    <row r="23" spans="1:4" s="197" customFormat="1" ht="11.1" customHeight="1">
      <c r="A23" s="198"/>
      <c r="B23" s="212" t="s">
        <v>98</v>
      </c>
      <c r="C23" s="217">
        <v>32952427.620000001</v>
      </c>
      <c r="D23" s="218">
        <v>30899468</v>
      </c>
    </row>
    <row r="24" spans="1:4" s="197" customFormat="1" ht="11.1" customHeight="1">
      <c r="A24" s="198"/>
      <c r="B24" s="212" t="s">
        <v>99</v>
      </c>
      <c r="C24" s="217">
        <v>150000</v>
      </c>
      <c r="D24" s="218">
        <v>64813</v>
      </c>
    </row>
    <row r="25" spans="1:4" s="197" customFormat="1" ht="11.1" customHeight="1">
      <c r="A25" s="198"/>
      <c r="B25" s="212" t="s">
        <v>163</v>
      </c>
      <c r="C25" s="217"/>
      <c r="D25" s="218"/>
    </row>
    <row r="26" spans="1:4" s="197" customFormat="1" ht="11.1" customHeight="1">
      <c r="A26" s="198"/>
      <c r="B26" s="212" t="s">
        <v>164</v>
      </c>
      <c r="C26" s="217"/>
      <c r="D26" s="218"/>
    </row>
    <row r="27" spans="1:4" s="197" customFormat="1" ht="11.1" customHeight="1">
      <c r="A27" s="198"/>
      <c r="B27" s="212" t="s">
        <v>102</v>
      </c>
      <c r="C27" s="217">
        <v>157590</v>
      </c>
      <c r="D27" s="218"/>
    </row>
    <row r="28" spans="1:4" s="197" customFormat="1" ht="11.1" customHeight="1">
      <c r="A28" s="198"/>
      <c r="B28" s="212" t="s">
        <v>103</v>
      </c>
      <c r="C28" s="217"/>
      <c r="D28" s="218"/>
    </row>
    <row r="29" spans="1:4" s="197" customFormat="1" ht="11.1" customHeight="1">
      <c r="A29" s="198"/>
      <c r="B29" s="212" t="s">
        <v>104</v>
      </c>
      <c r="C29" s="217"/>
      <c r="D29" s="218"/>
    </row>
    <row r="30" spans="1:4" s="197" customFormat="1" ht="11.1" customHeight="1">
      <c r="A30" s="198"/>
      <c r="B30" s="212" t="s">
        <v>105</v>
      </c>
      <c r="C30" s="217"/>
      <c r="D30" s="218"/>
    </row>
    <row r="31" spans="1:4" s="197" customFormat="1" ht="11.1" customHeight="1">
      <c r="A31" s="198"/>
      <c r="B31" s="212" t="s">
        <v>106</v>
      </c>
      <c r="C31" s="217"/>
      <c r="D31" s="218"/>
    </row>
    <row r="32" spans="1:4" s="197" customFormat="1" ht="11.1" customHeight="1">
      <c r="A32" s="198"/>
      <c r="B32" s="212" t="s">
        <v>107</v>
      </c>
      <c r="C32" s="217"/>
      <c r="D32" s="218"/>
    </row>
    <row r="33" spans="1:4" s="197" customFormat="1" ht="11.1" customHeight="1">
      <c r="A33" s="198"/>
      <c r="B33" s="212" t="s">
        <v>165</v>
      </c>
      <c r="C33" s="217"/>
      <c r="D33" s="218"/>
    </row>
    <row r="34" spans="1:4" s="197" customFormat="1" ht="11.1" customHeight="1">
      <c r="A34" s="198"/>
      <c r="B34" s="212" t="s">
        <v>52</v>
      </c>
      <c r="C34" s="217"/>
      <c r="D34" s="218"/>
    </row>
    <row r="35" spans="1:4" s="197" customFormat="1" ht="11.1" customHeight="1">
      <c r="A35" s="198"/>
      <c r="B35" s="212" t="s">
        <v>110</v>
      </c>
      <c r="C35" s="217"/>
      <c r="D35" s="218"/>
    </row>
    <row r="36" spans="1:4" s="197" customFormat="1" ht="11.1" customHeight="1">
      <c r="A36" s="198"/>
      <c r="B36" s="212" t="s">
        <v>166</v>
      </c>
      <c r="C36" s="217"/>
      <c r="D36" s="218"/>
    </row>
    <row r="37" spans="1:4" s="197" customFormat="1" ht="12" customHeight="1">
      <c r="A37" s="202" t="s">
        <v>167</v>
      </c>
      <c r="B37" s="203"/>
      <c r="C37" s="219">
        <f>C8-C20</f>
        <v>124473851.74000001</v>
      </c>
      <c r="D37" s="220">
        <f>D8-D20</f>
        <v>124315496</v>
      </c>
    </row>
    <row r="38" spans="1:4" s="197" customFormat="1" ht="4.5" customHeight="1">
      <c r="A38" s="204"/>
      <c r="B38" s="205"/>
      <c r="C38" s="221"/>
      <c r="D38" s="222"/>
    </row>
    <row r="39" spans="1:4" s="197" customFormat="1" ht="12.75">
      <c r="A39" s="206" t="s">
        <v>168</v>
      </c>
      <c r="B39" s="199"/>
      <c r="C39" s="223"/>
      <c r="D39" s="224"/>
    </row>
    <row r="40" spans="1:4" s="197" customFormat="1" ht="10.5" customHeight="1">
      <c r="A40" s="198"/>
      <c r="B40" s="199" t="s">
        <v>147</v>
      </c>
      <c r="C40" s="215">
        <f>SUM(C41:C43)</f>
        <v>52294763.329999998</v>
      </c>
      <c r="D40" s="216">
        <f>SUM(D41:D43)</f>
        <v>-17470519</v>
      </c>
    </row>
    <row r="41" spans="1:4" s="197" customFormat="1" ht="11.1" customHeight="1">
      <c r="A41" s="198"/>
      <c r="B41" s="213" t="s">
        <v>35</v>
      </c>
      <c r="C41" s="217"/>
      <c r="D41" s="218">
        <v>-13398414</v>
      </c>
    </row>
    <row r="42" spans="1:4" s="197" customFormat="1" ht="11.1" customHeight="1">
      <c r="A42" s="198"/>
      <c r="B42" s="213" t="s">
        <v>37</v>
      </c>
      <c r="C42" s="217"/>
      <c r="D42" s="218">
        <v>-3057549</v>
      </c>
    </row>
    <row r="43" spans="1:4" s="197" customFormat="1" ht="11.1" customHeight="1">
      <c r="A43" s="198"/>
      <c r="B43" s="213" t="s">
        <v>169</v>
      </c>
      <c r="C43" s="217">
        <v>52294763.329999998</v>
      </c>
      <c r="D43" s="218">
        <v>-1014556</v>
      </c>
    </row>
    <row r="44" spans="1:4" s="197" customFormat="1" ht="10.5" customHeight="1">
      <c r="A44" s="198"/>
      <c r="B44" s="199" t="s">
        <v>148</v>
      </c>
      <c r="C44" s="215">
        <f>SUM(C45:C47)</f>
        <v>-18213779.670000002</v>
      </c>
      <c r="D44" s="216">
        <f>SUM(D45:D47)</f>
        <v>16793300</v>
      </c>
    </row>
    <row r="45" spans="1:4" s="197" customFormat="1" ht="11.1" customHeight="1">
      <c r="A45" s="198"/>
      <c r="B45" s="213" t="s">
        <v>35</v>
      </c>
      <c r="C45" s="217">
        <v>-16158808.74</v>
      </c>
      <c r="D45" s="218"/>
    </row>
    <row r="46" spans="1:4" s="197" customFormat="1" ht="11.1" customHeight="1">
      <c r="A46" s="198"/>
      <c r="B46" s="213" t="s">
        <v>37</v>
      </c>
      <c r="C46" s="217">
        <v>-2054970.93</v>
      </c>
      <c r="D46" s="218">
        <v>-345377</v>
      </c>
    </row>
    <row r="47" spans="1:4" s="197" customFormat="1" ht="11.1" customHeight="1">
      <c r="A47" s="198"/>
      <c r="B47" s="213" t="s">
        <v>170</v>
      </c>
      <c r="C47" s="217"/>
      <c r="D47" s="218">
        <v>17138677</v>
      </c>
    </row>
    <row r="48" spans="1:4" s="197" customFormat="1" ht="12" customHeight="1">
      <c r="A48" s="202" t="s">
        <v>171</v>
      </c>
      <c r="B48" s="203"/>
      <c r="C48" s="219">
        <f>C40-C44</f>
        <v>70508543</v>
      </c>
      <c r="D48" s="220">
        <f>D40-D44</f>
        <v>-34263819</v>
      </c>
    </row>
    <row r="49" spans="1:4" s="197" customFormat="1" ht="2.25" customHeight="1">
      <c r="A49" s="204"/>
      <c r="B49" s="205"/>
      <c r="C49" s="225"/>
      <c r="D49" s="226"/>
    </row>
    <row r="50" spans="1:4" s="197" customFormat="1" ht="12" customHeight="1">
      <c r="A50" s="206" t="s">
        <v>172</v>
      </c>
      <c r="B50" s="199"/>
      <c r="C50" s="223"/>
      <c r="D50" s="224"/>
    </row>
    <row r="51" spans="1:4" s="197" customFormat="1" ht="12.75">
      <c r="A51" s="198"/>
      <c r="B51" s="199" t="s">
        <v>147</v>
      </c>
      <c r="C51" s="215">
        <f>SUM(C52:C55)</f>
        <v>2308409.06</v>
      </c>
      <c r="D51" s="216">
        <f>SUM(D52:D55)</f>
        <v>-22531559</v>
      </c>
    </row>
    <row r="52" spans="1:4" s="197" customFormat="1" ht="11.1" customHeight="1">
      <c r="A52" s="198"/>
      <c r="B52" s="213" t="s">
        <v>173</v>
      </c>
      <c r="C52" s="217"/>
      <c r="D52" s="218"/>
    </row>
    <row r="53" spans="1:4" s="197" customFormat="1" ht="11.1" customHeight="1">
      <c r="A53" s="198"/>
      <c r="B53" s="213" t="s">
        <v>174</v>
      </c>
      <c r="C53" s="217"/>
      <c r="D53" s="218"/>
    </row>
    <row r="54" spans="1:4" s="197" customFormat="1" ht="11.1" customHeight="1">
      <c r="A54" s="198"/>
      <c r="B54" s="213" t="s">
        <v>175</v>
      </c>
      <c r="C54" s="217"/>
      <c r="D54" s="218"/>
    </row>
    <row r="55" spans="1:4" s="197" customFormat="1" ht="11.1" customHeight="1">
      <c r="A55" s="198"/>
      <c r="B55" s="213" t="s">
        <v>176</v>
      </c>
      <c r="C55" s="217">
        <v>2308409.06</v>
      </c>
      <c r="D55" s="218">
        <v>-22531559</v>
      </c>
    </row>
    <row r="56" spans="1:4" s="197" customFormat="1" ht="11.25" customHeight="1">
      <c r="A56" s="198"/>
      <c r="B56" s="199" t="s">
        <v>148</v>
      </c>
      <c r="C56" s="215">
        <f>SUM(C57:C60)</f>
        <v>0</v>
      </c>
      <c r="D56" s="216">
        <f>SUM(D57:D60)</f>
        <v>47335006</v>
      </c>
    </row>
    <row r="57" spans="1:4" s="197" customFormat="1" ht="11.1" customHeight="1">
      <c r="A57" s="198"/>
      <c r="B57" s="213" t="s">
        <v>177</v>
      </c>
      <c r="C57" s="217"/>
      <c r="D57" s="218"/>
    </row>
    <row r="58" spans="1:4" s="197" customFormat="1" ht="11.1" customHeight="1">
      <c r="A58" s="198"/>
      <c r="B58" s="213" t="s">
        <v>174</v>
      </c>
      <c r="C58" s="217"/>
      <c r="D58" s="218"/>
    </row>
    <row r="59" spans="1:4" s="197" customFormat="1" ht="11.1" customHeight="1">
      <c r="A59" s="198"/>
      <c r="B59" s="213" t="s">
        <v>175</v>
      </c>
      <c r="C59" s="217"/>
      <c r="D59" s="218"/>
    </row>
    <row r="60" spans="1:4" s="197" customFormat="1" ht="11.1" customHeight="1">
      <c r="A60" s="198"/>
      <c r="B60" s="213" t="s">
        <v>178</v>
      </c>
      <c r="C60" s="217"/>
      <c r="D60" s="218">
        <v>47335006</v>
      </c>
    </row>
    <row r="61" spans="1:4" s="197" customFormat="1" ht="12" customHeight="1">
      <c r="A61" s="202" t="s">
        <v>179</v>
      </c>
      <c r="B61" s="203"/>
      <c r="C61" s="219">
        <f>C51-C56</f>
        <v>2308409.06</v>
      </c>
      <c r="D61" s="220">
        <f>D51-D56</f>
        <v>-69866565</v>
      </c>
    </row>
    <row r="62" spans="1:4" s="197" customFormat="1" ht="2.25" customHeight="1">
      <c r="A62" s="204"/>
      <c r="B62" s="205"/>
      <c r="C62" s="225"/>
      <c r="D62" s="226"/>
    </row>
    <row r="63" spans="1:4" s="197" customFormat="1" ht="12" customHeight="1">
      <c r="A63" s="202" t="s">
        <v>180</v>
      </c>
      <c r="B63" s="207"/>
      <c r="C63" s="227">
        <f>C61+C48+C37</f>
        <v>197290803.80000001</v>
      </c>
      <c r="D63" s="228">
        <f>D61+D48+D37</f>
        <v>20185112</v>
      </c>
    </row>
    <row r="64" spans="1:4" ht="2.25" customHeight="1">
      <c r="A64" s="208"/>
      <c r="B64" s="209"/>
      <c r="C64" s="225"/>
      <c r="D64" s="226"/>
    </row>
    <row r="65" spans="1:4" s="197" customFormat="1" ht="12" customHeight="1">
      <c r="A65" s="202" t="s">
        <v>181</v>
      </c>
      <c r="B65" s="203"/>
      <c r="C65" s="217">
        <v>521642008</v>
      </c>
      <c r="D65" s="218">
        <v>501456896</v>
      </c>
    </row>
    <row r="66" spans="1:4" s="197" customFormat="1" ht="12" customHeight="1" thickBot="1">
      <c r="A66" s="211" t="s">
        <v>182</v>
      </c>
      <c r="B66" s="210"/>
      <c r="C66" s="229">
        <f>C65+C63</f>
        <v>718932811.79999995</v>
      </c>
      <c r="D66" s="230">
        <f>D65+D63</f>
        <v>521642008</v>
      </c>
    </row>
    <row r="67" spans="1:4">
      <c r="A67" s="82" t="s">
        <v>143</v>
      </c>
    </row>
  </sheetData>
  <sheetProtection sheet="1" objects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8">
    <tabColor theme="7"/>
    <pageSetUpPr fitToPage="1"/>
  </sheetPr>
  <dimension ref="A1:H30"/>
  <sheetViews>
    <sheetView zoomScaleSheetLayoutView="100" workbookViewId="0">
      <selection activeCell="D16" sqref="D16"/>
    </sheetView>
  </sheetViews>
  <sheetFormatPr baseColWidth="10" defaultColWidth="11.42578125" defaultRowHeight="16.5"/>
  <cols>
    <col min="1" max="1" width="1.42578125" style="170" customWidth="1"/>
    <col min="2" max="2" width="32.28515625" style="170" customWidth="1"/>
    <col min="3" max="7" width="12.7109375" style="170" customWidth="1"/>
    <col min="8" max="8" width="63.85546875" style="170" customWidth="1"/>
    <col min="9" max="16384" width="11.42578125" style="170"/>
  </cols>
  <sheetData>
    <row r="1" spans="1:8">
      <c r="A1" s="745" t="s">
        <v>0</v>
      </c>
      <c r="B1" s="745"/>
      <c r="C1" s="745"/>
      <c r="D1" s="745"/>
      <c r="E1" s="745"/>
      <c r="F1" s="745"/>
      <c r="G1" s="745"/>
    </row>
    <row r="2" spans="1:8" s="231" customFormat="1" ht="18">
      <c r="A2" s="745" t="s">
        <v>183</v>
      </c>
      <c r="B2" s="745"/>
      <c r="C2" s="745"/>
      <c r="D2" s="745"/>
      <c r="E2" s="745"/>
      <c r="F2" s="745"/>
      <c r="G2" s="745"/>
      <c r="H2" s="644" t="s">
        <v>68</v>
      </c>
    </row>
    <row r="3" spans="1:8" s="231" customFormat="1">
      <c r="A3" s="746" t="s">
        <v>3</v>
      </c>
      <c r="B3" s="746"/>
      <c r="C3" s="746"/>
      <c r="D3" s="746"/>
      <c r="E3" s="746"/>
      <c r="F3" s="746"/>
      <c r="G3" s="746"/>
    </row>
    <row r="4" spans="1:8" s="231" customFormat="1">
      <c r="A4" s="746" t="s">
        <v>70</v>
      </c>
      <c r="B4" s="746"/>
      <c r="C4" s="746"/>
      <c r="D4" s="746"/>
      <c r="E4" s="746"/>
      <c r="F4" s="746"/>
      <c r="G4" s="746"/>
    </row>
    <row r="5" spans="1:8" s="233" customFormat="1" ht="17.25" thickBot="1">
      <c r="A5" s="232"/>
      <c r="B5" s="232"/>
      <c r="C5" s="747" t="s">
        <v>5</v>
      </c>
      <c r="D5" s="747"/>
      <c r="E5" s="232"/>
      <c r="F5" s="84" t="s">
        <v>6</v>
      </c>
      <c r="G5" s="232" t="s">
        <v>131</v>
      </c>
    </row>
    <row r="6" spans="1:8" s="234" customFormat="1" ht="50.25" thickBot="1">
      <c r="A6" s="743" t="s">
        <v>132</v>
      </c>
      <c r="B6" s="744"/>
      <c r="C6" s="240" t="s">
        <v>184</v>
      </c>
      <c r="D6" s="240" t="s">
        <v>185</v>
      </c>
      <c r="E6" s="240" t="s">
        <v>186</v>
      </c>
      <c r="F6" s="240" t="s">
        <v>187</v>
      </c>
      <c r="G6" s="241" t="s">
        <v>188</v>
      </c>
    </row>
    <row r="7" spans="1:8" ht="20.100000000000001" customHeight="1">
      <c r="A7" s="235"/>
      <c r="B7" s="251"/>
      <c r="C7" s="242"/>
      <c r="D7" s="242"/>
      <c r="E7" s="242"/>
      <c r="F7" s="242"/>
      <c r="G7" s="243"/>
    </row>
    <row r="8" spans="1:8" ht="20.100000000000001" customHeight="1">
      <c r="A8" s="236" t="s">
        <v>8</v>
      </c>
      <c r="B8" s="252"/>
      <c r="C8" s="244">
        <f>C10+C19</f>
        <v>4233222165</v>
      </c>
      <c r="D8" s="244">
        <f t="shared" ref="D8:E8" si="0">D10+D19</f>
        <v>2183575232.2800002</v>
      </c>
      <c r="E8" s="244">
        <f t="shared" si="0"/>
        <v>2057124912.8499999</v>
      </c>
      <c r="F8" s="245">
        <f>C8+D8-E8</f>
        <v>4359672484.4300003</v>
      </c>
      <c r="G8" s="246">
        <f>F8-C8</f>
        <v>126450319.43000031</v>
      </c>
      <c r="H8" s="645" t="str">
        <f>IF(F8-'ETCA-I-01'!B33&gt;0.9," ERROR!, NO CONCUERDA CON LO REPORTADO EN EL FORMATO ETCA-I-01 EN EL MISMO RUBRO","")</f>
        <v/>
      </c>
    </row>
    <row r="9" spans="1:8" ht="20.100000000000001" customHeight="1">
      <c r="A9" s="237"/>
      <c r="B9" s="253"/>
      <c r="C9" s="247"/>
      <c r="D9" s="247"/>
      <c r="E9" s="247"/>
      <c r="F9" s="247"/>
      <c r="G9" s="248"/>
    </row>
    <row r="10" spans="1:8" ht="20.100000000000001" customHeight="1">
      <c r="A10" s="237"/>
      <c r="B10" s="253" t="s">
        <v>10</v>
      </c>
      <c r="C10" s="244">
        <f>SUM(C11:C17)</f>
        <v>1108105127.8799999</v>
      </c>
      <c r="D10" s="244">
        <f t="shared" ref="D10:E10" si="1">SUM(D11:D17)</f>
        <v>2165361451.73</v>
      </c>
      <c r="E10" s="244">
        <f t="shared" si="1"/>
        <v>2057124912.8499999</v>
      </c>
      <c r="F10" s="245">
        <f>C10+D10-E10</f>
        <v>1216341666.7599998</v>
      </c>
      <c r="G10" s="246">
        <f>F10-C10</f>
        <v>108236538.87999988</v>
      </c>
      <c r="H10" s="645" t="str">
        <f>IF(F10-'ETCA-I-01'!B18&gt;0.9," ERROR!, NO CONCUERDA CON LO REPORTADO EN EL FORMATO ETCA-I-01 EN EL MISMO RUBRO","")</f>
        <v/>
      </c>
    </row>
    <row r="11" spans="1:8" ht="20.100000000000001" customHeight="1">
      <c r="A11" s="238"/>
      <c r="B11" s="254" t="s">
        <v>12</v>
      </c>
      <c r="C11" s="247">
        <v>576591538.75999999</v>
      </c>
      <c r="D11" s="247">
        <f>6877000+1391511796.25</f>
        <v>1398388796.25</v>
      </c>
      <c r="E11" s="247">
        <v>1256047523.21</v>
      </c>
      <c r="F11" s="256">
        <f>C11+D11-E11</f>
        <v>718932811.79999995</v>
      </c>
      <c r="G11" s="257">
        <f>F11-C11</f>
        <v>142341273.03999996</v>
      </c>
    </row>
    <row r="12" spans="1:8" ht="20.100000000000001" customHeight="1">
      <c r="A12" s="238"/>
      <c r="B12" s="254" t="s">
        <v>14</v>
      </c>
      <c r="C12" s="247"/>
      <c r="D12" s="247"/>
      <c r="E12" s="247"/>
      <c r="F12" s="256">
        <f t="shared" ref="F12:F17" si="2">C12+D12-E12</f>
        <v>0</v>
      </c>
      <c r="G12" s="257">
        <f t="shared" ref="G12:G17" si="3">F12-C12</f>
        <v>0</v>
      </c>
    </row>
    <row r="13" spans="1:8" ht="20.100000000000001" customHeight="1">
      <c r="A13" s="238"/>
      <c r="B13" s="254" t="s">
        <v>16</v>
      </c>
      <c r="C13" s="247">
        <v>405352707.33999997</v>
      </c>
      <c r="D13" s="247">
        <f>728386919.09+21594799.32+1283028.08+8003969.77</f>
        <v>759268716.26000011</v>
      </c>
      <c r="E13" s="247">
        <f>728386919.09+11236815.97+548500.78+906451.47</f>
        <v>741078687.31000006</v>
      </c>
      <c r="F13" s="256">
        <f t="shared" si="2"/>
        <v>423542736.29000008</v>
      </c>
      <c r="G13" s="257">
        <f t="shared" si="3"/>
        <v>18190028.950000107</v>
      </c>
    </row>
    <row r="14" spans="1:8" ht="20.100000000000001" customHeight="1">
      <c r="A14" s="238"/>
      <c r="B14" s="254" t="s">
        <v>18</v>
      </c>
      <c r="C14" s="247"/>
      <c r="D14" s="247"/>
      <c r="E14" s="247"/>
      <c r="F14" s="256">
        <f t="shared" si="2"/>
        <v>0</v>
      </c>
      <c r="G14" s="257">
        <f t="shared" si="3"/>
        <v>0</v>
      </c>
    </row>
    <row r="15" spans="1:8" ht="20.100000000000001" customHeight="1">
      <c r="A15" s="238"/>
      <c r="B15" s="254" t="s">
        <v>20</v>
      </c>
      <c r="C15" s="247">
        <v>126160881.78</v>
      </c>
      <c r="D15" s="247">
        <v>7703939.2199999997</v>
      </c>
      <c r="E15" s="247">
        <v>59998702.329999998</v>
      </c>
      <c r="F15" s="256">
        <f t="shared" si="2"/>
        <v>73866118.670000002</v>
      </c>
      <c r="G15" s="257">
        <f t="shared" si="3"/>
        <v>-52294763.109999999</v>
      </c>
    </row>
    <row r="16" spans="1:8" ht="25.5">
      <c r="A16" s="238"/>
      <c r="B16" s="254" t="s">
        <v>22</v>
      </c>
      <c r="C16" s="247"/>
      <c r="D16" s="247"/>
      <c r="E16" s="247"/>
      <c r="F16" s="256">
        <f t="shared" si="2"/>
        <v>0</v>
      </c>
      <c r="G16" s="257">
        <f t="shared" si="3"/>
        <v>0</v>
      </c>
    </row>
    <row r="17" spans="1:8" ht="20.100000000000001" customHeight="1">
      <c r="A17" s="238"/>
      <c r="B17" s="254" t="s">
        <v>24</v>
      </c>
      <c r="C17" s="247"/>
      <c r="D17" s="247"/>
      <c r="E17" s="247"/>
      <c r="F17" s="256">
        <f t="shared" si="2"/>
        <v>0</v>
      </c>
      <c r="G17" s="257">
        <f t="shared" si="3"/>
        <v>0</v>
      </c>
    </row>
    <row r="18" spans="1:8" ht="20.100000000000001" customHeight="1">
      <c r="A18" s="237"/>
      <c r="B18" s="253"/>
      <c r="C18" s="247"/>
      <c r="D18" s="247"/>
      <c r="E18" s="247"/>
      <c r="F18" s="247"/>
      <c r="G18" s="248"/>
    </row>
    <row r="19" spans="1:8" ht="20.100000000000001" customHeight="1">
      <c r="A19" s="237"/>
      <c r="B19" s="253" t="s">
        <v>29</v>
      </c>
      <c r="C19" s="244">
        <f>SUM(C20:C28)</f>
        <v>3125117037.1199999</v>
      </c>
      <c r="D19" s="244">
        <f t="shared" ref="D19:E19" si="4">SUM(D20:D28)</f>
        <v>18213780.550000001</v>
      </c>
      <c r="E19" s="244">
        <f t="shared" si="4"/>
        <v>0</v>
      </c>
      <c r="F19" s="245">
        <f>C19+D19-E19</f>
        <v>3143330817.6700001</v>
      </c>
      <c r="G19" s="246">
        <f>F19-C19</f>
        <v>18213780.550000191</v>
      </c>
      <c r="H19" s="645" t="str">
        <f>IF(F19-'ETCA-I-01'!B31&gt;0.9," ERROR!, NO CONCUERDA CON LO REPORTADO EN EL FORMATO ETCA-I-01 EN EL MISMO RUBRO","")</f>
        <v/>
      </c>
    </row>
    <row r="20" spans="1:8" ht="20.100000000000001" customHeight="1">
      <c r="A20" s="238"/>
      <c r="B20" s="254" t="s">
        <v>31</v>
      </c>
      <c r="C20" s="247"/>
      <c r="D20" s="247"/>
      <c r="E20" s="247"/>
      <c r="F20" s="256">
        <f>C20+D20-E20</f>
        <v>0</v>
      </c>
      <c r="G20" s="257">
        <f>F20-C20</f>
        <v>0</v>
      </c>
    </row>
    <row r="21" spans="1:8" ht="25.5">
      <c r="A21" s="238"/>
      <c r="B21" s="254" t="s">
        <v>33</v>
      </c>
      <c r="C21" s="247"/>
      <c r="D21" s="247"/>
      <c r="E21" s="247"/>
      <c r="F21" s="256">
        <f t="shared" ref="F21:F26" si="5">C21+D21-E21</f>
        <v>0</v>
      </c>
      <c r="G21" s="257">
        <f t="shared" ref="G21:G26" si="6">F21-C21</f>
        <v>0</v>
      </c>
    </row>
    <row r="22" spans="1:8" ht="25.5">
      <c r="A22" s="238"/>
      <c r="B22" s="254" t="s">
        <v>35</v>
      </c>
      <c r="C22" s="247">
        <v>1777729922.5</v>
      </c>
      <c r="D22" s="247">
        <v>16158809.24</v>
      </c>
      <c r="E22" s="247"/>
      <c r="F22" s="256">
        <f t="shared" si="5"/>
        <v>1793888731.74</v>
      </c>
      <c r="G22" s="257">
        <f t="shared" si="6"/>
        <v>16158809.24000001</v>
      </c>
    </row>
    <row r="23" spans="1:8" ht="20.100000000000001" customHeight="1">
      <c r="A23" s="238"/>
      <c r="B23" s="254" t="s">
        <v>37</v>
      </c>
      <c r="C23" s="247">
        <v>1347387114.6199999</v>
      </c>
      <c r="D23" s="247">
        <f>8162.08+1499599.59+7450.92+54858.72+484900</f>
        <v>2054971.31</v>
      </c>
      <c r="E23" s="247"/>
      <c r="F23" s="256">
        <f t="shared" si="5"/>
        <v>1349442085.9299998</v>
      </c>
      <c r="G23" s="257">
        <f t="shared" si="6"/>
        <v>2054971.3099999428</v>
      </c>
    </row>
    <row r="24" spans="1:8" ht="20.100000000000001" customHeight="1">
      <c r="A24" s="238"/>
      <c r="B24" s="254" t="s">
        <v>39</v>
      </c>
      <c r="C24" s="247"/>
      <c r="D24" s="247"/>
      <c r="E24" s="247"/>
      <c r="F24" s="256">
        <f t="shared" si="5"/>
        <v>0</v>
      </c>
      <c r="G24" s="257">
        <f t="shared" si="6"/>
        <v>0</v>
      </c>
    </row>
    <row r="25" spans="1:8" ht="25.5">
      <c r="A25" s="238"/>
      <c r="B25" s="254" t="s">
        <v>41</v>
      </c>
      <c r="C25" s="247"/>
      <c r="D25" s="247"/>
      <c r="E25" s="247"/>
      <c r="F25" s="256">
        <f t="shared" si="5"/>
        <v>0</v>
      </c>
      <c r="G25" s="257">
        <f t="shared" si="6"/>
        <v>0</v>
      </c>
    </row>
    <row r="26" spans="1:8" ht="20.100000000000001" customHeight="1">
      <c r="A26" s="238"/>
      <c r="B26" s="254" t="s">
        <v>43</v>
      </c>
      <c r="C26" s="247"/>
      <c r="D26" s="247"/>
      <c r="E26" s="247"/>
      <c r="F26" s="256">
        <f t="shared" si="5"/>
        <v>0</v>
      </c>
      <c r="G26" s="257">
        <f t="shared" si="6"/>
        <v>0</v>
      </c>
    </row>
    <row r="27" spans="1:8" ht="25.5">
      <c r="A27" s="238"/>
      <c r="B27" s="254" t="s">
        <v>44</v>
      </c>
      <c r="C27" s="247"/>
      <c r="D27" s="247"/>
      <c r="E27" s="247"/>
      <c r="F27" s="256">
        <f t="shared" ref="F27:F28" si="7">C27+D27-E27</f>
        <v>0</v>
      </c>
      <c r="G27" s="257">
        <f t="shared" ref="G27:G28" si="8">F27-C27</f>
        <v>0</v>
      </c>
    </row>
    <row r="28" spans="1:8" ht="20.100000000000001" customHeight="1">
      <c r="A28" s="238"/>
      <c r="B28" s="254" t="s">
        <v>45</v>
      </c>
      <c r="C28" s="247"/>
      <c r="D28" s="247"/>
      <c r="E28" s="247"/>
      <c r="F28" s="256">
        <f t="shared" si="7"/>
        <v>0</v>
      </c>
      <c r="G28" s="257">
        <f t="shared" si="8"/>
        <v>0</v>
      </c>
    </row>
    <row r="29" spans="1:8" ht="20.100000000000001" customHeight="1" thickBot="1">
      <c r="A29" s="239"/>
      <c r="B29" s="255"/>
      <c r="C29" s="249"/>
      <c r="D29" s="249"/>
      <c r="E29" s="249"/>
      <c r="F29" s="249"/>
      <c r="G29" s="250"/>
    </row>
    <row r="30" spans="1:8">
      <c r="A30" s="170" t="s">
        <v>143</v>
      </c>
    </row>
  </sheetData>
  <sheetProtection sheet="1" objects="1" scenarios="1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>
    <tabColor theme="7"/>
    <pageSetUpPr fitToPage="1"/>
  </sheetPr>
  <dimension ref="A1:G41"/>
  <sheetViews>
    <sheetView zoomScaleSheetLayoutView="100" workbookViewId="0">
      <selection activeCell="D16" sqref="D16"/>
    </sheetView>
  </sheetViews>
  <sheetFormatPr baseColWidth="10" defaultColWidth="11.42578125" defaultRowHeight="16.5"/>
  <cols>
    <col min="1" max="1" width="2.140625" style="141" customWidth="1"/>
    <col min="2" max="2" width="28.42578125" style="141" customWidth="1"/>
    <col min="3" max="6" width="16.7109375" style="141" customWidth="1"/>
    <col min="7" max="7" width="79" style="141" customWidth="1"/>
    <col min="8" max="16384" width="11.42578125" style="141"/>
  </cols>
  <sheetData>
    <row r="1" spans="1:7" s="170" customFormat="1" ht="18">
      <c r="A1" s="745" t="s">
        <v>0</v>
      </c>
      <c r="B1" s="745"/>
      <c r="C1" s="745"/>
      <c r="D1" s="745"/>
      <c r="E1" s="745"/>
      <c r="F1" s="745"/>
      <c r="G1" s="643" t="s">
        <v>68</v>
      </c>
    </row>
    <row r="2" spans="1:7" s="231" customFormat="1" ht="15.75">
      <c r="A2" s="745" t="s">
        <v>189</v>
      </c>
      <c r="B2" s="745"/>
      <c r="C2" s="745"/>
      <c r="D2" s="745"/>
      <c r="E2" s="745"/>
      <c r="F2" s="745"/>
    </row>
    <row r="3" spans="1:7" s="231" customFormat="1">
      <c r="A3" s="746" t="s">
        <v>3</v>
      </c>
      <c r="B3" s="746"/>
      <c r="C3" s="746"/>
      <c r="D3" s="746"/>
      <c r="E3" s="746"/>
      <c r="F3" s="746"/>
    </row>
    <row r="4" spans="1:7" s="231" customFormat="1">
      <c r="A4" s="746" t="s">
        <v>70</v>
      </c>
      <c r="B4" s="746"/>
      <c r="C4" s="746"/>
      <c r="D4" s="746"/>
      <c r="E4" s="746"/>
      <c r="F4" s="746"/>
    </row>
    <row r="5" spans="1:7" s="233" customFormat="1" ht="17.25" thickBot="1">
      <c r="A5" s="232"/>
      <c r="B5" s="232"/>
      <c r="C5" s="747" t="s">
        <v>5</v>
      </c>
      <c r="D5" s="747"/>
      <c r="E5" s="84" t="s">
        <v>6</v>
      </c>
      <c r="F5" s="232" t="s">
        <v>190</v>
      </c>
    </row>
    <row r="6" spans="1:7" s="260" customFormat="1" ht="37.5" customHeight="1" thickBot="1">
      <c r="A6" s="748" t="s">
        <v>191</v>
      </c>
      <c r="B6" s="749"/>
      <c r="C6" s="258" t="s">
        <v>192</v>
      </c>
      <c r="D6" s="258" t="s">
        <v>193</v>
      </c>
      <c r="E6" s="258" t="s">
        <v>194</v>
      </c>
      <c r="F6" s="259" t="s">
        <v>195</v>
      </c>
    </row>
    <row r="7" spans="1:7">
      <c r="A7" s="752"/>
      <c r="B7" s="753"/>
      <c r="C7" s="261"/>
      <c r="D7" s="261"/>
      <c r="E7" s="262"/>
      <c r="F7" s="263"/>
    </row>
    <row r="8" spans="1:7">
      <c r="A8" s="756" t="s">
        <v>196</v>
      </c>
      <c r="B8" s="757"/>
      <c r="C8" s="264"/>
      <c r="D8" s="264"/>
      <c r="E8" s="264"/>
      <c r="F8" s="265"/>
    </row>
    <row r="9" spans="1:7">
      <c r="A9" s="758" t="s">
        <v>197</v>
      </c>
      <c r="B9" s="759"/>
      <c r="C9" s="264"/>
      <c r="D9" s="264"/>
      <c r="E9" s="264"/>
      <c r="F9" s="265"/>
    </row>
    <row r="10" spans="1:7">
      <c r="A10" s="754" t="s">
        <v>198</v>
      </c>
      <c r="B10" s="755"/>
      <c r="C10" s="266"/>
      <c r="D10" s="266"/>
      <c r="E10" s="279">
        <f t="shared" ref="E10:F10" si="0">SUM(E11:E13)</f>
        <v>0</v>
      </c>
      <c r="F10" s="280">
        <f t="shared" si="0"/>
        <v>0</v>
      </c>
    </row>
    <row r="11" spans="1:7">
      <c r="A11" s="713"/>
      <c r="B11" s="268" t="s">
        <v>199</v>
      </c>
      <c r="C11" s="266"/>
      <c r="D11" s="266"/>
      <c r="E11" s="266">
        <v>0</v>
      </c>
      <c r="F11" s="267">
        <v>0</v>
      </c>
    </row>
    <row r="12" spans="1:7">
      <c r="A12" s="269"/>
      <c r="B12" s="268" t="s">
        <v>200</v>
      </c>
      <c r="C12" s="270"/>
      <c r="D12" s="270"/>
      <c r="E12" s="270"/>
      <c r="F12" s="271"/>
    </row>
    <row r="13" spans="1:7">
      <c r="A13" s="269"/>
      <c r="B13" s="268" t="s">
        <v>201</v>
      </c>
      <c r="C13" s="270"/>
      <c r="D13" s="270"/>
      <c r="E13" s="270"/>
      <c r="F13" s="271"/>
    </row>
    <row r="14" spans="1:7">
      <c r="A14" s="269"/>
      <c r="B14" s="272"/>
      <c r="C14" s="270"/>
      <c r="D14" s="270"/>
      <c r="E14" s="270"/>
      <c r="F14" s="271"/>
    </row>
    <row r="15" spans="1:7">
      <c r="A15" s="754" t="s">
        <v>202</v>
      </c>
      <c r="B15" s="755"/>
      <c r="C15" s="266"/>
      <c r="D15" s="266"/>
      <c r="E15" s="279">
        <f t="shared" ref="E15:F15" si="1">SUM(E16:E19)</f>
        <v>0</v>
      </c>
      <c r="F15" s="280">
        <f t="shared" si="1"/>
        <v>0</v>
      </c>
    </row>
    <row r="16" spans="1:7">
      <c r="A16" s="269"/>
      <c r="B16" s="268" t="s">
        <v>203</v>
      </c>
      <c r="C16" s="270"/>
      <c r="D16" s="270"/>
      <c r="E16" s="270"/>
      <c r="F16" s="271"/>
    </row>
    <row r="17" spans="1:7">
      <c r="A17" s="713"/>
      <c r="B17" s="268" t="s">
        <v>204</v>
      </c>
      <c r="C17" s="270"/>
      <c r="D17" s="270"/>
      <c r="E17" s="270"/>
      <c r="F17" s="271"/>
    </row>
    <row r="18" spans="1:7">
      <c r="A18" s="713"/>
      <c r="B18" s="268" t="s">
        <v>200</v>
      </c>
      <c r="C18" s="266"/>
      <c r="D18" s="266"/>
      <c r="E18" s="266"/>
      <c r="F18" s="267"/>
    </row>
    <row r="19" spans="1:7">
      <c r="A19" s="269"/>
      <c r="B19" s="268" t="s">
        <v>201</v>
      </c>
      <c r="C19" s="270"/>
      <c r="D19" s="270"/>
      <c r="E19" s="270"/>
      <c r="F19" s="271"/>
    </row>
    <row r="20" spans="1:7">
      <c r="A20" s="713"/>
      <c r="B20" s="714"/>
      <c r="C20" s="266"/>
      <c r="D20" s="266"/>
      <c r="E20" s="266"/>
      <c r="F20" s="267"/>
    </row>
    <row r="21" spans="1:7">
      <c r="A21" s="273"/>
      <c r="B21" s="274" t="s">
        <v>205</v>
      </c>
      <c r="C21" s="264"/>
      <c r="D21" s="264"/>
      <c r="E21" s="281">
        <f>E10+E15</f>
        <v>0</v>
      </c>
      <c r="F21" s="282">
        <f>F10+F15</f>
        <v>0</v>
      </c>
      <c r="G21" s="508"/>
    </row>
    <row r="22" spans="1:7">
      <c r="A22" s="273"/>
      <c r="B22" s="274"/>
      <c r="C22" s="275"/>
      <c r="D22" s="275"/>
      <c r="E22" s="275"/>
      <c r="F22" s="276"/>
    </row>
    <row r="23" spans="1:7">
      <c r="A23" s="758" t="s">
        <v>206</v>
      </c>
      <c r="B23" s="759"/>
      <c r="C23" s="264"/>
      <c r="D23" s="264"/>
      <c r="E23" s="264"/>
      <c r="F23" s="265"/>
    </row>
    <row r="24" spans="1:7">
      <c r="A24" s="754" t="s">
        <v>198</v>
      </c>
      <c r="B24" s="755"/>
      <c r="C24" s="266"/>
      <c r="D24" s="266"/>
      <c r="E24" s="279">
        <f t="shared" ref="E24" si="2">SUM(E25:E27)</f>
        <v>0</v>
      </c>
      <c r="F24" s="280">
        <f t="shared" ref="F24" si="3">SUM(F25:F27)</f>
        <v>0</v>
      </c>
    </row>
    <row r="25" spans="1:7">
      <c r="A25" s="713"/>
      <c r="B25" s="268" t="s">
        <v>199</v>
      </c>
      <c r="C25" s="266"/>
      <c r="D25" s="266"/>
      <c r="E25" s="266"/>
      <c r="F25" s="267"/>
    </row>
    <row r="26" spans="1:7">
      <c r="A26" s="269"/>
      <c r="B26" s="268" t="s">
        <v>200</v>
      </c>
      <c r="C26" s="270"/>
      <c r="D26" s="270"/>
      <c r="E26" s="270"/>
      <c r="F26" s="271"/>
    </row>
    <row r="27" spans="1:7">
      <c r="A27" s="269"/>
      <c r="B27" s="268" t="s">
        <v>201</v>
      </c>
      <c r="C27" s="270"/>
      <c r="D27" s="270"/>
      <c r="E27" s="270"/>
      <c r="F27" s="271"/>
    </row>
    <row r="28" spans="1:7">
      <c r="A28" s="269"/>
      <c r="B28" s="272"/>
      <c r="C28" s="270"/>
      <c r="D28" s="270"/>
      <c r="E28" s="270"/>
      <c r="F28" s="271"/>
    </row>
    <row r="29" spans="1:7">
      <c r="A29" s="754" t="s">
        <v>202</v>
      </c>
      <c r="B29" s="755"/>
      <c r="C29" s="266"/>
      <c r="D29" s="266"/>
      <c r="E29" s="279">
        <f t="shared" ref="E29" si="4">SUM(E30:E33)</f>
        <v>0</v>
      </c>
      <c r="F29" s="280">
        <f t="shared" ref="F29" si="5">SUM(F30:F33)</f>
        <v>0</v>
      </c>
    </row>
    <row r="30" spans="1:7">
      <c r="A30" s="269"/>
      <c r="B30" s="268" t="s">
        <v>203</v>
      </c>
      <c r="C30" s="270"/>
      <c r="D30" s="270"/>
      <c r="E30" s="270"/>
      <c r="F30" s="271"/>
    </row>
    <row r="31" spans="1:7">
      <c r="A31" s="713"/>
      <c r="B31" s="268" t="s">
        <v>204</v>
      </c>
      <c r="C31" s="270"/>
      <c r="D31" s="270"/>
      <c r="E31" s="270"/>
      <c r="F31" s="271"/>
    </row>
    <row r="32" spans="1:7">
      <c r="A32" s="713"/>
      <c r="B32" s="268" t="s">
        <v>200</v>
      </c>
      <c r="C32" s="266"/>
      <c r="D32" s="266"/>
      <c r="E32" s="266" t="s">
        <v>76</v>
      </c>
      <c r="F32" s="267"/>
    </row>
    <row r="33" spans="1:7">
      <c r="A33" s="269"/>
      <c r="B33" s="268" t="s">
        <v>201</v>
      </c>
      <c r="C33" s="270"/>
      <c r="D33" s="270"/>
      <c r="E33" s="270"/>
      <c r="F33" s="271"/>
    </row>
    <row r="34" spans="1:7">
      <c r="A34" s="713"/>
      <c r="B34" s="714"/>
      <c r="C34" s="266"/>
      <c r="D34" s="266"/>
      <c r="E34" s="266"/>
      <c r="F34" s="267"/>
    </row>
    <row r="35" spans="1:7">
      <c r="A35" s="273"/>
      <c r="B35" s="274" t="s">
        <v>207</v>
      </c>
      <c r="C35" s="264"/>
      <c r="D35" s="264"/>
      <c r="E35" s="281">
        <f>E24+E29</f>
        <v>0</v>
      </c>
      <c r="F35" s="282">
        <f>F24+F29</f>
        <v>0</v>
      </c>
      <c r="G35" s="508"/>
    </row>
    <row r="36" spans="1:7">
      <c r="A36" s="269"/>
      <c r="B36" s="272"/>
      <c r="C36" s="270"/>
      <c r="D36" s="270"/>
      <c r="E36" s="270"/>
      <c r="F36" s="271"/>
    </row>
    <row r="37" spans="1:7">
      <c r="A37" s="269"/>
      <c r="B37" s="268" t="s">
        <v>208</v>
      </c>
      <c r="C37" s="270"/>
      <c r="D37" s="270"/>
      <c r="E37" s="270">
        <v>348518199</v>
      </c>
      <c r="F37" s="271">
        <v>381455592.27999997</v>
      </c>
    </row>
    <row r="38" spans="1:7">
      <c r="A38" s="269"/>
      <c r="B38" s="272"/>
      <c r="C38" s="270"/>
      <c r="D38" s="270"/>
      <c r="E38" s="270"/>
      <c r="F38" s="271"/>
    </row>
    <row r="39" spans="1:7">
      <c r="A39" s="713"/>
      <c r="B39" s="714" t="s">
        <v>209</v>
      </c>
      <c r="C39" s="264"/>
      <c r="D39" s="264"/>
      <c r="E39" s="281">
        <f t="shared" ref="E39:F39" si="6">E37+E35+E21</f>
        <v>348518199</v>
      </c>
      <c r="F39" s="282">
        <f t="shared" si="6"/>
        <v>381455592.27999997</v>
      </c>
      <c r="G39" s="508" t="str">
        <f>IF(F39-'ETCA-I-01'!E33&gt;0.9,"ERROR!!!!!, NO COINCIDE CON LO REPORTADO EN EL ETCA-I-01 EN EL MISMO RUBRO","")</f>
        <v/>
      </c>
    </row>
    <row r="40" spans="1:7" ht="5.25" customHeight="1" thickBot="1">
      <c r="A40" s="750"/>
      <c r="B40" s="751"/>
      <c r="C40" s="277"/>
      <c r="D40" s="277"/>
      <c r="E40" s="277"/>
      <c r="F40" s="278"/>
    </row>
    <row r="41" spans="1:7">
      <c r="A41" s="141" t="s">
        <v>143</v>
      </c>
    </row>
  </sheetData>
  <sheetProtection sheet="1" objects="1" scenarios="1" insertHyperlinks="0"/>
  <mergeCells count="15">
    <mergeCell ref="A40:B40"/>
    <mergeCell ref="A7:B7"/>
    <mergeCell ref="A15:B15"/>
    <mergeCell ref="A10:B10"/>
    <mergeCell ref="A8:B8"/>
    <mergeCell ref="A9:B9"/>
    <mergeCell ref="A23:B23"/>
    <mergeCell ref="A29:B29"/>
    <mergeCell ref="A24:B24"/>
    <mergeCell ref="A6:B6"/>
    <mergeCell ref="A1:F1"/>
    <mergeCell ref="A3:F3"/>
    <mergeCell ref="A2:F2"/>
    <mergeCell ref="A4:F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6">
    <tabColor theme="7"/>
  </sheetPr>
  <dimension ref="A1:I42"/>
  <sheetViews>
    <sheetView workbookViewId="0">
      <selection activeCell="A4" sqref="A4:I4"/>
    </sheetView>
  </sheetViews>
  <sheetFormatPr baseColWidth="10" defaultColWidth="11.42578125" defaultRowHeight="16.5"/>
  <cols>
    <col min="1" max="1" width="18.85546875" style="3" customWidth="1"/>
    <col min="2" max="7" width="11.42578125" style="3"/>
    <col min="8" max="8" width="12.140625" style="3" customWidth="1"/>
    <col min="9" max="9" width="14.28515625" style="3" customWidth="1"/>
    <col min="10" max="16384" width="11.42578125" style="3"/>
  </cols>
  <sheetData>
    <row r="1" spans="1:9">
      <c r="A1" s="769" t="s">
        <v>0</v>
      </c>
      <c r="B1" s="769"/>
      <c r="C1" s="769"/>
      <c r="D1" s="769"/>
      <c r="E1" s="769"/>
      <c r="F1" s="769"/>
      <c r="G1" s="769"/>
      <c r="H1" s="769"/>
      <c r="I1" s="769"/>
    </row>
    <row r="2" spans="1:9">
      <c r="A2" s="771" t="s">
        <v>210</v>
      </c>
      <c r="B2" s="771"/>
      <c r="C2" s="771"/>
      <c r="D2" s="771"/>
      <c r="E2" s="771"/>
      <c r="F2" s="771"/>
      <c r="G2" s="771"/>
      <c r="H2" s="771"/>
      <c r="I2" s="771"/>
    </row>
    <row r="3" spans="1:9">
      <c r="A3" s="770" t="s">
        <v>3</v>
      </c>
      <c r="B3" s="770"/>
      <c r="C3" s="770"/>
      <c r="D3" s="770"/>
      <c r="E3" s="770"/>
      <c r="F3" s="770"/>
      <c r="G3" s="770"/>
      <c r="H3" s="770"/>
      <c r="I3" s="770"/>
    </row>
    <row r="4" spans="1:9">
      <c r="A4" s="770" t="s">
        <v>155</v>
      </c>
      <c r="B4" s="770"/>
      <c r="C4" s="770"/>
      <c r="D4" s="770"/>
      <c r="E4" s="770"/>
      <c r="F4" s="770"/>
      <c r="G4" s="770"/>
      <c r="H4" s="770"/>
      <c r="I4" s="770"/>
    </row>
    <row r="5" spans="1:9" ht="18" customHeight="1" thickBot="1">
      <c r="A5" s="5"/>
      <c r="B5" s="772" t="s">
        <v>211</v>
      </c>
      <c r="C5" s="772"/>
      <c r="D5" s="772"/>
      <c r="E5" s="772"/>
      <c r="F5" s="772"/>
      <c r="G5" s="772"/>
      <c r="H5" s="482" t="s">
        <v>212</v>
      </c>
      <c r="I5" s="5"/>
    </row>
    <row r="6" spans="1:9">
      <c r="A6" s="8"/>
      <c r="B6" s="9"/>
      <c r="C6" s="9"/>
      <c r="D6" s="9"/>
      <c r="E6" s="9"/>
      <c r="F6" s="9"/>
      <c r="G6" s="9"/>
      <c r="H6" s="9"/>
      <c r="I6" s="10"/>
    </row>
    <row r="7" spans="1:9">
      <c r="A7" s="11"/>
      <c r="B7" s="12"/>
      <c r="C7" s="12"/>
      <c r="D7" s="12"/>
      <c r="E7" s="12"/>
      <c r="F7" s="12"/>
      <c r="G7" s="12"/>
      <c r="H7" s="12"/>
      <c r="I7" s="13"/>
    </row>
    <row r="8" spans="1:9">
      <c r="A8" s="14" t="s">
        <v>213</v>
      </c>
      <c r="B8" s="12"/>
      <c r="C8" s="12"/>
      <c r="D8" s="12"/>
      <c r="E8" s="12"/>
      <c r="F8" s="12"/>
      <c r="G8" s="12"/>
      <c r="H8" s="12"/>
      <c r="I8" s="13"/>
    </row>
    <row r="9" spans="1:9">
      <c r="A9" s="14"/>
      <c r="B9" s="12"/>
      <c r="C9" s="12"/>
      <c r="D9" s="12"/>
      <c r="E9" s="12"/>
      <c r="F9" s="12"/>
      <c r="G9" s="12"/>
      <c r="H9" s="12"/>
      <c r="I9" s="13"/>
    </row>
    <row r="10" spans="1:9">
      <c r="A10" s="14"/>
      <c r="B10" s="12"/>
      <c r="C10" s="12"/>
      <c r="D10" s="12"/>
      <c r="E10" s="12"/>
      <c r="F10" s="12"/>
      <c r="G10" s="12"/>
      <c r="H10" s="12"/>
      <c r="I10" s="13"/>
    </row>
    <row r="11" spans="1:9">
      <c r="A11" s="14"/>
      <c r="B11" s="12"/>
      <c r="C11" s="12"/>
      <c r="D11" s="12"/>
      <c r="E11" s="12"/>
      <c r="F11" s="12"/>
      <c r="G11" s="12"/>
      <c r="H11" s="12"/>
      <c r="I11" s="13"/>
    </row>
    <row r="12" spans="1:9">
      <c r="A12" s="14"/>
      <c r="B12" s="12"/>
      <c r="C12" s="12"/>
      <c r="D12" s="12"/>
      <c r="E12" s="12"/>
      <c r="F12" s="12"/>
      <c r="G12" s="12"/>
      <c r="H12" s="12"/>
      <c r="I12" s="13"/>
    </row>
    <row r="13" spans="1:9" ht="15.75" customHeight="1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 thickBot="1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>
      <c r="A16" s="11"/>
      <c r="B16" s="12"/>
      <c r="C16" s="760" t="s">
        <v>214</v>
      </c>
      <c r="D16" s="761"/>
      <c r="E16" s="761"/>
      <c r="F16" s="761"/>
      <c r="G16" s="761"/>
      <c r="H16" s="762"/>
      <c r="I16" s="13"/>
    </row>
    <row r="17" spans="1:9" ht="15" customHeight="1">
      <c r="A17" s="11"/>
      <c r="B17" s="12"/>
      <c r="C17" s="763"/>
      <c r="D17" s="764"/>
      <c r="E17" s="764"/>
      <c r="F17" s="764"/>
      <c r="G17" s="764"/>
      <c r="H17" s="765"/>
      <c r="I17" s="13"/>
    </row>
    <row r="18" spans="1:9" ht="15" customHeight="1">
      <c r="A18" s="11"/>
      <c r="B18" s="12"/>
      <c r="C18" s="763"/>
      <c r="D18" s="764"/>
      <c r="E18" s="764"/>
      <c r="F18" s="764"/>
      <c r="G18" s="764"/>
      <c r="H18" s="765"/>
      <c r="I18" s="13"/>
    </row>
    <row r="19" spans="1:9" ht="15" customHeight="1">
      <c r="A19" s="14" t="s">
        <v>215</v>
      </c>
      <c r="B19" s="12"/>
      <c r="C19" s="763"/>
      <c r="D19" s="764"/>
      <c r="E19" s="764"/>
      <c r="F19" s="764"/>
      <c r="G19" s="764"/>
      <c r="H19" s="765"/>
      <c r="I19" s="13"/>
    </row>
    <row r="20" spans="1:9" ht="15" customHeight="1">
      <c r="A20" s="11"/>
      <c r="B20" s="12"/>
      <c r="C20" s="763"/>
      <c r="D20" s="764"/>
      <c r="E20" s="764"/>
      <c r="F20" s="764"/>
      <c r="G20" s="764"/>
      <c r="H20" s="765"/>
      <c r="I20" s="13"/>
    </row>
    <row r="21" spans="1:9" ht="15" customHeight="1">
      <c r="A21" s="11"/>
      <c r="B21" s="12"/>
      <c r="C21" s="763"/>
      <c r="D21" s="764"/>
      <c r="E21" s="764"/>
      <c r="F21" s="764"/>
      <c r="G21" s="764"/>
      <c r="H21" s="765"/>
      <c r="I21" s="13"/>
    </row>
    <row r="22" spans="1:9" ht="15" customHeight="1">
      <c r="A22" s="11"/>
      <c r="B22" s="12"/>
      <c r="C22" s="763"/>
      <c r="D22" s="764"/>
      <c r="E22" s="764"/>
      <c r="F22" s="764"/>
      <c r="G22" s="764"/>
      <c r="H22" s="765"/>
      <c r="I22" s="13"/>
    </row>
    <row r="23" spans="1:9" ht="15" customHeight="1">
      <c r="A23" s="11"/>
      <c r="B23" s="12"/>
      <c r="C23" s="763"/>
      <c r="D23" s="764"/>
      <c r="E23" s="764"/>
      <c r="F23" s="764"/>
      <c r="G23" s="764"/>
      <c r="H23" s="765"/>
      <c r="I23" s="13"/>
    </row>
    <row r="24" spans="1:9" ht="15" customHeight="1">
      <c r="A24" s="11"/>
      <c r="B24" s="12"/>
      <c r="C24" s="763"/>
      <c r="D24" s="764"/>
      <c r="E24" s="764"/>
      <c r="F24" s="764"/>
      <c r="G24" s="764"/>
      <c r="H24" s="765"/>
      <c r="I24" s="13"/>
    </row>
    <row r="25" spans="1:9" ht="15" customHeight="1">
      <c r="A25" s="11"/>
      <c r="B25" s="12"/>
      <c r="C25" s="763"/>
      <c r="D25" s="764"/>
      <c r="E25" s="764"/>
      <c r="F25" s="764"/>
      <c r="G25" s="764"/>
      <c r="H25" s="765"/>
      <c r="I25" s="13"/>
    </row>
    <row r="26" spans="1:9" ht="15" customHeight="1">
      <c r="A26" s="11"/>
      <c r="B26" s="12"/>
      <c r="C26" s="763"/>
      <c r="D26" s="764"/>
      <c r="E26" s="764"/>
      <c r="F26" s="764"/>
      <c r="G26" s="764"/>
      <c r="H26" s="765"/>
      <c r="I26" s="13"/>
    </row>
    <row r="27" spans="1:9" ht="14.25" customHeight="1">
      <c r="A27" s="11"/>
      <c r="B27" s="12"/>
      <c r="C27" s="763"/>
      <c r="D27" s="764"/>
      <c r="E27" s="764"/>
      <c r="F27" s="764"/>
      <c r="G27" s="764"/>
      <c r="H27" s="765"/>
      <c r="I27" s="13"/>
    </row>
    <row r="28" spans="1:9" ht="15.75" customHeight="1">
      <c r="A28" s="11"/>
      <c r="B28" s="12"/>
      <c r="C28" s="763"/>
      <c r="D28" s="764"/>
      <c r="E28" s="764"/>
      <c r="F28" s="764"/>
      <c r="G28" s="764"/>
      <c r="H28" s="765"/>
      <c r="I28" s="13"/>
    </row>
    <row r="29" spans="1:9">
      <c r="A29" s="11"/>
      <c r="B29" s="12"/>
      <c r="C29" s="763"/>
      <c r="D29" s="764"/>
      <c r="E29" s="764"/>
      <c r="F29" s="764"/>
      <c r="G29" s="764"/>
      <c r="H29" s="765"/>
      <c r="I29" s="13"/>
    </row>
    <row r="30" spans="1:9" ht="17.25" thickBot="1">
      <c r="A30" s="11"/>
      <c r="B30" s="12"/>
      <c r="C30" s="766"/>
      <c r="D30" s="767"/>
      <c r="E30" s="767"/>
      <c r="F30" s="767"/>
      <c r="G30" s="767"/>
      <c r="H30" s="768"/>
      <c r="I30" s="13"/>
    </row>
    <row r="31" spans="1:9" ht="17.25" thickBot="1">
      <c r="A31" s="16"/>
      <c r="B31" s="1"/>
      <c r="C31" s="1"/>
      <c r="D31" s="1"/>
      <c r="E31" s="1"/>
      <c r="F31" s="1"/>
      <c r="G31" s="1"/>
      <c r="H31" s="1"/>
      <c r="I31" s="2"/>
    </row>
    <row r="32" spans="1:9">
      <c r="A32" s="11"/>
      <c r="B32" s="12"/>
      <c r="C32" s="12"/>
      <c r="D32" s="12"/>
      <c r="E32" s="12"/>
      <c r="F32" s="12"/>
      <c r="G32" s="12"/>
      <c r="H32" s="12"/>
      <c r="I32" s="13"/>
    </row>
    <row r="33" spans="1:9">
      <c r="A33" s="14" t="s">
        <v>216</v>
      </c>
      <c r="B33" s="12"/>
      <c r="C33" s="12"/>
      <c r="D33" s="12"/>
      <c r="E33" s="12"/>
      <c r="F33" s="12"/>
      <c r="G33" s="12"/>
      <c r="H33" s="12"/>
      <c r="I33" s="13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1"/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>
      <c r="A41" s="16"/>
      <c r="B41" s="1"/>
      <c r="C41" s="1"/>
      <c r="D41" s="1"/>
      <c r="E41" s="1"/>
      <c r="F41" s="1"/>
      <c r="G41" s="1"/>
      <c r="H41" s="1"/>
      <c r="I41" s="2"/>
    </row>
    <row r="42" spans="1:9">
      <c r="A42" s="3" t="s">
        <v>143</v>
      </c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tabColor theme="7"/>
  </sheetPr>
  <dimension ref="A1:J50"/>
  <sheetViews>
    <sheetView workbookViewId="0">
      <selection activeCell="G7" sqref="G7"/>
    </sheetView>
  </sheetViews>
  <sheetFormatPr baseColWidth="10" defaultColWidth="11.42578125" defaultRowHeight="16.5"/>
  <cols>
    <col min="1" max="1" width="3.5703125" style="3" customWidth="1"/>
    <col min="2" max="8" width="11.42578125" style="3"/>
    <col min="9" max="9" width="12.42578125" style="3" customWidth="1"/>
    <col min="10" max="16384" width="11.42578125" style="3"/>
  </cols>
  <sheetData>
    <row r="1" spans="1:10">
      <c r="A1" s="769" t="s">
        <v>0</v>
      </c>
      <c r="B1" s="769"/>
      <c r="C1" s="769"/>
      <c r="D1" s="769"/>
      <c r="E1" s="769"/>
      <c r="F1" s="769"/>
      <c r="G1" s="769"/>
      <c r="H1" s="769"/>
      <c r="I1" s="769"/>
    </row>
    <row r="2" spans="1:10">
      <c r="A2" s="771" t="s">
        <v>217</v>
      </c>
      <c r="B2" s="771"/>
      <c r="C2" s="771"/>
      <c r="D2" s="771"/>
      <c r="E2" s="771"/>
      <c r="F2" s="771"/>
      <c r="G2" s="771"/>
      <c r="H2" s="771"/>
      <c r="I2" s="771"/>
    </row>
    <row r="3" spans="1:10">
      <c r="A3" s="770" t="s">
        <v>3</v>
      </c>
      <c r="B3" s="770"/>
      <c r="C3" s="770"/>
      <c r="D3" s="770"/>
      <c r="E3" s="770"/>
      <c r="F3" s="770"/>
      <c r="G3" s="770"/>
      <c r="H3" s="770"/>
      <c r="I3" s="770"/>
    </row>
    <row r="4" spans="1:10">
      <c r="A4" s="770" t="s">
        <v>155</v>
      </c>
      <c r="B4" s="770"/>
      <c r="C4" s="770"/>
      <c r="D4" s="770"/>
      <c r="E4" s="770"/>
      <c r="F4" s="770"/>
      <c r="G4" s="770"/>
      <c r="H4" s="770"/>
      <c r="I4" s="770"/>
    </row>
    <row r="5" spans="1:10" ht="18" customHeight="1" thickBot="1">
      <c r="A5" s="5"/>
      <c r="B5" s="5"/>
      <c r="C5" s="772" t="s">
        <v>5</v>
      </c>
      <c r="D5" s="772"/>
      <c r="E5" s="772"/>
      <c r="F5" s="772"/>
      <c r="G5" s="772"/>
      <c r="H5" s="772"/>
      <c r="I5" s="4" t="s">
        <v>6</v>
      </c>
    </row>
    <row r="6" spans="1:10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>
      <c r="A11" s="11"/>
      <c r="B11" s="12"/>
      <c r="C11" s="773" t="s">
        <v>218</v>
      </c>
      <c r="D11" s="774"/>
      <c r="E11" s="774"/>
      <c r="F11" s="774"/>
      <c r="G11" s="774"/>
      <c r="H11" s="775"/>
      <c r="I11" s="12"/>
      <c r="J11" s="13"/>
    </row>
    <row r="12" spans="1:10">
      <c r="A12" s="11"/>
      <c r="B12" s="12"/>
      <c r="C12" s="776"/>
      <c r="D12" s="777"/>
      <c r="E12" s="777"/>
      <c r="F12" s="777"/>
      <c r="G12" s="777"/>
      <c r="H12" s="778"/>
      <c r="I12" s="12"/>
      <c r="J12" s="13"/>
    </row>
    <row r="13" spans="1:10">
      <c r="A13" s="11"/>
      <c r="B13" s="12"/>
      <c r="C13" s="776"/>
      <c r="D13" s="777"/>
      <c r="E13" s="777"/>
      <c r="F13" s="777"/>
      <c r="G13" s="777"/>
      <c r="H13" s="778"/>
      <c r="I13" s="12"/>
      <c r="J13" s="13"/>
    </row>
    <row r="14" spans="1:10">
      <c r="A14" s="11"/>
      <c r="B14" s="12"/>
      <c r="C14" s="776"/>
      <c r="D14" s="777"/>
      <c r="E14" s="777"/>
      <c r="F14" s="777"/>
      <c r="G14" s="777"/>
      <c r="H14" s="778"/>
      <c r="I14" s="12"/>
      <c r="J14" s="13"/>
    </row>
    <row r="15" spans="1:10">
      <c r="A15" s="11"/>
      <c r="B15" s="12"/>
      <c r="C15" s="776"/>
      <c r="D15" s="777"/>
      <c r="E15" s="777"/>
      <c r="F15" s="777"/>
      <c r="G15" s="777"/>
      <c r="H15" s="778"/>
      <c r="I15" s="12"/>
      <c r="J15" s="13"/>
    </row>
    <row r="16" spans="1:10">
      <c r="A16" s="11"/>
      <c r="B16" s="12"/>
      <c r="C16" s="776"/>
      <c r="D16" s="777"/>
      <c r="E16" s="777"/>
      <c r="F16" s="777"/>
      <c r="G16" s="777"/>
      <c r="H16" s="778"/>
      <c r="I16" s="12"/>
      <c r="J16" s="13"/>
    </row>
    <row r="17" spans="1:10" ht="17.25" thickBot="1">
      <c r="A17" s="11"/>
      <c r="B17" s="12"/>
      <c r="C17" s="779"/>
      <c r="D17" s="780"/>
      <c r="E17" s="780"/>
      <c r="F17" s="780"/>
      <c r="G17" s="780"/>
      <c r="H17" s="781"/>
      <c r="I17" s="12"/>
      <c r="J17" s="13"/>
    </row>
    <row r="18" spans="1:10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>
      <c r="A19" s="11"/>
      <c r="B19" s="12"/>
      <c r="C19" s="19" t="s">
        <v>219</v>
      </c>
      <c r="D19" s="12"/>
      <c r="E19" s="12"/>
      <c r="F19" s="12"/>
      <c r="G19" s="12"/>
      <c r="H19" s="12"/>
      <c r="I19" s="12"/>
      <c r="J19" s="13"/>
    </row>
    <row r="20" spans="1:10" ht="9.75" customHeight="1" thickBot="1">
      <c r="A20" s="11"/>
      <c r="B20" s="12"/>
      <c r="C20" s="19"/>
      <c r="D20" s="12"/>
      <c r="E20" s="12"/>
      <c r="F20" s="12"/>
      <c r="G20" s="12"/>
      <c r="H20" s="12"/>
      <c r="I20" s="12"/>
      <c r="J20" s="13"/>
    </row>
    <row r="21" spans="1:10">
      <c r="A21" s="11"/>
      <c r="B21" s="12"/>
      <c r="C21" s="20" t="s">
        <v>220</v>
      </c>
      <c r="D21" s="21"/>
      <c r="E21" s="21"/>
      <c r="F21" s="21"/>
      <c r="G21" s="21"/>
      <c r="H21" s="22"/>
      <c r="I21" s="12"/>
      <c r="J21" s="13"/>
    </row>
    <row r="22" spans="1:10">
      <c r="A22" s="11"/>
      <c r="B22" s="12"/>
      <c r="C22" s="23" t="s">
        <v>221</v>
      </c>
      <c r="D22" s="24"/>
      <c r="E22" s="24"/>
      <c r="F22" s="24"/>
      <c r="G22" s="24"/>
      <c r="H22" s="25"/>
      <c r="I22" s="12"/>
      <c r="J22" s="13"/>
    </row>
    <row r="23" spans="1:10">
      <c r="A23" s="11"/>
      <c r="B23" s="12"/>
      <c r="C23" s="23" t="s">
        <v>222</v>
      </c>
      <c r="D23" s="24"/>
      <c r="E23" s="24"/>
      <c r="F23" s="24"/>
      <c r="G23" s="24"/>
      <c r="H23" s="25"/>
      <c r="I23" s="12"/>
      <c r="J23" s="13"/>
    </row>
    <row r="24" spans="1:10" ht="17.25" thickBot="1">
      <c r="A24" s="11"/>
      <c r="B24" s="12"/>
      <c r="C24" s="26" t="s">
        <v>223</v>
      </c>
      <c r="D24" s="27"/>
      <c r="E24" s="27"/>
      <c r="F24" s="27"/>
      <c r="G24" s="27"/>
      <c r="H24" s="28"/>
      <c r="I24" s="12"/>
      <c r="J24" s="13"/>
    </row>
    <row r="25" spans="1:10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>
      <c r="A26" s="29" t="s">
        <v>224</v>
      </c>
      <c r="B26" s="12" t="s">
        <v>225</v>
      </c>
      <c r="C26" s="12"/>
      <c r="D26" s="12"/>
      <c r="E26" s="12"/>
      <c r="F26" s="12"/>
      <c r="G26" s="12"/>
      <c r="H26" s="12"/>
      <c r="I26" s="12"/>
      <c r="J26" s="13"/>
    </row>
    <row r="27" spans="1:10">
      <c r="A27" s="29" t="s">
        <v>226</v>
      </c>
      <c r="B27" s="12" t="s">
        <v>227</v>
      </c>
      <c r="C27" s="12"/>
      <c r="D27" s="12"/>
      <c r="E27" s="12"/>
      <c r="F27" s="12"/>
      <c r="G27" s="12"/>
      <c r="H27" s="12"/>
      <c r="I27" s="12"/>
      <c r="J27" s="13"/>
    </row>
    <row r="28" spans="1:10">
      <c r="A28" s="29" t="s">
        <v>228</v>
      </c>
      <c r="B28" s="12" t="s">
        <v>229</v>
      </c>
      <c r="C28" s="12"/>
      <c r="D28" s="12"/>
      <c r="E28" s="12"/>
      <c r="F28" s="12"/>
      <c r="G28" s="12"/>
      <c r="H28" s="12"/>
      <c r="I28" s="12"/>
      <c r="J28" s="13"/>
    </row>
    <row r="29" spans="1:10">
      <c r="A29" s="29" t="s">
        <v>230</v>
      </c>
      <c r="B29" s="30" t="s">
        <v>231</v>
      </c>
      <c r="C29" s="12"/>
      <c r="D29" s="12"/>
      <c r="E29" s="12"/>
      <c r="F29" s="12"/>
      <c r="G29" s="12"/>
      <c r="H29" s="12"/>
      <c r="I29" s="12"/>
      <c r="J29" s="13"/>
    </row>
    <row r="30" spans="1:10">
      <c r="A30" s="29" t="s">
        <v>232</v>
      </c>
      <c r="B30" s="30" t="s">
        <v>233</v>
      </c>
      <c r="C30" s="12"/>
      <c r="D30" s="12"/>
      <c r="E30" s="12"/>
      <c r="F30" s="12"/>
      <c r="G30" s="12"/>
      <c r="H30" s="12"/>
      <c r="I30" s="12"/>
      <c r="J30" s="13"/>
    </row>
    <row r="31" spans="1:10">
      <c r="A31" s="29" t="s">
        <v>234</v>
      </c>
      <c r="B31" s="30" t="s">
        <v>235</v>
      </c>
      <c r="C31" s="12"/>
      <c r="D31" s="12"/>
      <c r="E31" s="12"/>
      <c r="F31" s="12"/>
      <c r="G31" s="12"/>
      <c r="H31" s="12"/>
      <c r="I31" s="12"/>
      <c r="J31" s="13"/>
    </row>
    <row r="32" spans="1:10">
      <c r="A32" s="29" t="s">
        <v>236</v>
      </c>
      <c r="B32" s="30" t="s">
        <v>237</v>
      </c>
      <c r="C32" s="12"/>
      <c r="D32" s="12"/>
      <c r="E32" s="12"/>
      <c r="F32" s="12"/>
      <c r="G32" s="12"/>
      <c r="H32" s="12"/>
      <c r="I32" s="12"/>
      <c r="J32" s="13"/>
    </row>
    <row r="33" spans="1:10">
      <c r="A33" s="29" t="s">
        <v>238</v>
      </c>
      <c r="B33" s="30" t="s">
        <v>239</v>
      </c>
      <c r="C33" s="12"/>
      <c r="D33" s="12"/>
      <c r="E33" s="12"/>
      <c r="F33" s="12"/>
      <c r="G33" s="12"/>
      <c r="H33" s="12"/>
      <c r="I33" s="12"/>
      <c r="J33" s="13"/>
    </row>
    <row r="34" spans="1:10">
      <c r="A34" s="29" t="s">
        <v>240</v>
      </c>
      <c r="B34" s="30" t="s">
        <v>241</v>
      </c>
      <c r="C34" s="12"/>
      <c r="D34" s="12"/>
      <c r="E34" s="12"/>
      <c r="F34" s="12"/>
      <c r="G34" s="12"/>
      <c r="H34" s="12"/>
      <c r="I34" s="12"/>
      <c r="J34" s="13"/>
    </row>
    <row r="35" spans="1:10">
      <c r="A35" s="29" t="s">
        <v>242</v>
      </c>
      <c r="B35" s="30" t="s">
        <v>243</v>
      </c>
      <c r="C35" s="12"/>
      <c r="D35" s="12"/>
      <c r="E35" s="12"/>
      <c r="F35" s="12"/>
      <c r="G35" s="12"/>
      <c r="H35" s="12"/>
      <c r="I35" s="12"/>
      <c r="J35" s="13"/>
    </row>
    <row r="36" spans="1:10">
      <c r="A36" s="29" t="s">
        <v>244</v>
      </c>
      <c r="B36" s="30" t="s">
        <v>245</v>
      </c>
      <c r="C36" s="12"/>
      <c r="D36" s="12"/>
      <c r="E36" s="12"/>
      <c r="F36" s="12"/>
      <c r="G36" s="12"/>
      <c r="H36" s="12"/>
      <c r="I36" s="12"/>
      <c r="J36" s="13"/>
    </row>
    <row r="37" spans="1:10">
      <c r="A37" s="29" t="s">
        <v>246</v>
      </c>
      <c r="B37" s="30" t="s">
        <v>247</v>
      </c>
      <c r="C37" s="12"/>
      <c r="D37" s="12"/>
      <c r="E37" s="12"/>
      <c r="F37" s="12"/>
      <c r="G37" s="12"/>
      <c r="H37" s="12"/>
      <c r="I37" s="12"/>
      <c r="J37" s="13"/>
    </row>
    <row r="38" spans="1:10">
      <c r="A38" s="29" t="s">
        <v>248</v>
      </c>
      <c r="B38" s="30" t="s">
        <v>249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29" t="s">
        <v>250</v>
      </c>
      <c r="B39" s="30" t="s">
        <v>251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29" t="s">
        <v>252</v>
      </c>
      <c r="B40" s="30" t="s">
        <v>253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29" t="s">
        <v>254</v>
      </c>
      <c r="B41" s="30" t="s">
        <v>255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29" t="s">
        <v>256</v>
      </c>
      <c r="B42" s="30" t="s">
        <v>257</v>
      </c>
      <c r="C42" s="12"/>
      <c r="D42" s="12"/>
      <c r="E42" s="12"/>
      <c r="F42" s="12"/>
      <c r="G42" s="12"/>
      <c r="H42" s="12"/>
      <c r="I42" s="12"/>
      <c r="J42" s="13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>
      <c r="A49" s="11"/>
      <c r="B49" s="12"/>
      <c r="C49" s="12"/>
      <c r="D49" s="12"/>
      <c r="E49" s="12"/>
      <c r="F49" s="12"/>
      <c r="G49" s="12"/>
      <c r="H49" s="12"/>
      <c r="I49" s="19" t="s">
        <v>258</v>
      </c>
      <c r="J49" s="13"/>
    </row>
    <row r="50" spans="1:10" ht="17.25" thickBot="1">
      <c r="A50" s="16"/>
      <c r="B50" s="1"/>
      <c r="C50" s="1"/>
      <c r="D50" s="1"/>
      <c r="E50" s="1"/>
      <c r="F50" s="1"/>
      <c r="G50" s="1"/>
      <c r="H50" s="1"/>
      <c r="I50" s="1"/>
      <c r="J50" s="2"/>
    </row>
  </sheetData>
  <mergeCells count="6">
    <mergeCell ref="C11:H17"/>
    <mergeCell ref="A1:I1"/>
    <mergeCell ref="A3:I3"/>
    <mergeCell ref="A2:I2"/>
    <mergeCell ref="A4:I4"/>
    <mergeCell ref="C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28</vt:i4>
      </vt:variant>
    </vt:vector>
  </HeadingPairs>
  <TitlesOfParts>
    <vt:vector size="57" baseType="lpstr"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 Notas</vt:lpstr>
      <vt:lpstr>ETCA-II-10 </vt:lpstr>
      <vt:lpstr>ETCA-II-10-A</vt:lpstr>
      <vt:lpstr>ETCA-II-11 </vt:lpstr>
      <vt:lpstr>ETCA-II-11-A </vt:lpstr>
      <vt:lpstr>ETCA-II-11-B1</vt:lpstr>
      <vt:lpstr>ETCA-II-11-B2</vt:lpstr>
      <vt:lpstr>ETCA-11-B3</vt:lpstr>
      <vt:lpstr>ETCA-II-11-C</vt:lpstr>
      <vt:lpstr>ETCA-II-11-D</vt:lpstr>
      <vt:lpstr>ETCA-II-11-E </vt:lpstr>
      <vt:lpstr>ETCA-II-12</vt:lpstr>
      <vt:lpstr>ETCA-II-13</vt:lpstr>
      <vt:lpstr>ETCA-III-14</vt:lpstr>
      <vt:lpstr>ETCA-III-15</vt:lpstr>
      <vt:lpstr>ETCA-III-16</vt:lpstr>
      <vt:lpstr>ETCA-IV-17</vt:lpstr>
      <vt:lpstr>ETCA-IV-18</vt:lpstr>
      <vt:lpstr>ETCA-IV-19</vt:lpstr>
      <vt:lpstr>ETCA-IV-20</vt:lpstr>
      <vt:lpstr>Lista  FORMATOS</vt:lpstr>
      <vt:lpstr>'ETCA-I-01'!Área_de_impresión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 Notas'!Área_de_impresión</vt:lpstr>
      <vt:lpstr>'ETCA-II-10 '!Área_de_impresión</vt:lpstr>
      <vt:lpstr>'ETCA-II-10-A'!Área_de_impresión</vt:lpstr>
      <vt:lpstr>'ETCA-II-11 '!Área_de_impresión</vt:lpstr>
      <vt:lpstr>'ETCA-II-11-A '!Área_de_impresión</vt:lpstr>
      <vt:lpstr>'ETCA-II-11-B1'!Área_de_impresión</vt:lpstr>
      <vt:lpstr>'ETCA-II-11-C'!Área_de_impresión</vt:lpstr>
      <vt:lpstr>'ETCA-II-11-D'!Área_de_impresión</vt:lpstr>
      <vt:lpstr>'ETCA-II-11-E '!Área_de_impresión</vt:lpstr>
      <vt:lpstr>'ETCA-II-12'!Área_de_impresión</vt:lpstr>
      <vt:lpstr>'ETCA-II-13'!Área_de_impresión</vt:lpstr>
      <vt:lpstr>'ETCA-III-16'!Área_de_impresión</vt:lpstr>
      <vt:lpstr>'ETCA-IV-17'!Área_de_impresión</vt:lpstr>
      <vt:lpstr>'ETCA-IV-18'!Área_de_impresión</vt:lpstr>
      <vt:lpstr>'ETCA-IV-19'!Área_de_impresión</vt:lpstr>
      <vt:lpstr>'ETCA-IV-20'!Área_de_impresión</vt:lpstr>
      <vt:lpstr>'ETCA-I-02'!Títulos_a_imprimir</vt:lpstr>
      <vt:lpstr>'ETCA-I-04'!Títulos_a_imprimir</vt:lpstr>
      <vt:lpstr>'ETCA-II-10 '!Títulos_a_imprimir</vt:lpstr>
      <vt:lpstr>'ETCA-II-11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adminSSS</cp:lastModifiedBy>
  <cp:revision/>
  <dcterms:created xsi:type="dcterms:W3CDTF">2014-03-28T01:13:38Z</dcterms:created>
  <dcterms:modified xsi:type="dcterms:W3CDTF">2017-02-10T07:18:45Z</dcterms:modified>
</cp:coreProperties>
</file>