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6390" tabRatio="352" activeTab="2"/>
  </bookViews>
  <sheets>
    <sheet name="EVTOP-01" sheetId="1" r:id="rId1"/>
    <sheet name="ANEXO 01-01" sheetId="2" r:id="rId2"/>
    <sheet name="EVTOP-02" sheetId="3" r:id="rId3"/>
    <sheet name="EVTOP-03" sheetId="4" r:id="rId4"/>
  </sheets>
  <externalReferences>
    <externalReference r:id="rId7"/>
    <externalReference r:id="rId8"/>
    <externalReference r:id="rId9"/>
  </externalReferences>
  <definedNames>
    <definedName name="_xlnm.Print_Area" localSheetId="1">'ANEXO 01-01'!$A$1:$F$32</definedName>
    <definedName name="_xlnm.Print_Area" localSheetId="0">'EVTOP-01'!$A$1:$I$96</definedName>
    <definedName name="_xlnm.Print_Area" localSheetId="2">'EVTOP-02'!$A$1:$J$185</definedName>
    <definedName name="_xlnm.Print_Area" localSheetId="3">'EVTOP-03'!$A$1:$W$210</definedName>
    <definedName name="_xlnm.Print_Titles" localSheetId="0">'EVTOP-01'!$1:$6</definedName>
    <definedName name="_xlnm.Print_Titles" localSheetId="2">'EVTOP-02'!$1:$11</definedName>
    <definedName name="_xlnm.Print_Titles" localSheetId="3">'EVTOP-03'!$1:$12</definedName>
  </definedNames>
  <calcPr fullCalcOnLoad="1"/>
</workbook>
</file>

<file path=xl/comments3.xml><?xml version="1.0" encoding="utf-8"?>
<comments xmlns="http://schemas.openxmlformats.org/spreadsheetml/2006/main">
  <authors>
    <author>uth</author>
  </authors>
  <commentList>
    <comment ref="B62" authorId="0">
      <text>
        <r>
          <rPr>
            <b/>
            <sz val="8"/>
            <rFont val="Tahoma"/>
            <family val="2"/>
          </rPr>
          <t>uth:</t>
        </r>
        <r>
          <rPr>
            <sz val="8"/>
            <rFont val="Tahoma"/>
            <family val="2"/>
          </rPr>
          <t xml:space="preserve">
SE UTILIZA POR PRIMERA VEZ EN ESTE TRIMESTRE</t>
        </r>
      </text>
    </comment>
  </commentList>
</comments>
</file>

<file path=xl/sharedStrings.xml><?xml version="1.0" encoding="utf-8"?>
<sst xmlns="http://schemas.openxmlformats.org/spreadsheetml/2006/main" count="780" uniqueCount="528">
  <si>
    <t>CONCEPTO</t>
  </si>
  <si>
    <t>ACUMULADO</t>
  </si>
  <si>
    <t>INGRESOS PROPIOS</t>
  </si>
  <si>
    <t>TOTAL</t>
  </si>
  <si>
    <t>INGRESOS :</t>
  </si>
  <si>
    <t>CAPITULO:</t>
  </si>
  <si>
    <t>OTROS INGRESOS</t>
  </si>
  <si>
    <t>MODIFICADO</t>
  </si>
  <si>
    <t>Y ENTIDADES DE LA ADMINISTRACION PUBLICA ESTATAL</t>
  </si>
  <si>
    <t>EVTOP-02</t>
  </si>
  <si>
    <t>CLAVE PARTIDA PRESUPUESTAL</t>
  </si>
  <si>
    <t>DESCRIPCION</t>
  </si>
  <si>
    <t>ASIGNACION ORIGINAL</t>
  </si>
  <si>
    <t>DISPONIBLE</t>
  </si>
  <si>
    <t>SEGUIMIENTO FINANCIERO DE INGRESOS Y EGRESOS, DE ORGANISMOS</t>
  </si>
  <si>
    <t>ANALITICO DE RECURSOS EJERCIDOS POR PARTIDA PRESUPUESTAL,</t>
  </si>
  <si>
    <t>EJERCIDO EN EL TRIMESTRE</t>
  </si>
  <si>
    <t>(Pesos)</t>
  </si>
  <si>
    <t>SISTEMA ESTATAL DE EVALUACION DEL DESEMPEÑO</t>
  </si>
  <si>
    <t>TOTAL DE INGRESOS</t>
  </si>
  <si>
    <t>Saldo inicial (Caja y Bancos)</t>
  </si>
  <si>
    <t>PROGRAMADO ORIGINAL</t>
  </si>
  <si>
    <t>TOTAL EJERCIDO</t>
  </si>
  <si>
    <t xml:space="preserve"> % AVANCE</t>
  </si>
  <si>
    <t xml:space="preserve">% AVANCE </t>
  </si>
  <si>
    <t>Variación: Ingreso - Gasto ($)</t>
  </si>
  <si>
    <t>2.- EGRESOS: (EXCLUSIVAMENTE SOBRE LOS INGRESOS PROPIOS)</t>
  </si>
  <si>
    <t>1.-EGRESOS: (GLOBAL)</t>
  </si>
  <si>
    <t>TOTAL TRIMESTRE</t>
  </si>
  <si>
    <t>FEDERALES</t>
  </si>
  <si>
    <t>ESTATALES</t>
  </si>
  <si>
    <t>FECHA</t>
  </si>
  <si>
    <t>No. CHEQUE</t>
  </si>
  <si>
    <t>IMPORTE</t>
  </si>
  <si>
    <t>RECURSOS ESTATALES RECIBIDOS DURANTE EL TRIMESTRE</t>
  </si>
  <si>
    <t>ORGANISMO: UNIVERSIDAD TECNOLOGICA DE HERMOSILLO, SONORA</t>
  </si>
  <si>
    <t>AVANCE PROGRAMÁTICO</t>
  </si>
  <si>
    <t>ORGANISMOS Y ENTIDADES DE LA ADMINISTRACIÓN PÚBLICA</t>
  </si>
  <si>
    <t/>
  </si>
  <si>
    <t>CLAVE NEP ORGANISMO</t>
  </si>
  <si>
    <t>UNIDAD DE MEDIDA</t>
  </si>
  <si>
    <t>METAS</t>
  </si>
  <si>
    <t>ORIGINAL ANUAL</t>
  </si>
  <si>
    <t>CALENDARIO</t>
  </si>
  <si>
    <t>REALIZADO</t>
  </si>
  <si>
    <t>AV. FISICO</t>
  </si>
  <si>
    <t>UR</t>
  </si>
  <si>
    <t>META</t>
  </si>
  <si>
    <t>1er. TRIM.</t>
  </si>
  <si>
    <t>2do. TRIM.</t>
  </si>
  <si>
    <t>3er. TRIM.</t>
  </si>
  <si>
    <t>4to. TRIM.</t>
  </si>
  <si>
    <t>UNIVERSIDAD TECNOLOGICA DE HERMOSILLO, SONORA</t>
  </si>
  <si>
    <t>03</t>
  </si>
  <si>
    <t>01</t>
  </si>
  <si>
    <t>02</t>
  </si>
  <si>
    <t>04</t>
  </si>
  <si>
    <t>05</t>
  </si>
  <si>
    <t>06</t>
  </si>
  <si>
    <t>07</t>
  </si>
  <si>
    <t>DE ORGANISMOS Y ENTIDADES DE LA ADMINISTRACION PUBLICA ESTATAL</t>
  </si>
  <si>
    <t>AMPLIACION</t>
  </si>
  <si>
    <t>%</t>
  </si>
  <si>
    <t xml:space="preserve"> MODIFICADA</t>
  </si>
  <si>
    <t>SERVICIOS PERSONALES</t>
  </si>
  <si>
    <t>SUELDOS</t>
  </si>
  <si>
    <t>HONORARIOS Y COMISIONES</t>
  </si>
  <si>
    <t>PRIMA QUINQ. X AÑO DE SERVICIOS</t>
  </si>
  <si>
    <t>COMP. A DIRECTORES DEL MAGISTERIO</t>
  </si>
  <si>
    <t>ESTIMULOS AL PERSONAL</t>
  </si>
  <si>
    <t>PRIMA VACACIONAL</t>
  </si>
  <si>
    <t>GRATIFICACION DE FIN DE AÑO</t>
  </si>
  <si>
    <t>COMP. POR SERV. A PERS. PERMAN.</t>
  </si>
  <si>
    <t>CUOTAS PARA MATERIAL DIDACTICO</t>
  </si>
  <si>
    <t>BONO PARA DESPENSA</t>
  </si>
  <si>
    <t>CUOTAS PARA LA VIVIENDA</t>
  </si>
  <si>
    <t>OTRAS PRESTACIONES DE SEG. SOC.</t>
  </si>
  <si>
    <t xml:space="preserve">OTRAS PRESTACIONES </t>
  </si>
  <si>
    <t>APORTACIONES AL S.A.R.</t>
  </si>
  <si>
    <t>MATERIALES Y SUMINISTROS</t>
  </si>
  <si>
    <t>MATERIAL DE OFICINA</t>
  </si>
  <si>
    <t>MATERIAL DE LIMPIEZA</t>
  </si>
  <si>
    <t>MATERIALES EDUCATIVOS</t>
  </si>
  <si>
    <t>MATERIALES Y UTILES DE IMPRESIÓN</t>
  </si>
  <si>
    <t>MAT. Y UTILES P/ PROCES. EN BIENES INF.</t>
  </si>
  <si>
    <t>ALIMENTACION DE PERSONAS</t>
  </si>
  <si>
    <t>UTENSILIOS P/SERV DE ALIMENTACION</t>
  </si>
  <si>
    <t>REF. ACCES. Y HERRAMIENTAS MENORES</t>
  </si>
  <si>
    <t>PLACAS,  ENGOMADOS Y CALCOMANIAS</t>
  </si>
  <si>
    <t>REFACCIONES Y ACCS DE EQ DE COMPUTO</t>
  </si>
  <si>
    <t>MATERIALES DE CONSTRUCCION</t>
  </si>
  <si>
    <t>ESTRUCTURAS Y MANUFACTURAS</t>
  </si>
  <si>
    <t>MATERIALES COMPLEMENTARIOS</t>
  </si>
  <si>
    <t>MATERIAL ELECTRICO</t>
  </si>
  <si>
    <t>PLAGUICIDAS, ABONOS Y FERTILIZANTES</t>
  </si>
  <si>
    <t>MEDICINAS Y PRODUCTOS FARMACEUTICOS</t>
  </si>
  <si>
    <t>MATERIALES Y SUMNISTROS DE LABORATORIOS</t>
  </si>
  <si>
    <t>COMBUSTIBLES</t>
  </si>
  <si>
    <t>LUBRICANTES Y ADITIVOS</t>
  </si>
  <si>
    <t>VESTUARIOS, UNIF. Y BLANCOS</t>
  </si>
  <si>
    <t>ARTICULOS DEPORTIVOS</t>
  </si>
  <si>
    <t>SERVICIOS GENERALES</t>
  </si>
  <si>
    <t>SERVICIO POSTAL</t>
  </si>
  <si>
    <t>SERVICIO TELEFONICO</t>
  </si>
  <si>
    <t>SERVICIO DE ENERGIA ELECTRICA</t>
  </si>
  <si>
    <t>SERVICIO DE AGUA POTABLE</t>
  </si>
  <si>
    <t>ARRENDAMIENTO DE INMUEBLES</t>
  </si>
  <si>
    <t>ARREND. MUEBLES, MAQ. Y EQUIPO</t>
  </si>
  <si>
    <t>ARREND. DE EQUIPO DE TRANSPORTE</t>
  </si>
  <si>
    <t>ARRENDAMIENTOS ESPECIALES</t>
  </si>
  <si>
    <t>ASESORIA Y CAPACITACION</t>
  </si>
  <si>
    <t>SERVICIOS DE INFORMATICA</t>
  </si>
  <si>
    <t>ALMACENES, FLETES Y MANIOBRAS</t>
  </si>
  <si>
    <t>GASTOS FINANCIEROS</t>
  </si>
  <si>
    <t>SEGUROS Y FIANZAS</t>
  </si>
  <si>
    <t>OTROS IMPUESTOS Y DERECHOS</t>
  </si>
  <si>
    <t>SERVICIO DE VIGILANCIA</t>
  </si>
  <si>
    <t>MANTO. Y CONSERV. DE MOB. Y EQUIPO</t>
  </si>
  <si>
    <t>MANTO. Y CONSERV. DE MAQ. Y EQUIPO</t>
  </si>
  <si>
    <t>MANTO. Y CONSERV. DE INMUEBLES</t>
  </si>
  <si>
    <t>SERV. DE LAV. HIG. Y FUMIG.</t>
  </si>
  <si>
    <t>MANTO. Y CONSERV. DE EQ. DE TRANSPORTE</t>
  </si>
  <si>
    <t>MANTO. Y CONSERV. EQ.P/ESCUELAS</t>
  </si>
  <si>
    <t>INSTALACIONES</t>
  </si>
  <si>
    <t>IMPRESIONES Y PUBLIC. OFICIALES</t>
  </si>
  <si>
    <t>PASAJES</t>
  </si>
  <si>
    <t>VIATICOS</t>
  </si>
  <si>
    <t>GASTOS CEREMON. Y DE ORDEN SOCIAL</t>
  </si>
  <si>
    <t>CONGRESOS, CONVENSIONES Y EXP.</t>
  </si>
  <si>
    <t>SUSCRIPCIONES Y CUOTAS</t>
  </si>
  <si>
    <t>BECAS</t>
  </si>
  <si>
    <t>FOMENTO DEPORTIVO</t>
  </si>
  <si>
    <t>BIENES MUEBLES E INMUEBLES</t>
  </si>
  <si>
    <t>MOBILIARIO DE ADMINISTRACION</t>
  </si>
  <si>
    <t>EQUIPO DE ADMINISTRACION</t>
  </si>
  <si>
    <t>EQUIPO EDUCACIONAL Y RECREATIVO</t>
  </si>
  <si>
    <t>BIENES ARTISTICOS Y CULTURALES</t>
  </si>
  <si>
    <t>MOB. Y EQ. PARA ESCUELAS, LAB. Y TALLERES</t>
  </si>
  <si>
    <t>EQUIPOS Y APARATOS DE COMUNICACIÓN</t>
  </si>
  <si>
    <t>MAQUINARIA Y EQUIPO ELECTRICO</t>
  </si>
  <si>
    <t>EQ. DE COMPUTO E INFORMATICO</t>
  </si>
  <si>
    <t>VEHICULOS Y EQUIPO TERRESTRE</t>
  </si>
  <si>
    <t>TOTALES:</t>
  </si>
  <si>
    <t>INDEMNIZACION AL PERSONAL</t>
  </si>
  <si>
    <t>OTRAS PRESTACIONES</t>
  </si>
  <si>
    <t>GASTOS DE DIFUSION E IMAGEN</t>
  </si>
  <si>
    <t>GASTOS DE DIF. Y SERV PUBLICOS  Y CAMP. INF.</t>
  </si>
  <si>
    <t>MANTO. Y CONSERV. DE PARQUES YJARDINES</t>
  </si>
  <si>
    <t>IMPRESIÓN DE DOCUMENTOS OFICIALES</t>
  </si>
  <si>
    <t>GASTOS DE TELETRANSM. Y RADIOTRANSMISION</t>
  </si>
  <si>
    <t xml:space="preserve"> </t>
  </si>
  <si>
    <t>ESTUDIOS E INVESTIGACIONES</t>
  </si>
  <si>
    <t>GASTOS DE ATENCION Y PROMOCION</t>
  </si>
  <si>
    <t>MONTO</t>
  </si>
  <si>
    <t>SUSTANCIAS QUIMICAS</t>
  </si>
  <si>
    <t>AYUDA P/GUARDERIA MADRES TRABAJ.</t>
  </si>
  <si>
    <t>PAGO / DEFUNCION, PENS. Y JUBILAC.</t>
  </si>
  <si>
    <t>APOYO PARA UTILES ESCOLARES</t>
  </si>
  <si>
    <t>FEDERALES ( * 1)</t>
  </si>
  <si>
    <t>(* 1) En el Marco de la Ágenda Estratégica</t>
  </si>
  <si>
    <t>MANTENIMIENTO DEL SISTEMA DE GESTION DE CALIDAD ISO 9001-2000</t>
  </si>
  <si>
    <t>ADMINISTRACION DE COSTOS DE OPERACIÓN DE LA UTH</t>
  </si>
  <si>
    <t>ELABORACIÓN, IMPLEMENTACIÓN Y EVALUACIÓN DE PROGRAMAS INSTITUCIONALES QUE INTEGRAN LA PLANEACIÓN ESTRATÉGICA</t>
  </si>
  <si>
    <t>Alumnos</t>
  </si>
  <si>
    <t>08</t>
  </si>
  <si>
    <t>09</t>
  </si>
  <si>
    <t>10</t>
  </si>
  <si>
    <t>11</t>
  </si>
  <si>
    <t>12</t>
  </si>
  <si>
    <t>13</t>
  </si>
  <si>
    <t>14</t>
  </si>
  <si>
    <t>15</t>
  </si>
  <si>
    <t>Programa</t>
  </si>
  <si>
    <t>16</t>
  </si>
  <si>
    <t>Evento</t>
  </si>
  <si>
    <t>Informe</t>
  </si>
  <si>
    <t>Reporte</t>
  </si>
  <si>
    <t>Documento</t>
  </si>
  <si>
    <t>2do. TRIM</t>
  </si>
  <si>
    <t>ACUM</t>
  </si>
  <si>
    <t>PRENDAS DE PROTECCIÓN</t>
  </si>
  <si>
    <t>COMPENSACIÓN ADICIONAL P/DESP. MAGISTERIO</t>
  </si>
  <si>
    <t>CUOTAS POR SERVICIO MEDICO AL ISSSTE</t>
  </si>
  <si>
    <t>MATERIALES Y SUMINISTROS MEDICOS</t>
  </si>
  <si>
    <t>SERVICIO TELEGRAFICO</t>
  </si>
  <si>
    <t>EVTOP-01-01</t>
  </si>
  <si>
    <t>AYUDA P/APOYO Y ASISTENCIA</t>
  </si>
  <si>
    <t xml:space="preserve">MANTENIMIENTO DE LA CERTIFICACIÓN ISO 9001 DEL SISTEMA DE GESTION DE CALIDAD  </t>
  </si>
  <si>
    <t xml:space="preserve">AUDITORIAS INTERNAS DEL SISTEMA DE GESTIÓN DE CALIDAD </t>
  </si>
  <si>
    <t>Revisiones</t>
  </si>
  <si>
    <t>Cursos</t>
  </si>
  <si>
    <t xml:space="preserve">REUNIÓN COMITÉ DE CALIDAD </t>
  </si>
  <si>
    <t>MATRÍCULA DE LOS 9 PE DE TSU</t>
  </si>
  <si>
    <t>FORTALECIMIENTO Y/O ACTUALIZACIÓN DE LABORATORIOS Y TALLERES</t>
  </si>
  <si>
    <t>SEGUIMIENTO DEL PROGRAMA DE TUTORIAS A ESTUDIANTES PARA REDUCIR LA DESERCIÓN Y REPROBACIÓN</t>
  </si>
  <si>
    <t>FORMACIÓN Y DESARROLLO DE ACADEMIAS</t>
  </si>
  <si>
    <t>Examen</t>
  </si>
  <si>
    <t>PROGRAMA DE CURSOS, TALLERES, SEMINARIOS Y CONFERENCIAS A ALUMNOS</t>
  </si>
  <si>
    <t>21</t>
  </si>
  <si>
    <t>22</t>
  </si>
  <si>
    <t>23</t>
  </si>
  <si>
    <t>24</t>
  </si>
  <si>
    <t>25</t>
  </si>
  <si>
    <t>Informe de actualización</t>
  </si>
  <si>
    <t>33</t>
  </si>
  <si>
    <t>34</t>
  </si>
  <si>
    <t>35</t>
  </si>
  <si>
    <t>Convenio</t>
  </si>
  <si>
    <t>INFORME DE INGRESOS PROPIOS</t>
  </si>
  <si>
    <t>ELABORACIÓN DE INFORMES MENSUALES, FINANCIEROS PRESUPUESTALES Y CONTABLES</t>
  </si>
  <si>
    <t>PRESENTAR TRIMESTRALMENTE INFORME DE LA CUENTA PUBLICA ESTATAL</t>
  </si>
  <si>
    <t>ELABORACIÓN Y ÁNALISIS DE LOS REPORTES PRESUPUESTALES POR CENTROS DE COSTOS</t>
  </si>
  <si>
    <t>ESTADISTICA DE EDUCACIÓN SUPERIOR FORMATO 911</t>
  </si>
  <si>
    <t xml:space="preserve">ESTADISTICAS  CUATRIMESTRALES BASE DE DATOS </t>
  </si>
  <si>
    <t>ELABORACIÓN DE INFORME CUATRIMESTRAL</t>
  </si>
  <si>
    <t>PRONTUARIO ESTADISTICO</t>
  </si>
  <si>
    <t>ELABORACIÓN DE MEMORIA ESTADISTICA</t>
  </si>
  <si>
    <t>ASESORÍA JURIDICA A LAS ÁREAS DE LA UNIVERSIDAD</t>
  </si>
  <si>
    <t>ELABORACIÓN Y REVISIÓN DE CONVENIOS Y CONTRATOS</t>
  </si>
  <si>
    <t>ASESORÍA LEGAL Y COORDINACIÓN DE REUNIONES DE CONSEJO DIRECTIVO</t>
  </si>
  <si>
    <t>Reuniones</t>
  </si>
  <si>
    <t>PRESENTAR LAS DENUNCIAS QUE IMPLIQUEN PRESUNTA RESPONSABILIDAD</t>
  </si>
  <si>
    <t>RECIBIR LAS DECLARACIONES DE SITUACIÓN PATRIMONIAL DE FUNCIONARIOS</t>
  </si>
  <si>
    <t>FORMULAR DENUNCIAS Y QUERELLAS ANTE EL MINISTERIO PÚBLICO</t>
  </si>
  <si>
    <t>REVISIÓN A PROCEDIMIENTOS DE LICITACIÓN</t>
  </si>
  <si>
    <t>VERIFICACIÓN Y SEGUIMIENTO DE CONTRATACIONES</t>
  </si>
  <si>
    <t>REALIAZAR AUDITORIAS DIRECTAS Y DAR SEGUIMIENTO A LAS OBSERVACIONES</t>
  </si>
  <si>
    <t>ELABORAR INFORMES TRIMESTRALES (POA DEL OCDA, INFORMES DE ACTIVIDADES Y AVANCE PRESUPUESTAL)</t>
  </si>
  <si>
    <t>ATENCIÓN A PETICIONES CIUDADANAS</t>
  </si>
  <si>
    <t>SISTEMA ESTATAL DE EVALUACIÓN DEL DESEMPEÑO</t>
  </si>
  <si>
    <t>AYUDAS DIVERSAS</t>
  </si>
  <si>
    <t>ELABORACIÓN DEL PROGRAMA DE CAPACITACIÓN</t>
  </si>
  <si>
    <t>GASTOS DE CAMINO</t>
  </si>
  <si>
    <t>GESTIONES PARA LA ACREDITACIONES DE LOS PROGRAMAS EDUCATIVOS</t>
  </si>
  <si>
    <t>Auditoria Externa</t>
  </si>
  <si>
    <t>Auditorias</t>
  </si>
  <si>
    <t>REVISIÓN DEL SISTEMA DE GESTIÓN DE CALIDAD POR PARTE DE RECTORÍA</t>
  </si>
  <si>
    <t>ATENCIÓN A ESTUDIANTES EN LOS 9 PE DE TSU</t>
  </si>
  <si>
    <t>Estudiantes</t>
  </si>
  <si>
    <t>CAPACITACIÓN A DOCENTE</t>
  </si>
  <si>
    <t>APOYO A PROFESORES PARA ESTUDIO DE POSGRADO</t>
  </si>
  <si>
    <t>CAPACITACIÓN TECNOLÓGICA Y PEDAGOGICA A PERSONAL DOCENTE</t>
  </si>
  <si>
    <t>PROCESO DE TITULACIÓN</t>
  </si>
  <si>
    <t>Reporte CGUT</t>
  </si>
  <si>
    <t>SOLICITUD DE ALTA DE ALUMNOS DE NUEVO INGRESO ANTE IMSS</t>
  </si>
  <si>
    <t>EMISIÓN DE CONSTANCIAS</t>
  </si>
  <si>
    <t>EMISIÓN DE BOLETAS</t>
  </si>
  <si>
    <t>CREDENCIALIZACIÓN DE ALUMNOS</t>
  </si>
  <si>
    <t>ALIMENTACIÓN SIAGEUT PARA ACTAS DE EVALUACIÓN FINAL Y EXTRAORDINARIA</t>
  </si>
  <si>
    <t>Reporte SIAGEUT</t>
  </si>
  <si>
    <t>REVISIÓN Y ACTUALIZACIÓN EXPEDIENTES ALUMNOS INSCRITOS</t>
  </si>
  <si>
    <t>EMISIÓN DE DOCUMENTOS OFICIALES DE EGRESO E INTEGRACIÓN CARPETAS GRADUACIÓN</t>
  </si>
  <si>
    <t>INTEGRACIÓN DE EXPEDIENTES Y GESTIÓN DE REGISTRO DE TÍTULOS Y CÉDULAS ANTE DGP</t>
  </si>
  <si>
    <t>SISTEMA INTEGRAL DE SERVICIOS BIBLIOTECARIOS</t>
  </si>
  <si>
    <t>Reporte de servicios</t>
  </si>
  <si>
    <t>ATENCIÓN DE QUEJAS Y SUGERENCIAS DEL BUZÓN DE CONTRALORÍA</t>
  </si>
  <si>
    <t>ATENCIÓN DE ACCIDENTES DE ALUMNOS</t>
  </si>
  <si>
    <t>CONVENIOS PROGRAMADOS DE VINCULACION</t>
  </si>
  <si>
    <t>PARTICIPACIÓN EN REUNIONES DE VINCULACIÓN CON LOS DIVERSOS SECTORES</t>
  </si>
  <si>
    <t>Grupo</t>
  </si>
  <si>
    <t>ORGANIZACIÓN Y PARTICIPACION EN FERIAS Y EXPOSICIONES DE EMPLEO</t>
  </si>
  <si>
    <t>CREACIÓN DE NUEVAS EMPRESAS</t>
  </si>
  <si>
    <t>Empresas creadas</t>
  </si>
  <si>
    <t>CONTRATACIÓN DEL PERSONAL DOCENTE Y ADMINISTRATIVO</t>
  </si>
  <si>
    <t>MANTENIMIENTO PREVENTIVO</t>
  </si>
  <si>
    <t>MENTENIMIENTO CORRECTIVO</t>
  </si>
  <si>
    <t>LICITACIONES DE LAS ADQUISICIONES Y SERVICIOS DE ACUERDO AL PROGRAMA.</t>
  </si>
  <si>
    <t>INVENTARIOS DE BIENES MUEBLES E INMUEBLES</t>
  </si>
  <si>
    <t>CONTROL Y MANTENIMIENTO DEL PARQUE VEHICULAR</t>
  </si>
  <si>
    <t>Aplicación</t>
  </si>
  <si>
    <t>EVALUACION INSTITUCIONAL (EVIN)</t>
  </si>
  <si>
    <t>TRAYECTORIAS EDUCATIVAS (APLICACIÓN DE ENCUESTAS)</t>
  </si>
  <si>
    <t>SISTEMA INTEGRAL DE EVALUACIÒN</t>
  </si>
  <si>
    <t>INFORME DE ACTIVIDADES RELEVANTES</t>
  </si>
  <si>
    <t>ESTUDIO DE ASPECTOS DEMOGRAFICOS Y RELEVANTES DE LA MATRICULA DE NUEVO INGRESO</t>
  </si>
  <si>
    <t>Estudios</t>
  </si>
  <si>
    <t>REVISIÓN DEL CONTRATO COLECTIVO CON EL SINDICATO</t>
  </si>
  <si>
    <t>CAPACITACIÓN AL PERSONAL DEL OCDA</t>
  </si>
  <si>
    <t>ASISTENCIA Y SEGUIMIENTO A ACTOS DE LICITACIONES</t>
  </si>
  <si>
    <t>VERIFICACIÒN Y FISCALIZACIÒN DE OBRA</t>
  </si>
  <si>
    <t>EVALUAR EL PORTAL DE TRANSPARENCIA DE LA UNIVERSIDAD</t>
  </si>
  <si>
    <t>SERVICIO DE ALUMBRADO PUBLICO</t>
  </si>
  <si>
    <t>SERVICIO DE ENERGIA ELECTRICA A ESCUELAS</t>
  </si>
  <si>
    <t>SERVICIO É INSTALACIONES PARA CENTROS ESCOLARES</t>
  </si>
  <si>
    <t>SERVICIO DE CONDUCCION DE SEÑALES ANALOGICAS Y DIGITALES</t>
  </si>
  <si>
    <t>ARRENDAMIENTO FINANCIERO DE INMUEBLES</t>
  </si>
  <si>
    <t>ARRENADMIENTO FINANCIERO DE MUEBLES, MAQUINARIA Y EQUIPO</t>
  </si>
  <si>
    <t>ARRENDAMINETO DE EQUIPO DE TRANSPORTE</t>
  </si>
  <si>
    <t>SERVICIO DE CONSULTORIA</t>
  </si>
  <si>
    <t>SERVICIOS ESTADISTICOS Y GEOGRAFICOS</t>
  </si>
  <si>
    <t>APOYO A COMISARIOS CIUDADANOS</t>
  </si>
  <si>
    <t>APOYO A CONTRALORES SOCIALES</t>
  </si>
  <si>
    <t>IMPUESTOS DE IMPORTACIÓN</t>
  </si>
  <si>
    <t>IMPUESTIOS DE EXPORTACIÓN</t>
  </si>
  <si>
    <t>PATENTES, REGALIAS Y OTROS</t>
  </si>
  <si>
    <t>GASTOS INHERENTES A LA REGULACIÓN</t>
  </si>
  <si>
    <t>SUBCONTRATACIÓN DE SERVICIOS CON TERCEROS</t>
  </si>
  <si>
    <t>SERVICIOS INTEGRALES</t>
  </si>
  <si>
    <t>MANTO Y CONSERV DE HERR, MAQ, HERR. INST, UTILES Y EQUIPO</t>
  </si>
  <si>
    <t>MANTO. Y CONSERVACIÓN DE PANTEONES</t>
  </si>
  <si>
    <t>CAONSERVACIÓN DE LAUMBRADO PÚBLICO</t>
  </si>
  <si>
    <t>CONSERVACIÓN DE TOMAS DE AGUA</t>
  </si>
  <si>
    <t>CONSERVACIÓN DE SEÑALES DE TRANSITO</t>
  </si>
  <si>
    <t>MANTO. Y CONSERV. BIENES INFORMATICOS</t>
  </si>
  <si>
    <t>MANTO Y COSNERV. DE CAMPOS DEPORTIVOS</t>
  </si>
  <si>
    <t>SERVICIOS DE TELECOMUNICACIONES</t>
  </si>
  <si>
    <t>EDICTOS</t>
  </si>
  <si>
    <t>LICITACIONES, CONVENIOS Y VCONVOCATORIAS</t>
  </si>
  <si>
    <t>EMISION DE LICENCIAS DE CONDUCIR</t>
  </si>
  <si>
    <t>SERVICIOS ASISTENCIALES</t>
  </si>
  <si>
    <t>GASOS DE CASA DE GOBIERNO</t>
  </si>
  <si>
    <t>AYUDAS CULTURALES Y SOCIALES</t>
  </si>
  <si>
    <t>BECAS EDUCATIVAS</t>
  </si>
  <si>
    <t>GASTOS DE REPRESENT. DEL EDO. EN EL D.F.</t>
  </si>
  <si>
    <t>BECAS DE EDUCACIÓN MEDIA Y SUPERIOR</t>
  </si>
  <si>
    <t>SUBROGACIONES</t>
  </si>
  <si>
    <t>APLICACIÓN DE RETENCIÓN DEL 2 AL MILLAR</t>
  </si>
  <si>
    <t>SERVICIO DE CARÁCTER SOCIAL</t>
  </si>
  <si>
    <t>RETRIB A REPRESENT. OBRERO Y CAPITAL</t>
  </si>
  <si>
    <t>GASTOS DERIVADOS DE ACTUACIONES JUDICIALES</t>
  </si>
  <si>
    <t>GASTION LEGISLATIVA</t>
  </si>
  <si>
    <t>MAQUINARIA Y EQUIPO AGROPECUARIO</t>
  </si>
  <si>
    <t>MAQUINARIA Y EQUIPO INDUTRIAL</t>
  </si>
  <si>
    <t>MAQUINARIA Y EQUIPO DE CONSTRUCCIÓN</t>
  </si>
  <si>
    <t>VEHICULOS Y EQUIPO MARITIMO, LACUSTRE Y FLUVIAL</t>
  </si>
  <si>
    <t>VEHICULOS Y EQUIPO DE TRANSPORTE AEREO</t>
  </si>
  <si>
    <t>VEHICULOS Y EQUIPO AUXILIAR DE TRANSPORTE</t>
  </si>
  <si>
    <t>APOYO PARA CANASTILLA DE MATERNIDAD</t>
  </si>
  <si>
    <t>SEGUROS POR DEFUNCIÓN FAMILIAR</t>
  </si>
  <si>
    <t>BONO DE DIA DE MADRES</t>
  </si>
  <si>
    <r>
      <t xml:space="preserve">NOMBRE DEL ORGANISMO: </t>
    </r>
    <r>
      <rPr>
        <sz val="12"/>
        <rFont val="Arial"/>
        <family val="2"/>
      </rPr>
      <t>UNIVERSIDAD TECNOLOGICA DE HERMOSILLO, SONORA</t>
    </r>
  </si>
  <si>
    <t>INVERSION EN INFRAESTRUCTURA PARA EL DESARROLLO</t>
  </si>
  <si>
    <t>REVISAR LA INFORMACIÒN QUE LA DEPENDENCIA O ENTIDAD  INTEGRE AL SISTEMA DE INFORMACIÒN DE ACCIONES DE GOBIERNO (SIA)</t>
  </si>
  <si>
    <t>REVISION,SEGUIMIENTO Y EVALUACION DE LOS DOCUMENTOS ADMINISTRATIVOS QUE SUSTENTEN LA ORGANIZACIÓN  Y OPERACIÓN DE LA ENTIDAD</t>
  </si>
  <si>
    <t>REESTRUCTURACION DE LA RED INFORMÁTICA</t>
  </si>
  <si>
    <t xml:space="preserve">SEGUIMIENTO A LA APLICACIÓN  DEL POTAL INTERACTIVO </t>
  </si>
  <si>
    <t>ACCIONES DE SOPORTE TÉCNICO</t>
  </si>
  <si>
    <t>ESTADISTICA DE EVALUACIÓN PARCIAL FINAL</t>
  </si>
  <si>
    <t>ELABORACION DE INFORME ANUAL DE ACTIVIDADES</t>
  </si>
  <si>
    <t>ACTUALIZACIÓN DEL MANUAL DE PROCEDIMIENTOS</t>
  </si>
  <si>
    <t>ATENCIÓN A REQUISICIONES DE COMPRA</t>
  </si>
  <si>
    <t>CAPTACION DE INGRESOS PROPIOS</t>
  </si>
  <si>
    <t>COSTO POR ALUMNO</t>
  </si>
  <si>
    <t>OCUPACION DE PUESTOS</t>
  </si>
  <si>
    <t>DESARROLLAR INSTRUMENTOS Y UNIDADES DE COMPETENCIA</t>
  </si>
  <si>
    <t>IMPARTIR CURSOS BASADOS EN COMPETENCIAS</t>
  </si>
  <si>
    <t>TRAMITAR UNIDADES DE COMPETENCIA LABORAL</t>
  </si>
  <si>
    <t>PROMOVER DENTRO DE LA COMUNIDAD UNIVERSITARIA ACTIVIDADES QUE FOMENTEN LA INTERNACIONALIZACIÓN E INVESTIGACIÓN Y EL DESARROLLO</t>
  </si>
  <si>
    <t>PARTICIPAR EN ACTIVIDADES DE INTERNACIONALIZACIÓN E INVESTIGACIÓN Y EL DESARROLLO</t>
  </si>
  <si>
    <t>PROMOCION DE LA INCUBADORA DE EMPRESAS</t>
  </si>
  <si>
    <t>IMPARTIR CURSOS OFERTADOS POR LA UTHERMOSILLO Y/O DEMANDADOS POR LOS CLIENTES</t>
  </si>
  <si>
    <t>CREAR Y DISEÑAR CURSOS CON BASE EN EL DIAGNÓSTICO DE NECESIDADES DE CAPACITACIÓN</t>
  </si>
  <si>
    <t>ELABORAR DIAGNÓSTICO DE NECESIDADES DE CAPACITACIÓN</t>
  </si>
  <si>
    <t>REALIZAR REPORTE MENSUAL DE COLOCACION</t>
  </si>
  <si>
    <t>APLICAR CUESTIONARIOS DE SATISFACCION A EGRESADOS Y EMPLEADORES</t>
  </si>
  <si>
    <t>PARTICIPAR  EN ASOCIACIONES Y ORGANISMOS DE EMPLEO</t>
  </si>
  <si>
    <t>REALIZAR SEMINARIOS PARA LOS BUSCADORES DE EMPLEO</t>
  </si>
  <si>
    <t>REALIZAR GALERIA DE EGRESADOS</t>
  </si>
  <si>
    <t>DAR SEGUIMIENTO Y ACTUALIZACIÓN DE EGRESADOS DEL SIVUT</t>
  </si>
  <si>
    <t>PARTICIPAR EN CONFERENCIAS</t>
  </si>
  <si>
    <t>COLOCAR ALUMNOS EN ESTADIA DE LAS CARRERAS DE TECNICO SUPERIOR UNIVERSITARIA</t>
  </si>
  <si>
    <t>EVENTO DE VINCULACION</t>
  </si>
  <si>
    <t>REALIZAR LA RECOPILACIÓN DE MEMORIA FOTOGRÁFICA Y AUDIOVISUAL DE LA VIDA UNIVERSITARIA.</t>
  </si>
  <si>
    <t>PARTICIPAR EN COMITÉS PROMOTORES DE  SALUD Y DE LA PERMANENCIA DEL ALUMNADO</t>
  </si>
  <si>
    <t>DAR SEGUIMIENTO A ATENCIÓN PSICOLÓGICA</t>
  </si>
  <si>
    <t>REALIZAR ACTIVIDADES DE PROMOCIÓN A LA SALUD</t>
  </si>
  <si>
    <t>DAR SEGUIMIENTO A URGENCIAS MEDICAS</t>
  </si>
  <si>
    <t xml:space="preserve"> PARTICIPAR  EN TORNEOS INTRAMUROS, LOCALES, ESTATALES Y NACIONALES</t>
  </si>
  <si>
    <t>REALIZAR ACTIVIDADES PARA EL FOMENTO DE LA CULTURA Y EL ARTE</t>
  </si>
  <si>
    <t>DESARROLLAR UN PROGRAMA DE ACTIVIDADES EXTRACURRICULARES  DE CARÁCTER CULTURAL Y DEPORTIVO</t>
  </si>
  <si>
    <t>REALIZAR INSCRIPCIÓN DE ALUMNOS AL PROGRAMA DE  ACTIVIDADES EXTRACURRICULARES</t>
  </si>
  <si>
    <t>ATENCIÓN DE ALUMNOS EN EL ÁREA DE GESTIÓN DE APOYOS ECONÓMICOS (COBERTURA DE BECAS)</t>
  </si>
  <si>
    <t xml:space="preserve">RECEPCIÓN REQUISITOS TITULACIÓN </t>
  </si>
  <si>
    <t>PROCESO DE REINSCRIPCION  INGENIERIA</t>
  </si>
  <si>
    <t>PROCESO DE INSCRIPCION DE NUEVO INGRESO INGENIERIA</t>
  </si>
  <si>
    <t>PROCESO DE REINSCRIPCION  TSU</t>
  </si>
  <si>
    <t>PROCESO DE INSCRIPCION DE NUEVO INGRESO TSU</t>
  </si>
  <si>
    <t>PERFIL DESEABLE PROMEP</t>
  </si>
  <si>
    <t>APLICACIÒN DE LAS LINEAS  GENERALES DE INVESTIGACIÓN DE LOS CUERPOS ACADÉMICOS</t>
  </si>
  <si>
    <t>PARTICIPACION EN REDES ACADEMICAS, CONGRESOS, PUBLICACIONES.</t>
  </si>
  <si>
    <t>SEGUIMENTO A INDICADORES DE CALIDAD (APROVECHAMIENTO, DESERCIÓN, REPROBACIÒN)</t>
  </si>
  <si>
    <t>REALIZACIÓN DE EVALUACIÓN TERMINAL A EGRESADOS (EGETSU) AL MENOS EL 95% DE LOS ALUMNOS.</t>
  </si>
  <si>
    <t>EVALUACIÓN AL SEGUIMIENTO ACADÉMICO</t>
  </si>
  <si>
    <t>PROGRAMACIÓN Y DESARROLLO DE CURSO PROPEDÉUTICO PARA ALUMNOS DE NUEVO INGRESO</t>
  </si>
  <si>
    <t>ATENCION A ESTUDIANTES EN LOS 7 PE DE INGENIERIAS</t>
  </si>
  <si>
    <t xml:space="preserve">CAPACITACIÓN Y FORMACIÓN ISO 9001:2008 </t>
  </si>
  <si>
    <t>Contrato</t>
  </si>
  <si>
    <t>Informes</t>
  </si>
  <si>
    <t>actividades</t>
  </si>
  <si>
    <t>Curso</t>
  </si>
  <si>
    <t>Diagnóstico</t>
  </si>
  <si>
    <t>actividad</t>
  </si>
  <si>
    <t>torneo</t>
  </si>
  <si>
    <t>Evaluación terminal</t>
  </si>
  <si>
    <t xml:space="preserve">Evaluación </t>
  </si>
  <si>
    <t>Reunión</t>
  </si>
  <si>
    <t>SEGUIMIENTO AL CUMPLIMIENTO DEL CODIGO DE TRABAJO</t>
  </si>
  <si>
    <t>REVISION DE EXPEDIENTES DE OBRA PUBLICA</t>
  </si>
  <si>
    <t>ELABORAR PROGRAMA OPERATIVO ANUAL DEL ÓRGANO DE CONTROL, ASI COMO EL PROGRAMA ANUAL DE AUDITORIA 2012</t>
  </si>
  <si>
    <t>SEGUIMIENTO A OBSERVACIONES DE DESPACHOS EXTERNOS E ISAF 2010</t>
  </si>
  <si>
    <t>SEGUIMIENTO A OBSERVACIONES DE CUENTA PÚBLICA 2010</t>
  </si>
  <si>
    <t>REVISION Y ACTUALIZACION DE DOCUMENTOS INTITUCIONALES</t>
  </si>
  <si>
    <t>ATENCION AL PROGRAMA DE MEJORA REGULATORIA (POMERSYS)</t>
  </si>
  <si>
    <t>ACTUALIZACION DEL SISTEMA INTEGRAL DE REGISTRO (SIR)</t>
  </si>
  <si>
    <t>REVISIÓN Y ACTUALIZACION DEL PORTAL DE TRANSPARENCIA</t>
  </si>
  <si>
    <t>IMPLEMENTACION DE NUEVOS EQUIPOS</t>
  </si>
  <si>
    <t>Proyecto</t>
  </si>
  <si>
    <t>PROYECTO DE SISTEMA PARA CONTROL DE ALMACEN, INVENTARIOS Y CONTROL VEHICULAR</t>
  </si>
  <si>
    <t>PROYECTO DISEÑO DE PAGINA WEB</t>
  </si>
  <si>
    <t>ACTUALIZACION DE SISTEMAS DE EGRESOS (SEVI. SIR, POMERSYS)</t>
  </si>
  <si>
    <t>PROYECTO DE AUMENTO DE ANCHO DE BANDA EN INTERNET</t>
  </si>
  <si>
    <t>ELABORACION DEL PROGRAMA INTEGRAL DE FORTALECIMIENTO INSTITUCIONAL 2011</t>
  </si>
  <si>
    <t>ELABORACION DEL PROYECTO FONDO DE APOYO A LA CALIDAD 2011</t>
  </si>
  <si>
    <t>ACTUALIZACION DE BASES DE DATOS CGUT, PERFIL DEL PROFESOR</t>
  </si>
  <si>
    <t>ACTUALIZACION DE BASES DE DATOS CGUT, MATRICULA</t>
  </si>
  <si>
    <t>SEGUIMIENTO A FONDO DE APOYO A LA CALIDAD</t>
  </si>
  <si>
    <t>SEGUIMIENTO DEL POA FEDERAL</t>
  </si>
  <si>
    <t>ELABORACIÓN DEL POA 2012</t>
  </si>
  <si>
    <t>APLICACIÓN DE ENCUESTAS DEL MODELO DE CALIDAD A ALUMNOS</t>
  </si>
  <si>
    <t>EVALUACIÓN DEL MODELO DE LA CALIDAD 2010-2011</t>
  </si>
  <si>
    <t xml:space="preserve">CAPACITACION DEL PERSONAL </t>
  </si>
  <si>
    <t>PROPORCIONAR SERVICIOS EMPRESARIALES EN BASE A DEMANDA</t>
  </si>
  <si>
    <t>ACREDITAR CENTROS DE EVALUACION Y/O EVALUADORES INDEPENDIENTES</t>
  </si>
  <si>
    <t>SEMANA DE VINCULACION</t>
  </si>
  <si>
    <t>MOVILIDAD EN LA  REALIZACIO DE ESTANCIAS NACIONAL E INTERNACIONAL</t>
  </si>
  <si>
    <t>Formato de registro</t>
  </si>
  <si>
    <t>REGISTRO DE PROYECTOS</t>
  </si>
  <si>
    <t>Comprobante de empleo</t>
  </si>
  <si>
    <t>CREACION DE EMPLEOS</t>
  </si>
  <si>
    <t>Curso Diseñado</t>
  </si>
  <si>
    <t>APLICAR ENCUESTA DE ESTUDIO DE EGRESADOS CGUT</t>
  </si>
  <si>
    <t>REPORTE CUATRIMESTRAL DE COLOCACION DE EGRESADOS</t>
  </si>
  <si>
    <t xml:space="preserve">PARTICIPAR EN VISITAS GUIADAS A EMPRESAS </t>
  </si>
  <si>
    <t>COLOCAR ALUMNOS EN ESTADIA DE INGENIERIA</t>
  </si>
  <si>
    <t>CELEBRACION DE XX ANIVERSARIO DE LAS UT´S</t>
  </si>
  <si>
    <t>COORDINACION DEL XV ENCUENTRO NACIONAL DEPORTIVO Y CULTURAL DE LAS UNIVERSIDADES TECNOLOGICAS</t>
  </si>
  <si>
    <t>PROGRAMA DE ACTIVIDADES DE DIFUSIÓN DE LA IMAGEN INSTITUCIONAL, SUS EGRESADOS Y SERVICIOS CON IMPACTO INTERNO Y EXTERNO</t>
  </si>
  <si>
    <t xml:space="preserve">PROGRAMA DE CAPACITACIÓN AL COMITÉ DE DIFUSIÓN Y GRUPO DE PROMOTORES INSTITUCIONALES </t>
  </si>
  <si>
    <t xml:space="preserve"> PROGRAMA DE ACTIVIDADES DE PROMOCIÓN DIRECTA EN IEMS Y DIFUSIÓN EN MEDIOS DE COMUNICACIÓN PARA LA CAPTACIÓN DE ALUMNOS DE NUEVO INGRESO </t>
  </si>
  <si>
    <t xml:space="preserve">Reporte </t>
  </si>
  <si>
    <t>SEGUIMIENTO A ACREDITACION DE COMERCIALIZACION</t>
  </si>
  <si>
    <t xml:space="preserve">RECONOCIMIENTO DE CUERPOS ACADÉMICOS  Y GRUPOS DISCIPLINARES </t>
  </si>
  <si>
    <t>MOVILIDAD PARA PROFESORES DE TIEMPO COMPLETO EN LOS DIFERENTES SECTORES (MT, ME)</t>
  </si>
  <si>
    <t>REALIZACIÓN DE ESTANCIAS  PARA PROFESORES DE TIEMPO COMPLETO EN LOS DIFERENTES SECTORES (GA,TIC,MI)</t>
  </si>
  <si>
    <t>REEVALUACION POR CIEES DEL PE PARAMEDICO</t>
  </si>
  <si>
    <t>APLICACIÓN DE EXAMEN DIAGNOSTICO</t>
  </si>
  <si>
    <t>ADQUISICIÓN  DE SOFTWARE Y LICENCIAS ESPECÍFICOS POR PROGRAMA EDUCATIVO</t>
  </si>
  <si>
    <t>MATRÍCULA DE LOS 8 PE DE INGENIERIAS</t>
  </si>
  <si>
    <t>ATENCIÓN ACADÉMICA DE LOS ESTUDIANTES INSCRITOS EN LA UTH DE HERMOSILLO.</t>
  </si>
  <si>
    <t>ENGLOBA LAS ACCIONES ENFOCADAS A ATENDER LA MATRICULA DE LA EDUCACIÓN SUPERIOR UNIVERSITARIA PARA COADYUVAR A ELEVAR PERMANENTEMENTE LA EDUCACIÓN SUPERIOR</t>
  </si>
  <si>
    <t>EDUCACIÓN SUPERIOR UNIVERSITARIA</t>
  </si>
  <si>
    <t>ATENCIÓN A LA EDUCACIÓN SUPERIOR</t>
  </si>
  <si>
    <t>EDUCACIÓN INTEGRAL PARA UN SONORA EDUCADO</t>
  </si>
  <si>
    <t>SONORA EDUCADO</t>
  </si>
  <si>
    <t>3</t>
  </si>
  <si>
    <t>OTORGAR, REGULAR Y PROMOVER LA EDUCACIÓN</t>
  </si>
  <si>
    <t>2.5.01</t>
  </si>
  <si>
    <t xml:space="preserve">EDUCACIÓN  </t>
  </si>
  <si>
    <t>DESARROLLO SOCIAL</t>
  </si>
  <si>
    <t>Actividad o Proyecto</t>
  </si>
  <si>
    <t>Subprograma</t>
  </si>
  <si>
    <t>Subfunción</t>
  </si>
  <si>
    <t>Función</t>
  </si>
  <si>
    <t>Finalidad</t>
  </si>
  <si>
    <t>PED</t>
  </si>
  <si>
    <t>Funciones</t>
  </si>
  <si>
    <t>Línea de Acción</t>
  </si>
  <si>
    <t>Categorías Programáticas</t>
  </si>
  <si>
    <t>Estructura Administrativa</t>
  </si>
  <si>
    <t>ASIGNACION PRESUPUESTAL</t>
  </si>
  <si>
    <t>Eje Rector</t>
  </si>
  <si>
    <t>TOTAL DE METAS ANUALES</t>
  </si>
  <si>
    <t>Evaluación</t>
  </si>
  <si>
    <t>Acreditación</t>
  </si>
  <si>
    <t>Conferencia</t>
  </si>
  <si>
    <t>Unidad de Competencia Laboral</t>
  </si>
  <si>
    <t>Instrumentos</t>
  </si>
  <si>
    <t>1er TRIM</t>
  </si>
  <si>
    <t>3er. TRIM</t>
  </si>
  <si>
    <t>4to. TRIM</t>
  </si>
  <si>
    <t>TRIMESTRE:</t>
  </si>
  <si>
    <t>EVTOP - 03</t>
  </si>
  <si>
    <t>RECURSO PROMEP 2010</t>
  </si>
  <si>
    <t>RECURSO PYME 2010</t>
  </si>
  <si>
    <t>ACREDITACION PE TIC POR CONAIC Y SEGUIMIENTO A ACREDITACIÓN DE ADMINISTRACIÓN Y EVALUACION DE PROYECTOS</t>
  </si>
  <si>
    <t>ORGANISMO: UNIVERSIDAD TECNOLÓGICA DE HERMOSILLO, SONORA</t>
  </si>
  <si>
    <t>ENDCUT</t>
  </si>
  <si>
    <t>MANTENIMIENTO Y CONSERVACIÓN DE BIENES ARTISITICOS Y CULTURALES</t>
  </si>
  <si>
    <t>ARRENDAMIENTO FINANCIERO DE EQUIPO DE TRANSPORTE</t>
  </si>
  <si>
    <t>ADQUISISCIONES DE SEÑALES DE TRANSITO</t>
  </si>
  <si>
    <t>PROMEP 2010</t>
  </si>
  <si>
    <t>PYME 2010</t>
  </si>
  <si>
    <t>ENDCUT 2011</t>
  </si>
  <si>
    <t>REM. EJERC ANTER.</t>
  </si>
  <si>
    <t>EVALUACIÓN DE LA ATENCIÓN DE LOS TRÁMITES Y SERVICIOS A CARGO DE LA ENTIDAD</t>
  </si>
  <si>
    <t>PRIMERA QUINCENA DE JUNIO</t>
  </si>
  <si>
    <t>SEGUNDA QUINCENA DE JUNIO</t>
  </si>
  <si>
    <t>PRIMA QUINQUENAL AL MAGISTERIO</t>
  </si>
  <si>
    <t>TRIMESTRE: TERCER 2011</t>
  </si>
  <si>
    <t>JULIO</t>
  </si>
  <si>
    <t>AGOSTO</t>
  </si>
  <si>
    <t>SEPTIEMBRE</t>
  </si>
  <si>
    <r>
      <t>TRIMESTRE:</t>
    </r>
    <r>
      <rPr>
        <b/>
        <u val="single"/>
        <sz val="12"/>
        <rFont val="Arial"/>
        <family val="2"/>
      </rPr>
      <t xml:space="preserve">   TERCER  2011</t>
    </r>
  </si>
  <si>
    <t>TERCER 2011</t>
  </si>
  <si>
    <t>PRIMERA QUINCENA DE JULIO</t>
  </si>
  <si>
    <t>SEGUNDA QUINCENA DE JULIO</t>
  </si>
  <si>
    <t>PRIMERA QUINCENA DE AGOSTO</t>
  </si>
  <si>
    <t>SEGUNDA QUINCENA DE AGOSTO</t>
  </si>
  <si>
    <t>PRIMERA QUINCENA DE SEPTIEMBRE</t>
  </si>
  <si>
    <r>
      <t xml:space="preserve">                                                          SISTEMA ESTATAL DE EVALUACION DEL DESEMPEÑO                                      </t>
    </r>
    <r>
      <rPr>
        <b/>
        <sz val="11"/>
        <rFont val="Arial"/>
        <family val="2"/>
      </rPr>
      <t>EVTOP-01</t>
    </r>
  </si>
  <si>
    <t>FONDO APOYO CALIDAD 2011</t>
  </si>
  <si>
    <t>ESAD 2011</t>
  </si>
  <si>
    <t>RECURSO PIFI 2011</t>
  </si>
  <si>
    <t>RECURSO PROMEP 2009</t>
  </si>
  <si>
    <t>REM. EJERC. ANTERIORES</t>
  </si>
  <si>
    <t>FONDO DE APOYO CALIDAD 2011</t>
  </si>
  <si>
    <t>EVALUACIÓN DEL PRESUPUIESTO DE INGRESOS Y EGRESOS DEL PROGRAMA OPERATIVO ANUAL ANTE EL CONSEJO DIRECTIVO</t>
  </si>
  <si>
    <t>Presupuesto Poa Anual</t>
  </si>
  <si>
    <t>PRESENTACIÓN DEL INFORMA ANUAL</t>
  </si>
  <si>
    <t>SUSCRIBIR LOS DOCUMENTOS QUE ACREDITAN, CERTIFICAN Y VALIDAN LOS ESTUDIOS REALIZADOS EN LA UNIVERSIDAD</t>
  </si>
  <si>
    <t>Generación de Egresados</t>
  </si>
  <si>
    <t>PRESENTACIÓN AL CONSEJO DIRECTIVO DEL INFORME CUATRIMESTTRAL DE ACTIVIDADES</t>
  </si>
  <si>
    <t>DESARROLLO  DE ACTIVIDADES DE FOMENTO A LA LECTURA Y PROMOCION DE BIBLIOTECA</t>
  </si>
  <si>
    <t>REALIZAR ACTIVIDADES COMUNITARIAS, RECREATIVAS, ECOLÓGICAS, CÍVICAS Y DE FOMENTO A LOS VALORES</t>
  </si>
  <si>
    <t>Rector</t>
  </si>
  <si>
    <t>Director de Administración y Finanzas.</t>
  </si>
  <si>
    <t>ING. MIGUEL ÁNGEL SALAZAR CANDIA</t>
  </si>
  <si>
    <t>M.A. JESÚS FRANCISCO VALENCIA TERÁN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</si>
</sst>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"/>
    <numFmt numFmtId="177" formatCode="dd/mm/yyyy;@"/>
    <numFmt numFmtId="178" formatCode="_(* #,##0_);_(* \(#,##0\);_(* &quot;-&quot;??_);_(@_)"/>
    <numFmt numFmtId="179" formatCode="_(* #,##0.0000_);_(* \(#,##0.0000\);_(* &quot;-&quot;??_);_(@_)"/>
    <numFmt numFmtId="180" formatCode="_-* #,##0_-;\-* #,##0_-;_-* &quot;-&quot;??_-;_-@_-"/>
    <numFmt numFmtId="181" formatCode="_(* #,##0.0_);_(* \(#,##0.0\);_(* &quot;-&quot;??_);_(@_)"/>
    <numFmt numFmtId="182" formatCode="_-&quot;€&quot;* #,##0.00_-;\-&quot;€&quot;* #,##0.00_-;_-&quot;€&quot;* &quot;-&quot;??_-;_-@_-"/>
    <numFmt numFmtId="183" formatCode="[$-80A]dddd\,\ dd&quot; de &quot;mmmm&quot; de &quot;yyyy"/>
    <numFmt numFmtId="184" formatCode="#,##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double"/>
      <bottom style="hair"/>
    </border>
    <border>
      <left style="thin"/>
      <right style="double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8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/>
    </xf>
    <xf numFmtId="2" fontId="1" fillId="0" borderId="17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1" fillId="0" borderId="16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0" fontId="0" fillId="0" borderId="0" xfId="62" applyNumberFormat="1" applyFont="1" applyAlignment="1">
      <alignment/>
    </xf>
    <xf numFmtId="176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0" fontId="0" fillId="0" borderId="0" xfId="62" applyNumberFormat="1" applyFont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62" applyNumberFormat="1" applyFont="1" applyAlignment="1">
      <alignment horizontal="center"/>
    </xf>
    <xf numFmtId="175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Font="1" applyBorder="1" applyAlignment="1">
      <alignment/>
    </xf>
    <xf numFmtId="10" fontId="0" fillId="0" borderId="0" xfId="62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176" fontId="0" fillId="0" borderId="20" xfId="0" applyNumberFormat="1" applyBorder="1" applyAlignment="1">
      <alignment horizontal="centerContinuous"/>
    </xf>
    <xf numFmtId="4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10" fontId="2" fillId="0" borderId="0" xfId="62" applyNumberFormat="1" applyFont="1" applyBorder="1" applyAlignment="1">
      <alignment vertical="center"/>
    </xf>
    <xf numFmtId="10" fontId="0" fillId="0" borderId="0" xfId="62" applyNumberFormat="1" applyFont="1" applyBorder="1" applyAlignment="1">
      <alignment vertical="center"/>
    </xf>
    <xf numFmtId="0" fontId="0" fillId="0" borderId="22" xfId="0" applyFont="1" applyBorder="1" applyAlignment="1">
      <alignment horizontal="centerContinuous"/>
    </xf>
    <xf numFmtId="176" fontId="0" fillId="0" borderId="22" xfId="0" applyNumberFormat="1" applyFont="1" applyBorder="1" applyAlignment="1">
      <alignment horizontal="centerContinuous"/>
    </xf>
    <xf numFmtId="0" fontId="0" fillId="0" borderId="22" xfId="0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8" fontId="1" fillId="0" borderId="16" xfId="49" applyNumberFormat="1" applyFont="1" applyBorder="1" applyAlignment="1">
      <alignment/>
    </xf>
    <xf numFmtId="178" fontId="1" fillId="0" borderId="17" xfId="49" applyNumberFormat="1" applyFont="1" applyBorder="1" applyAlignment="1">
      <alignment/>
    </xf>
    <xf numFmtId="178" fontId="1" fillId="0" borderId="15" xfId="49" applyNumberFormat="1" applyFont="1" applyBorder="1" applyAlignment="1">
      <alignment/>
    </xf>
    <xf numFmtId="178" fontId="1" fillId="0" borderId="0" xfId="49" applyNumberFormat="1" applyFont="1" applyAlignment="1">
      <alignment/>
    </xf>
    <xf numFmtId="178" fontId="4" fillId="0" borderId="11" xfId="49" applyNumberFormat="1" applyFont="1" applyBorder="1" applyAlignment="1">
      <alignment/>
    </xf>
    <xf numFmtId="178" fontId="1" fillId="0" borderId="16" xfId="49" applyNumberFormat="1" applyFont="1" applyFill="1" applyBorder="1" applyAlignment="1">
      <alignment horizontal="right" vertical="center"/>
    </xf>
    <xf numFmtId="10" fontId="2" fillId="0" borderId="0" xfId="62" applyNumberFormat="1" applyFont="1" applyBorder="1" applyAlignment="1">
      <alignment horizontal="right" vertical="center" wrapText="1"/>
    </xf>
    <xf numFmtId="10" fontId="0" fillId="0" borderId="0" xfId="62" applyNumberFormat="1" applyFont="1" applyBorder="1" applyAlignment="1">
      <alignment vertical="center" wrapText="1"/>
    </xf>
    <xf numFmtId="10" fontId="0" fillId="0" borderId="0" xfId="62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3" fontId="2" fillId="0" borderId="27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178" fontId="0" fillId="0" borderId="27" xfId="49" applyNumberFormat="1" applyFont="1" applyBorder="1" applyAlignment="1">
      <alignment vertical="center"/>
    </xf>
    <xf numFmtId="178" fontId="2" fillId="34" borderId="27" xfId="49" applyNumberFormat="1" applyFont="1" applyFill="1" applyBorder="1" applyAlignment="1">
      <alignment vertical="center"/>
    </xf>
    <xf numFmtId="178" fontId="2" fillId="34" borderId="27" xfId="49" applyNumberFormat="1" applyFont="1" applyFill="1" applyBorder="1" applyAlignment="1">
      <alignment horizontal="right" vertical="center"/>
    </xf>
    <xf numFmtId="178" fontId="2" fillId="0" borderId="27" xfId="49" applyNumberFormat="1" applyFont="1" applyBorder="1" applyAlignment="1">
      <alignment vertical="center"/>
    </xf>
    <xf numFmtId="178" fontId="0" fillId="0" borderId="27" xfId="49" applyNumberFormat="1" applyFont="1" applyBorder="1" applyAlignment="1">
      <alignment vertical="center"/>
    </xf>
    <xf numFmtId="178" fontId="2" fillId="34" borderId="29" xfId="49" applyNumberFormat="1" applyFont="1" applyFill="1" applyBorder="1" applyAlignment="1">
      <alignment vertical="center"/>
    </xf>
    <xf numFmtId="178" fontId="0" fillId="0" borderId="30" xfId="49" applyNumberFormat="1" applyFont="1" applyBorder="1" applyAlignment="1">
      <alignment vertical="center"/>
    </xf>
    <xf numFmtId="178" fontId="2" fillId="34" borderId="25" xfId="49" applyNumberFormat="1" applyFont="1" applyFill="1" applyBorder="1" applyAlignment="1">
      <alignment vertical="center"/>
    </xf>
    <xf numFmtId="178" fontId="0" fillId="0" borderId="27" xfId="49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/>
    </xf>
    <xf numFmtId="10" fontId="1" fillId="0" borderId="0" xfId="62" applyNumberFormat="1" applyFont="1" applyBorder="1" applyAlignment="1">
      <alignment vertical="center"/>
    </xf>
    <xf numFmtId="43" fontId="0" fillId="0" borderId="0" xfId="0" applyNumberFormat="1" applyAlignment="1">
      <alignment/>
    </xf>
    <xf numFmtId="178" fontId="1" fillId="0" borderId="15" xfId="49" applyNumberFormat="1" applyFont="1" applyFill="1" applyBorder="1" applyAlignment="1">
      <alignment/>
    </xf>
    <xf numFmtId="178" fontId="1" fillId="0" borderId="16" xfId="49" applyNumberFormat="1" applyFont="1" applyFill="1" applyBorder="1" applyAlignment="1">
      <alignment/>
    </xf>
    <xf numFmtId="178" fontId="1" fillId="0" borderId="19" xfId="49" applyNumberFormat="1" applyFont="1" applyBorder="1" applyAlignment="1">
      <alignment/>
    </xf>
    <xf numFmtId="175" fontId="0" fillId="0" borderId="27" xfId="49" applyFont="1" applyBorder="1" applyAlignment="1">
      <alignment vertical="center"/>
    </xf>
    <xf numFmtId="178" fontId="0" fillId="35" borderId="27" xfId="49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left" vertical="center" wrapText="1"/>
    </xf>
    <xf numFmtId="10" fontId="0" fillId="0" borderId="0" xfId="62" applyNumberFormat="1" applyFont="1" applyFill="1" applyBorder="1" applyAlignment="1">
      <alignment vertical="center"/>
    </xf>
    <xf numFmtId="175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178" fontId="4" fillId="0" borderId="11" xfId="49" applyNumberFormat="1" applyFont="1" applyFill="1" applyBorder="1" applyAlignment="1">
      <alignment/>
    </xf>
    <xf numFmtId="10" fontId="0" fillId="0" borderId="27" xfId="49" applyNumberFormat="1" applyFon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3" fontId="0" fillId="0" borderId="18" xfId="0" applyNumberFormat="1" applyBorder="1" applyAlignment="1">
      <alignment/>
    </xf>
    <xf numFmtId="178" fontId="1" fillId="0" borderId="19" xfId="49" applyNumberFormat="1" applyFont="1" applyFill="1" applyBorder="1" applyAlignment="1">
      <alignment horizontal="right" vertical="center"/>
    </xf>
    <xf numFmtId="178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vertical="center"/>
    </xf>
    <xf numFmtId="178" fontId="0" fillId="0" borderId="0" xfId="0" applyNumberFormat="1" applyAlignment="1">
      <alignment horizont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78" fontId="0" fillId="0" borderId="27" xfId="49" applyNumberFormat="1" applyFont="1" applyFill="1" applyBorder="1" applyAlignment="1">
      <alignment/>
    </xf>
    <xf numFmtId="10" fontId="0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Font="1" applyAlignment="1">
      <alignment/>
    </xf>
    <xf numFmtId="0" fontId="16" fillId="0" borderId="0" xfId="0" applyFont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10" fontId="0" fillId="0" borderId="27" xfId="49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/>
    </xf>
    <xf numFmtId="175" fontId="0" fillId="0" borderId="16" xfId="49" applyFont="1" applyBorder="1" applyAlignment="1">
      <alignment/>
    </xf>
    <xf numFmtId="175" fontId="0" fillId="0" borderId="32" xfId="49" applyFont="1" applyBorder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10" fontId="2" fillId="34" borderId="33" xfId="49" applyNumberFormat="1" applyFont="1" applyFill="1" applyBorder="1" applyAlignment="1">
      <alignment horizontal="center" vertical="center"/>
    </xf>
    <xf numFmtId="178" fontId="2" fillId="34" borderId="34" xfId="49" applyNumberFormat="1" applyFont="1" applyFill="1" applyBorder="1" applyAlignment="1">
      <alignment vertical="center"/>
    </xf>
    <xf numFmtId="178" fontId="2" fillId="34" borderId="33" xfId="49" applyNumberFormat="1" applyFont="1" applyFill="1" applyBorder="1" applyAlignment="1">
      <alignment vertical="center"/>
    </xf>
    <xf numFmtId="178" fontId="2" fillId="34" borderId="35" xfId="49" applyNumberFormat="1" applyFont="1" applyFill="1" applyBorder="1" applyAlignment="1">
      <alignment vertical="center"/>
    </xf>
    <xf numFmtId="178" fontId="2" fillId="34" borderId="36" xfId="49" applyNumberFormat="1" applyFont="1" applyFill="1" applyBorder="1" applyAlignment="1">
      <alignment vertical="center"/>
    </xf>
    <xf numFmtId="178" fontId="2" fillId="34" borderId="37" xfId="49" applyNumberFormat="1" applyFont="1" applyFill="1" applyBorder="1" applyAlignment="1">
      <alignment vertical="center"/>
    </xf>
    <xf numFmtId="10" fontId="2" fillId="34" borderId="36" xfId="49" applyNumberFormat="1" applyFont="1" applyFill="1" applyBorder="1" applyAlignment="1">
      <alignment horizontal="center" vertical="center"/>
    </xf>
    <xf numFmtId="178" fontId="2" fillId="34" borderId="38" xfId="49" applyNumberFormat="1" applyFont="1" applyFill="1" applyBorder="1" applyAlignment="1">
      <alignment vertical="center"/>
    </xf>
    <xf numFmtId="178" fontId="2" fillId="34" borderId="36" xfId="49" applyNumberFormat="1" applyFont="1" applyFill="1" applyBorder="1" applyAlignment="1">
      <alignment horizontal="right" vertical="center"/>
    </xf>
    <xf numFmtId="178" fontId="2" fillId="36" borderId="37" xfId="49" applyNumberFormat="1" applyFont="1" applyFill="1" applyBorder="1" applyAlignment="1">
      <alignment vertical="center"/>
    </xf>
    <xf numFmtId="178" fontId="2" fillId="34" borderId="39" xfId="49" applyNumberFormat="1" applyFont="1" applyFill="1" applyBorder="1" applyAlignment="1">
      <alignment vertical="center"/>
    </xf>
    <xf numFmtId="10" fontId="2" fillId="34" borderId="40" xfId="49" applyNumberFormat="1" applyFont="1" applyFill="1" applyBorder="1" applyAlignment="1">
      <alignment horizontal="center" vertical="center"/>
    </xf>
    <xf numFmtId="178" fontId="2" fillId="34" borderId="41" xfId="49" applyNumberFormat="1" applyFont="1" applyFill="1" applyBorder="1" applyAlignment="1">
      <alignment vertical="center"/>
    </xf>
    <xf numFmtId="178" fontId="2" fillId="34" borderId="42" xfId="49" applyNumberFormat="1" applyFont="1" applyFill="1" applyBorder="1" applyAlignment="1">
      <alignment vertical="center"/>
    </xf>
    <xf numFmtId="10" fontId="2" fillId="34" borderId="41" xfId="49" applyNumberFormat="1" applyFont="1" applyFill="1" applyBorder="1" applyAlignment="1">
      <alignment horizontal="center" vertical="center"/>
    </xf>
    <xf numFmtId="178" fontId="2" fillId="34" borderId="43" xfId="49" applyNumberFormat="1" applyFont="1" applyFill="1" applyBorder="1" applyAlignment="1">
      <alignment vertical="center"/>
    </xf>
    <xf numFmtId="3" fontId="1" fillId="0" borderId="16" xfId="0" applyNumberFormat="1" applyFont="1" applyBorder="1" applyAlignment="1">
      <alignment/>
    </xf>
    <xf numFmtId="178" fontId="0" fillId="0" borderId="44" xfId="49" applyNumberFormat="1" applyFont="1" applyBorder="1" applyAlignment="1">
      <alignment vertical="center"/>
    </xf>
    <xf numFmtId="10" fontId="0" fillId="0" borderId="36" xfId="49" applyNumberFormat="1" applyFont="1" applyBorder="1" applyAlignment="1">
      <alignment horizontal="center" vertical="center"/>
    </xf>
    <xf numFmtId="178" fontId="0" fillId="0" borderId="39" xfId="49" applyNumberFormat="1" applyFont="1" applyBorder="1" applyAlignment="1">
      <alignment vertical="center"/>
    </xf>
    <xf numFmtId="3" fontId="1" fillId="0" borderId="27" xfId="0" applyNumberFormat="1" applyFont="1" applyFill="1" applyBorder="1" applyAlignment="1">
      <alignment vertical="center" wrapText="1"/>
    </xf>
    <xf numFmtId="178" fontId="0" fillId="0" borderId="27" xfId="49" applyNumberFormat="1" applyFont="1" applyFill="1" applyBorder="1" applyAlignment="1">
      <alignment/>
    </xf>
    <xf numFmtId="178" fontId="0" fillId="0" borderId="27" xfId="49" applyNumberFormat="1" applyFont="1" applyFill="1" applyBorder="1" applyAlignment="1">
      <alignment vertical="center"/>
    </xf>
    <xf numFmtId="175" fontId="0" fillId="0" borderId="27" xfId="49" applyFont="1" applyFill="1" applyBorder="1" applyAlignment="1">
      <alignment/>
    </xf>
    <xf numFmtId="0" fontId="4" fillId="0" borderId="45" xfId="0" applyFont="1" applyBorder="1" applyAlignment="1">
      <alignment/>
    </xf>
    <xf numFmtId="175" fontId="1" fillId="0" borderId="16" xfId="49" applyFont="1" applyBorder="1" applyAlignment="1">
      <alignment/>
    </xf>
    <xf numFmtId="0" fontId="0" fillId="0" borderId="26" xfId="0" applyFont="1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10" fontId="1" fillId="0" borderId="0" xfId="62" applyNumberFormat="1" applyFont="1" applyBorder="1" applyAlignment="1">
      <alignment horizontal="right" vertical="center" wrapText="1"/>
    </xf>
    <xf numFmtId="175" fontId="1" fillId="0" borderId="0" xfId="0" applyNumberFormat="1" applyFont="1" applyBorder="1" applyAlignment="1">
      <alignment vertical="center"/>
    </xf>
    <xf numFmtId="178" fontId="1" fillId="0" borderId="0" xfId="62" applyNumberFormat="1" applyFont="1" applyBorder="1" applyAlignment="1">
      <alignment horizontal="right" vertical="center" wrapText="1"/>
    </xf>
    <xf numFmtId="178" fontId="0" fillId="37" borderId="27" xfId="49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14" fontId="0" fillId="0" borderId="32" xfId="0" applyNumberFormat="1" applyFont="1" applyBorder="1" applyAlignment="1">
      <alignment horizontal="center" vertical="center"/>
    </xf>
    <xf numFmtId="3" fontId="2" fillId="0" borderId="27" xfId="0" applyNumberFormat="1" applyFont="1" applyFill="1" applyBorder="1" applyAlignment="1">
      <alignment vertical="center" wrapText="1" shrinkToFit="1"/>
    </xf>
    <xf numFmtId="178" fontId="0" fillId="34" borderId="27" xfId="49" applyNumberFormat="1" applyFont="1" applyFill="1" applyBorder="1" applyAlignment="1">
      <alignment vertical="center"/>
    </xf>
    <xf numFmtId="178" fontId="0" fillId="34" borderId="30" xfId="49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7" borderId="0" xfId="0" applyFill="1" applyAlignment="1">
      <alignment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78" fontId="6" fillId="0" borderId="53" xfId="49" applyNumberFormat="1" applyFont="1" applyBorder="1" applyAlignment="1">
      <alignment horizontal="center" vertical="top" wrapText="1"/>
    </xf>
    <xf numFmtId="178" fontId="6" fillId="0" borderId="54" xfId="49" applyNumberFormat="1" applyFont="1" applyBorder="1" applyAlignment="1">
      <alignment horizontal="center" vertical="top" wrapText="1"/>
    </xf>
    <xf numFmtId="178" fontId="10" fillId="0" borderId="16" xfId="49" applyNumberFormat="1" applyFont="1" applyBorder="1" applyAlignment="1">
      <alignment vertical="center" wrapText="1"/>
    </xf>
    <xf numFmtId="178" fontId="2" fillId="0" borderId="16" xfId="49" applyNumberFormat="1" applyFont="1" applyBorder="1" applyAlignment="1">
      <alignment horizontal="center" vertical="center" wrapText="1"/>
    </xf>
    <xf numFmtId="178" fontId="10" fillId="0" borderId="55" xfId="49" applyNumberFormat="1" applyFont="1" applyBorder="1" applyAlignment="1">
      <alignment horizontal="center" vertical="center" wrapText="1"/>
    </xf>
    <xf numFmtId="178" fontId="10" fillId="0" borderId="17" xfId="49" applyNumberFormat="1" applyFont="1" applyBorder="1" applyAlignment="1">
      <alignment horizontal="center" vertical="center" wrapText="1"/>
    </xf>
    <xf numFmtId="178" fontId="10" fillId="0" borderId="48" xfId="49" applyNumberFormat="1" applyFont="1" applyFill="1" applyBorder="1" applyAlignment="1">
      <alignment horizontal="center" vertical="center" wrapText="1"/>
    </xf>
    <xf numFmtId="178" fontId="10" fillId="0" borderId="16" xfId="49" applyNumberFormat="1" applyFont="1" applyBorder="1" applyAlignment="1">
      <alignment horizontal="center" vertical="center" wrapText="1"/>
    </xf>
    <xf numFmtId="178" fontId="6" fillId="0" borderId="48" xfId="49" applyNumberFormat="1" applyFont="1" applyBorder="1" applyAlignment="1">
      <alignment horizontal="center" vertical="top" wrapText="1"/>
    </xf>
    <xf numFmtId="178" fontId="6" fillId="0" borderId="16" xfId="49" applyNumberFormat="1" applyFont="1" applyBorder="1" applyAlignment="1">
      <alignment horizontal="center" vertical="top" wrapText="1"/>
    </xf>
    <xf numFmtId="178" fontId="10" fillId="0" borderId="16" xfId="49" applyNumberFormat="1" applyFont="1" applyBorder="1" applyAlignment="1">
      <alignment horizontal="justify" vertical="center" wrapText="1"/>
    </xf>
    <xf numFmtId="178" fontId="8" fillId="0" borderId="55" xfId="49" applyNumberFormat="1" applyFont="1" applyFill="1" applyBorder="1" applyAlignment="1">
      <alignment horizontal="center" vertical="center" wrapText="1"/>
    </xf>
    <xf numFmtId="178" fontId="8" fillId="0" borderId="32" xfId="49" applyNumberFormat="1" applyFont="1" applyFill="1" applyBorder="1" applyAlignment="1">
      <alignment vertical="center" wrapText="1"/>
    </xf>
    <xf numFmtId="178" fontId="8" fillId="0" borderId="0" xfId="49" applyNumberFormat="1" applyFont="1" applyFill="1" applyBorder="1" applyAlignment="1">
      <alignment horizontal="center" vertical="center" wrapText="1"/>
    </xf>
    <xf numFmtId="178" fontId="0" fillId="0" borderId="55" xfId="49" applyNumberFormat="1" applyFont="1" applyBorder="1" applyAlignment="1">
      <alignment/>
    </xf>
    <xf numFmtId="3" fontId="8" fillId="0" borderId="48" xfId="49" applyNumberFormat="1" applyFont="1" applyFill="1" applyBorder="1" applyAlignment="1">
      <alignment horizontal="center" vertical="center" wrapText="1"/>
    </xf>
    <xf numFmtId="3" fontId="8" fillId="0" borderId="16" xfId="49" applyNumberFormat="1" applyFont="1" applyFill="1" applyBorder="1" applyAlignment="1">
      <alignment horizontal="center" vertical="center" wrapText="1"/>
    </xf>
    <xf numFmtId="3" fontId="8" fillId="0" borderId="55" xfId="49" applyNumberFormat="1" applyFont="1" applyFill="1" applyBorder="1" applyAlignment="1">
      <alignment horizontal="center" vertical="center" wrapText="1"/>
    </xf>
    <xf numFmtId="3" fontId="8" fillId="0" borderId="17" xfId="49" applyNumberFormat="1" applyFont="1" applyFill="1" applyBorder="1" applyAlignment="1">
      <alignment horizontal="center" vertical="center" wrapText="1"/>
    </xf>
    <xf numFmtId="3" fontId="0" fillId="0" borderId="56" xfId="49" applyNumberFormat="1" applyFont="1" applyFill="1" applyBorder="1" applyAlignment="1">
      <alignment vertical="center" wrapText="1"/>
    </xf>
    <xf numFmtId="3" fontId="0" fillId="0" borderId="57" xfId="49" applyNumberFormat="1" applyFont="1" applyFill="1" applyBorder="1" applyAlignment="1">
      <alignment vertical="center" wrapText="1"/>
    </xf>
    <xf numFmtId="178" fontId="6" fillId="0" borderId="16" xfId="49" applyNumberFormat="1" applyFont="1" applyFill="1" applyBorder="1" applyAlignment="1">
      <alignment horizontal="center" vertical="top" wrapText="1"/>
    </xf>
    <xf numFmtId="178" fontId="6" fillId="0" borderId="48" xfId="49" applyNumberFormat="1" applyFont="1" applyFill="1" applyBorder="1" applyAlignment="1">
      <alignment horizontal="center" vertical="top" wrapText="1"/>
    </xf>
    <xf numFmtId="178" fontId="10" fillId="0" borderId="16" xfId="49" applyNumberFormat="1" applyFont="1" applyFill="1" applyBorder="1" applyAlignment="1">
      <alignment vertical="center" wrapText="1"/>
    </xf>
    <xf numFmtId="178" fontId="2" fillId="0" borderId="16" xfId="49" applyNumberFormat="1" applyFont="1" applyFill="1" applyBorder="1" applyAlignment="1">
      <alignment horizontal="center" vertical="center" wrapText="1"/>
    </xf>
    <xf numFmtId="178" fontId="10" fillId="0" borderId="55" xfId="49" applyNumberFormat="1" applyFont="1" applyFill="1" applyBorder="1" applyAlignment="1">
      <alignment horizontal="center" vertical="center" wrapText="1"/>
    </xf>
    <xf numFmtId="178" fontId="10" fillId="0" borderId="17" xfId="49" applyNumberFormat="1" applyFont="1" applyFill="1" applyBorder="1" applyAlignment="1">
      <alignment horizontal="center" vertical="center" wrapText="1"/>
    </xf>
    <xf numFmtId="178" fontId="10" fillId="0" borderId="16" xfId="49" applyNumberFormat="1" applyFont="1" applyFill="1" applyBorder="1" applyAlignment="1">
      <alignment horizontal="center" vertical="center" wrapText="1"/>
    </xf>
    <xf numFmtId="178" fontId="8" fillId="0" borderId="58" xfId="49" applyNumberFormat="1" applyFont="1" applyFill="1" applyBorder="1" applyAlignment="1">
      <alignment vertical="center" wrapText="1"/>
    </xf>
    <xf numFmtId="178" fontId="0" fillId="0" borderId="16" xfId="49" applyNumberFormat="1" applyFont="1" applyFill="1" applyBorder="1" applyAlignment="1">
      <alignment/>
    </xf>
    <xf numFmtId="3" fontId="8" fillId="0" borderId="48" xfId="49" applyNumberFormat="1" applyFont="1" applyFill="1" applyBorder="1" applyAlignment="1">
      <alignment horizontal="center" vertical="center"/>
    </xf>
    <xf numFmtId="3" fontId="8" fillId="0" borderId="16" xfId="49" applyNumberFormat="1" applyFont="1" applyFill="1" applyBorder="1" applyAlignment="1">
      <alignment horizontal="center" vertical="center"/>
    </xf>
    <xf numFmtId="3" fontId="8" fillId="0" borderId="55" xfId="49" applyNumberFormat="1" applyFont="1" applyFill="1" applyBorder="1" applyAlignment="1">
      <alignment horizontal="center" vertical="center"/>
    </xf>
    <xf numFmtId="178" fontId="8" fillId="0" borderId="32" xfId="49" applyNumberFormat="1" applyFont="1" applyFill="1" applyBorder="1" applyAlignment="1">
      <alignment horizontal="left" vertical="center" wrapText="1"/>
    </xf>
    <xf numFmtId="178" fontId="1" fillId="0" borderId="16" xfId="49" applyNumberFormat="1" applyFont="1" applyFill="1" applyBorder="1" applyAlignment="1">
      <alignment horizontal="center" vertical="top" wrapText="1"/>
    </xf>
    <xf numFmtId="178" fontId="8" fillId="0" borderId="18" xfId="49" applyNumberFormat="1" applyFont="1" applyFill="1" applyBorder="1" applyAlignment="1">
      <alignment horizontal="center" vertical="center" wrapText="1"/>
    </xf>
    <xf numFmtId="178" fontId="0" fillId="0" borderId="56" xfId="49" applyNumberFormat="1" applyFont="1" applyFill="1" applyBorder="1" applyAlignment="1">
      <alignment/>
    </xf>
    <xf numFmtId="178" fontId="2" fillId="0" borderId="56" xfId="49" applyNumberFormat="1" applyFont="1" applyFill="1" applyBorder="1" applyAlignment="1">
      <alignment horizontal="right" vertical="center" wrapText="1"/>
    </xf>
    <xf numFmtId="3" fontId="0" fillId="0" borderId="59" xfId="49" applyNumberFormat="1" applyFont="1" applyFill="1" applyBorder="1" applyAlignment="1">
      <alignment vertical="center" wrapText="1"/>
    </xf>
    <xf numFmtId="3" fontId="0" fillId="0" borderId="60" xfId="49" applyNumberFormat="1" applyFont="1" applyFill="1" applyBorder="1" applyAlignment="1">
      <alignment vertical="center" wrapText="1"/>
    </xf>
    <xf numFmtId="3" fontId="0" fillId="0" borderId="61" xfId="49" applyNumberFormat="1" applyFont="1" applyFill="1" applyBorder="1" applyAlignment="1">
      <alignment vertical="center" wrapText="1"/>
    </xf>
    <xf numFmtId="178" fontId="0" fillId="0" borderId="62" xfId="49" applyNumberFormat="1" applyFont="1" applyBorder="1" applyAlignment="1">
      <alignment/>
    </xf>
    <xf numFmtId="178" fontId="0" fillId="0" borderId="63" xfId="49" applyNumberFormat="1" applyFont="1" applyBorder="1" applyAlignment="1">
      <alignment/>
    </xf>
    <xf numFmtId="178" fontId="0" fillId="0" borderId="63" xfId="49" applyNumberFormat="1" applyFont="1" applyFill="1" applyBorder="1" applyAlignment="1">
      <alignment/>
    </xf>
    <xf numFmtId="178" fontId="0" fillId="0" borderId="48" xfId="49" applyNumberFormat="1" applyFont="1" applyBorder="1" applyAlignment="1">
      <alignment/>
    </xf>
    <xf numFmtId="178" fontId="0" fillId="0" borderId="16" xfId="49" applyNumberFormat="1" applyFont="1" applyBorder="1" applyAlignment="1">
      <alignment/>
    </xf>
    <xf numFmtId="178" fontId="0" fillId="0" borderId="55" xfId="49" applyNumberFormat="1" applyFont="1" applyBorder="1" applyAlignment="1">
      <alignment/>
    </xf>
    <xf numFmtId="178" fontId="0" fillId="0" borderId="48" xfId="49" applyNumberFormat="1" applyFont="1" applyBorder="1" applyAlignment="1">
      <alignment vertical="center" wrapText="1"/>
    </xf>
    <xf numFmtId="178" fontId="0" fillId="0" borderId="48" xfId="49" applyNumberFormat="1" applyFont="1" applyFill="1" applyBorder="1" applyAlignment="1">
      <alignment vertical="center" wrapText="1"/>
    </xf>
    <xf numFmtId="178" fontId="0" fillId="0" borderId="16" xfId="49" applyNumberFormat="1" applyFont="1" applyFill="1" applyBorder="1" applyAlignment="1">
      <alignment/>
    </xf>
    <xf numFmtId="178" fontId="0" fillId="0" borderId="55" xfId="49" applyNumberFormat="1" applyFont="1" applyFill="1" applyBorder="1" applyAlignment="1">
      <alignment/>
    </xf>
    <xf numFmtId="3" fontId="0" fillId="0" borderId="56" xfId="49" applyNumberFormat="1" applyFont="1" applyFill="1" applyBorder="1" applyAlignment="1">
      <alignment/>
    </xf>
    <xf numFmtId="10" fontId="8" fillId="0" borderId="63" xfId="49" applyNumberFormat="1" applyFont="1" applyFill="1" applyBorder="1" applyAlignment="1">
      <alignment horizontal="center" vertical="center"/>
    </xf>
    <xf numFmtId="178" fontId="0" fillId="0" borderId="0" xfId="49" applyNumberFormat="1" applyFont="1" applyBorder="1" applyAlignment="1">
      <alignment/>
    </xf>
    <xf numFmtId="178" fontId="0" fillId="0" borderId="48" xfId="49" applyNumberFormat="1" applyFont="1" applyFill="1" applyBorder="1" applyAlignment="1">
      <alignment/>
    </xf>
    <xf numFmtId="178" fontId="0" fillId="0" borderId="59" xfId="49" applyNumberFormat="1" applyFont="1" applyFill="1" applyBorder="1" applyAlignment="1">
      <alignment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3" fontId="0" fillId="0" borderId="16" xfId="49" applyNumberFormat="1" applyFont="1" applyFill="1" applyBorder="1" applyAlignment="1" quotePrefix="1">
      <alignment horizontal="center" vertical="center" wrapText="1"/>
    </xf>
    <xf numFmtId="3" fontId="0" fillId="0" borderId="16" xfId="49" applyNumberFormat="1" applyFont="1" applyFill="1" applyBorder="1" applyAlignment="1">
      <alignment horizontal="center" vertical="center" wrapText="1"/>
    </xf>
    <xf numFmtId="3" fontId="0" fillId="0" borderId="16" xfId="49" applyNumberFormat="1" applyFont="1" applyFill="1" applyBorder="1" applyAlignment="1">
      <alignment horizontal="center" vertical="center"/>
    </xf>
    <xf numFmtId="3" fontId="2" fillId="0" borderId="64" xfId="49" applyNumberFormat="1" applyFont="1" applyFill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/>
    </xf>
    <xf numFmtId="178" fontId="0" fillId="0" borderId="64" xfId="49" applyNumberFormat="1" applyFont="1" applyFill="1" applyBorder="1" applyAlignment="1">
      <alignment vertical="center" wrapText="1"/>
    </xf>
    <xf numFmtId="3" fontId="8" fillId="0" borderId="57" xfId="49" applyNumberFormat="1" applyFont="1" applyFill="1" applyBorder="1" applyAlignment="1">
      <alignment horizontal="center" vertical="center"/>
    </xf>
    <xf numFmtId="10" fontId="8" fillId="0" borderId="65" xfId="4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10" fontId="2" fillId="0" borderId="0" xfId="62" applyNumberFormat="1" applyFont="1" applyFill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66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178" fontId="4" fillId="0" borderId="0" xfId="49" applyNumberFormat="1" applyFont="1" applyBorder="1" applyAlignment="1">
      <alignment/>
    </xf>
    <xf numFmtId="178" fontId="4" fillId="0" borderId="0" xfId="49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78" fontId="4" fillId="0" borderId="11" xfId="49" applyNumberFormat="1" applyFont="1" applyBorder="1" applyAlignment="1">
      <alignment vertical="center"/>
    </xf>
    <xf numFmtId="178" fontId="4" fillId="0" borderId="11" xfId="49" applyNumberFormat="1" applyFont="1" applyFill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178" fontId="1" fillId="0" borderId="11" xfId="49" applyNumberFormat="1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0" fillId="37" borderId="26" xfId="0" applyFill="1" applyBorder="1" applyAlignment="1">
      <alignment horizontal="right" vertical="center" wrapText="1"/>
    </xf>
    <xf numFmtId="3" fontId="1" fillId="37" borderId="27" xfId="0" applyNumberFormat="1" applyFont="1" applyFill="1" applyBorder="1" applyAlignment="1">
      <alignment vertical="center"/>
    </xf>
    <xf numFmtId="10" fontId="0" fillId="37" borderId="27" xfId="49" applyNumberFormat="1" applyFont="1" applyFill="1" applyBorder="1" applyAlignment="1">
      <alignment horizontal="center" vertical="center"/>
    </xf>
    <xf numFmtId="178" fontId="0" fillId="37" borderId="30" xfId="49" applyNumberFormat="1" applyFont="1" applyFill="1" applyBorder="1" applyAlignment="1">
      <alignment vertical="center"/>
    </xf>
    <xf numFmtId="10" fontId="0" fillId="37" borderId="0" xfId="62" applyNumberFormat="1" applyFont="1" applyFill="1" applyBorder="1" applyAlignment="1">
      <alignment vertical="center"/>
    </xf>
    <xf numFmtId="175" fontId="0" fillId="37" borderId="0" xfId="0" applyNumberFormat="1" applyFill="1" applyBorder="1" applyAlignment="1">
      <alignment vertical="center"/>
    </xf>
    <xf numFmtId="10" fontId="0" fillId="37" borderId="0" xfId="0" applyNumberFormat="1" applyFill="1" applyAlignment="1">
      <alignment/>
    </xf>
    <xf numFmtId="10" fontId="0" fillId="37" borderId="0" xfId="0" applyNumberFormat="1" applyFont="1" applyFill="1" applyAlignment="1">
      <alignment/>
    </xf>
    <xf numFmtId="178" fontId="2" fillId="34" borderId="30" xfId="49" applyNumberFormat="1" applyFont="1" applyFill="1" applyBorder="1" applyAlignment="1">
      <alignment vertical="center"/>
    </xf>
    <xf numFmtId="3" fontId="8" fillId="37" borderId="48" xfId="49" applyNumberFormat="1" applyFont="1" applyFill="1" applyBorder="1" applyAlignment="1">
      <alignment horizontal="center" vertical="center"/>
    </xf>
    <xf numFmtId="178" fontId="6" fillId="38" borderId="32" xfId="49" applyNumberFormat="1" applyFont="1" applyFill="1" applyBorder="1" applyAlignment="1">
      <alignment vertical="center" wrapText="1"/>
    </xf>
    <xf numFmtId="3" fontId="0" fillId="38" borderId="16" xfId="49" applyNumberFormat="1" applyFont="1" applyFill="1" applyBorder="1" applyAlignment="1">
      <alignment horizontal="center" vertical="center" wrapText="1"/>
    </xf>
    <xf numFmtId="178" fontId="8" fillId="38" borderId="55" xfId="49" applyNumberFormat="1" applyFont="1" applyFill="1" applyBorder="1" applyAlignment="1">
      <alignment horizontal="center" vertical="center" wrapText="1"/>
    </xf>
    <xf numFmtId="3" fontId="8" fillId="38" borderId="17" xfId="49" applyNumberFormat="1" applyFont="1" applyFill="1" applyBorder="1" applyAlignment="1">
      <alignment horizontal="center" vertical="center" wrapText="1"/>
    </xf>
    <xf numFmtId="3" fontId="8" fillId="38" borderId="48" xfId="49" applyNumberFormat="1" applyFont="1" applyFill="1" applyBorder="1" applyAlignment="1">
      <alignment horizontal="center" vertical="center" wrapText="1"/>
    </xf>
    <xf numFmtId="3" fontId="8" fillId="38" borderId="16" xfId="49" applyNumberFormat="1" applyFont="1" applyFill="1" applyBorder="1" applyAlignment="1">
      <alignment horizontal="center" vertical="center" wrapText="1"/>
    </xf>
    <xf numFmtId="3" fontId="8" fillId="38" borderId="55" xfId="49" applyNumberFormat="1" applyFont="1" applyFill="1" applyBorder="1" applyAlignment="1">
      <alignment horizontal="center" vertical="center" wrapText="1"/>
    </xf>
    <xf numFmtId="3" fontId="8" fillId="38" borderId="48" xfId="49" applyNumberFormat="1" applyFont="1" applyFill="1" applyBorder="1" applyAlignment="1">
      <alignment horizontal="center" vertical="center"/>
    </xf>
    <xf numFmtId="3" fontId="8" fillId="38" borderId="16" xfId="49" applyNumberFormat="1" applyFont="1" applyFill="1" applyBorder="1" applyAlignment="1">
      <alignment horizontal="center" vertical="center"/>
    </xf>
    <xf numFmtId="3" fontId="8" fillId="38" borderId="55" xfId="49" applyNumberFormat="1" applyFont="1" applyFill="1" applyBorder="1" applyAlignment="1">
      <alignment horizontal="center" vertical="center"/>
    </xf>
    <xf numFmtId="10" fontId="8" fillId="38" borderId="63" xfId="49" applyNumberFormat="1" applyFont="1" applyFill="1" applyBorder="1" applyAlignment="1">
      <alignment horizontal="center" vertical="center"/>
    </xf>
    <xf numFmtId="178" fontId="6" fillId="38" borderId="16" xfId="49" applyNumberFormat="1" applyFont="1" applyFill="1" applyBorder="1" applyAlignment="1">
      <alignment horizontal="left" vertical="center" wrapText="1"/>
    </xf>
    <xf numFmtId="178" fontId="2" fillId="38" borderId="16" xfId="49" applyNumberFormat="1" applyFont="1" applyFill="1" applyBorder="1" applyAlignment="1">
      <alignment horizontal="center" vertical="center" wrapText="1"/>
    </xf>
    <xf numFmtId="178" fontId="10" fillId="38" borderId="55" xfId="49" applyNumberFormat="1" applyFont="1" applyFill="1" applyBorder="1" applyAlignment="1">
      <alignment horizontal="center" vertical="center" wrapText="1"/>
    </xf>
    <xf numFmtId="178" fontId="10" fillId="38" borderId="17" xfId="49" applyNumberFormat="1" applyFont="1" applyFill="1" applyBorder="1" applyAlignment="1">
      <alignment horizontal="center" vertical="center" wrapText="1"/>
    </xf>
    <xf numFmtId="178" fontId="10" fillId="38" borderId="48" xfId="49" applyNumberFormat="1" applyFont="1" applyFill="1" applyBorder="1" applyAlignment="1">
      <alignment horizontal="center" vertical="center" wrapText="1"/>
    </xf>
    <xf numFmtId="178" fontId="10" fillId="38" borderId="16" xfId="49" applyNumberFormat="1" applyFont="1" applyFill="1" applyBorder="1" applyAlignment="1">
      <alignment horizontal="center" vertical="center" wrapText="1"/>
    </xf>
    <xf numFmtId="178" fontId="0" fillId="38" borderId="48" xfId="49" applyNumberFormat="1" applyFont="1" applyFill="1" applyBorder="1" applyAlignment="1">
      <alignment vertical="center" wrapText="1"/>
    </xf>
    <xf numFmtId="178" fontId="0" fillId="38" borderId="16" xfId="49" applyNumberFormat="1" applyFont="1" applyFill="1" applyBorder="1" applyAlignment="1">
      <alignment/>
    </xf>
    <xf numFmtId="178" fontId="0" fillId="38" borderId="55" xfId="49" applyNumberFormat="1" applyFont="1" applyFill="1" applyBorder="1" applyAlignment="1">
      <alignment/>
    </xf>
    <xf numFmtId="178" fontId="0" fillId="38" borderId="63" xfId="49" applyNumberFormat="1" applyFont="1" applyFill="1" applyBorder="1" applyAlignment="1">
      <alignment/>
    </xf>
    <xf numFmtId="0" fontId="59" fillId="0" borderId="17" xfId="0" applyNumberFormat="1" applyFont="1" applyBorder="1" applyAlignment="1">
      <alignment horizontal="center"/>
    </xf>
    <xf numFmtId="0" fontId="59" fillId="0" borderId="15" xfId="0" applyNumberFormat="1" applyFont="1" applyBorder="1" applyAlignment="1">
      <alignment horizontal="center"/>
    </xf>
    <xf numFmtId="2" fontId="59" fillId="0" borderId="16" xfId="0" applyNumberFormat="1" applyFont="1" applyBorder="1" applyAlignment="1">
      <alignment horizontal="center"/>
    </xf>
    <xf numFmtId="2" fontId="59" fillId="0" borderId="15" xfId="0" applyNumberFormat="1" applyFont="1" applyBorder="1" applyAlignment="1">
      <alignment horizontal="center"/>
    </xf>
    <xf numFmtId="4" fontId="59" fillId="0" borderId="16" xfId="0" applyNumberFormat="1" applyFont="1" applyBorder="1" applyAlignment="1">
      <alignment/>
    </xf>
    <xf numFmtId="178" fontId="0" fillId="0" borderId="0" xfId="62" applyNumberFormat="1" applyFont="1" applyBorder="1" applyAlignment="1">
      <alignment vertical="center"/>
    </xf>
    <xf numFmtId="178" fontId="1" fillId="37" borderId="16" xfId="49" applyNumberFormat="1" applyFont="1" applyFill="1" applyBorder="1" applyAlignment="1">
      <alignment/>
    </xf>
    <xf numFmtId="3" fontId="8" fillId="0" borderId="16" xfId="51" applyNumberFormat="1" applyFont="1" applyFill="1" applyBorder="1" applyAlignment="1">
      <alignment horizontal="center" vertical="center"/>
    </xf>
    <xf numFmtId="3" fontId="0" fillId="0" borderId="56" xfId="51" applyNumberFormat="1" applyFont="1" applyFill="1" applyBorder="1" applyAlignment="1">
      <alignment/>
    </xf>
    <xf numFmtId="3" fontId="8" fillId="37" borderId="16" xfId="49" applyNumberFormat="1" applyFont="1" applyFill="1" applyBorder="1" applyAlignment="1">
      <alignment horizontal="center" vertical="center"/>
    </xf>
    <xf numFmtId="3" fontId="8" fillId="37" borderId="16" xfId="51" applyNumberFormat="1" applyFont="1" applyFill="1" applyBorder="1" applyAlignment="1">
      <alignment horizontal="center" vertical="center"/>
    </xf>
    <xf numFmtId="10" fontId="60" fillId="0" borderId="27" xfId="49" applyNumberFormat="1" applyFont="1" applyBorder="1" applyAlignment="1">
      <alignment horizontal="center" vertical="center"/>
    </xf>
    <xf numFmtId="10" fontId="61" fillId="34" borderId="27" xfId="49" applyNumberFormat="1" applyFont="1" applyFill="1" applyBorder="1" applyAlignment="1">
      <alignment horizontal="center" vertical="center"/>
    </xf>
    <xf numFmtId="10" fontId="60" fillId="34" borderId="27" xfId="49" applyNumberFormat="1" applyFont="1" applyFill="1" applyBorder="1" applyAlignment="1">
      <alignment horizontal="center" vertical="center"/>
    </xf>
    <xf numFmtId="3" fontId="4" fillId="0" borderId="11" xfId="49" applyNumberFormat="1" applyFont="1" applyFill="1" applyBorder="1" applyAlignment="1">
      <alignment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175" fontId="0" fillId="0" borderId="32" xfId="49" applyNumberFormat="1" applyFont="1" applyBorder="1" applyAlignment="1">
      <alignment vertical="center"/>
    </xf>
    <xf numFmtId="175" fontId="2" fillId="0" borderId="21" xfId="49" applyNumberFormat="1" applyFont="1" applyBorder="1" applyAlignment="1">
      <alignment vertical="center"/>
    </xf>
    <xf numFmtId="178" fontId="2" fillId="34" borderId="71" xfId="49" applyNumberFormat="1" applyFont="1" applyFill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178" fontId="0" fillId="39" borderId="27" xfId="49" applyNumberFormat="1" applyFont="1" applyFill="1" applyBorder="1" applyAlignment="1">
      <alignment vertical="center"/>
    </xf>
    <xf numFmtId="178" fontId="1" fillId="37" borderId="15" xfId="49" applyNumberFormat="1" applyFont="1" applyFill="1" applyBorder="1" applyAlignment="1">
      <alignment/>
    </xf>
    <xf numFmtId="0" fontId="1" fillId="0" borderId="18" xfId="0" applyFont="1" applyBorder="1" applyAlignment="1">
      <alignment vertical="center" wrapText="1"/>
    </xf>
    <xf numFmtId="175" fontId="1" fillId="0" borderId="15" xfId="49" applyFont="1" applyBorder="1" applyAlignment="1">
      <alignment/>
    </xf>
    <xf numFmtId="3" fontId="1" fillId="37" borderId="16" xfId="0" applyNumberFormat="1" applyFont="1" applyFill="1" applyBorder="1" applyAlignment="1">
      <alignment/>
    </xf>
    <xf numFmtId="178" fontId="1" fillId="0" borderId="0" xfId="49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6" xfId="49" applyNumberFormat="1" applyFont="1" applyFill="1" applyBorder="1" applyAlignment="1">
      <alignment horizontal="center" vertical="center" wrapText="1"/>
    </xf>
    <xf numFmtId="3" fontId="10" fillId="0" borderId="17" xfId="49" applyNumberFormat="1" applyFont="1" applyFill="1" applyBorder="1" applyAlignment="1">
      <alignment horizontal="center" vertical="center" wrapText="1"/>
    </xf>
    <xf numFmtId="3" fontId="10" fillId="0" borderId="48" xfId="49" applyNumberFormat="1" applyFont="1" applyFill="1" applyBorder="1" applyAlignment="1">
      <alignment horizontal="center" vertical="center" wrapText="1"/>
    </xf>
    <xf numFmtId="3" fontId="10" fillId="0" borderId="16" xfId="49" applyNumberFormat="1" applyFont="1" applyFill="1" applyBorder="1" applyAlignment="1">
      <alignment horizontal="center" vertical="center" wrapText="1"/>
    </xf>
    <xf numFmtId="3" fontId="10" fillId="0" borderId="55" xfId="49" applyNumberFormat="1" applyFont="1" applyFill="1" applyBorder="1" applyAlignment="1">
      <alignment horizontal="center" vertical="center" wrapText="1"/>
    </xf>
    <xf numFmtId="3" fontId="8" fillId="39" borderId="16" xfId="49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right" wrapText="1"/>
    </xf>
    <xf numFmtId="0" fontId="2" fillId="0" borderId="73" xfId="0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2" fillId="0" borderId="76" xfId="0" applyFont="1" applyBorder="1" applyAlignment="1">
      <alignment horizontal="right" vertical="center"/>
    </xf>
    <xf numFmtId="0" fontId="2" fillId="0" borderId="77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85" xfId="0" applyFont="1" applyBorder="1" applyAlignment="1">
      <alignment horizontal="center" vertical="center"/>
    </xf>
    <xf numFmtId="0" fontId="0" fillId="0" borderId="85" xfId="0" applyFont="1" applyBorder="1" applyAlignment="1">
      <alignment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2" fillId="0" borderId="94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textRotation="90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tas" xfId="61"/>
    <cellStyle name="Percent" xfId="62"/>
    <cellStyle name="Porcentaje 2" xfId="63"/>
    <cellStyle name="Porcentual 2" xfId="64"/>
    <cellStyle name="Porcentual 2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89</xdr:row>
      <xdr:rowOff>123825</xdr:rowOff>
    </xdr:from>
    <xdr:to>
      <xdr:col>8</xdr:col>
      <xdr:colOff>438150</xdr:colOff>
      <xdr:row>92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28575" y="15563850"/>
          <a:ext cx="7734300" cy="466725"/>
          <a:chOff x="3" y="1144"/>
          <a:chExt cx="858" cy="47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3" y="1144"/>
            <a:ext cx="360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MIGUEL ANGEL SALAZAR CANDIA.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Rector</a:t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491" y="1145"/>
            <a:ext cx="370" cy="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M.A. JESÚS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FRANCISCO VALENCIA TERÁN.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Administracion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47625</xdr:rowOff>
    </xdr:from>
    <xdr:to>
      <xdr:col>5</xdr:col>
      <xdr:colOff>1343025</xdr:colOff>
      <xdr:row>31</xdr:row>
      <xdr:rowOff>47625</xdr:rowOff>
    </xdr:to>
    <xdr:grpSp>
      <xdr:nvGrpSpPr>
        <xdr:cNvPr id="1" name="Group 4"/>
        <xdr:cNvGrpSpPr>
          <a:grpSpLocks/>
        </xdr:cNvGrpSpPr>
      </xdr:nvGrpSpPr>
      <xdr:grpSpPr>
        <a:xfrm>
          <a:off x="19050" y="5419725"/>
          <a:ext cx="7686675" cy="1000125"/>
          <a:chOff x="2" y="474"/>
          <a:chExt cx="653" cy="96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2" y="491"/>
            <a:ext cx="253" cy="7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MIGUEL ANGEL SALAZAR CANDIA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Rector</a:t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369" y="474"/>
            <a:ext cx="286" cy="9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M.A. JESÚS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FRANCISCO VALENCIA TERÁN.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administracion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63</xdr:row>
      <xdr:rowOff>0</xdr:rowOff>
    </xdr:from>
    <xdr:to>
      <xdr:col>8</xdr:col>
      <xdr:colOff>619125</xdr:colOff>
      <xdr:row>63</xdr:row>
      <xdr:rowOff>0</xdr:rowOff>
    </xdr:to>
    <xdr:grpSp>
      <xdr:nvGrpSpPr>
        <xdr:cNvPr id="1" name="Group 31"/>
        <xdr:cNvGrpSpPr>
          <a:grpSpLocks/>
        </xdr:cNvGrpSpPr>
      </xdr:nvGrpSpPr>
      <xdr:grpSpPr>
        <a:xfrm>
          <a:off x="57150" y="13973175"/>
          <a:ext cx="7572375" cy="0"/>
          <a:chOff x="6" y="1408"/>
          <a:chExt cx="822" cy="69"/>
        </a:xfrm>
        <a:solidFill>
          <a:srgbClr val="FFFFFF"/>
        </a:solidFill>
      </xdr:grpSpPr>
      <xdr:sp>
        <xdr:nvSpPr>
          <xdr:cNvPr id="2" name="Text Box 13"/>
          <xdr:cNvSpPr txBox="1">
            <a:spLocks noChangeArrowheads="1"/>
          </xdr:cNvSpPr>
        </xdr:nvSpPr>
        <xdr:spPr>
          <a:xfrm>
            <a:off x="6" y="139731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MIGUEL ANGEL SALAZAR CANDIA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Rector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6" y="13973175"/>
            <a:ext cx="35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VICTOR MANUEL ZAMORANO LEY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Administración y Finanzas</a:t>
            </a:r>
          </a:p>
        </xdr:txBody>
      </xdr:sp>
    </xdr:grpSp>
    <xdr:clientData/>
  </xdr:twoCellAnchor>
  <xdr:twoCellAnchor>
    <xdr:from>
      <xdr:col>0</xdr:col>
      <xdr:colOff>238125</xdr:colOff>
      <xdr:row>136</xdr:row>
      <xdr:rowOff>0</xdr:rowOff>
    </xdr:from>
    <xdr:to>
      <xdr:col>8</xdr:col>
      <xdr:colOff>619125</xdr:colOff>
      <xdr:row>136</xdr:row>
      <xdr:rowOff>0</xdr:rowOff>
    </xdr:to>
    <xdr:grpSp>
      <xdr:nvGrpSpPr>
        <xdr:cNvPr id="4" name="Group 29"/>
        <xdr:cNvGrpSpPr>
          <a:grpSpLocks/>
        </xdr:cNvGrpSpPr>
      </xdr:nvGrpSpPr>
      <xdr:grpSpPr>
        <a:xfrm>
          <a:off x="238125" y="22583775"/>
          <a:ext cx="7391400" cy="0"/>
          <a:chOff x="25" y="3010"/>
          <a:chExt cx="787" cy="53"/>
        </a:xfrm>
        <a:solidFill>
          <a:srgbClr val="FFFFFF"/>
        </a:solidFill>
      </xdr:grpSpPr>
      <xdr:sp>
        <xdr:nvSpPr>
          <xdr:cNvPr id="5" name="Text Box 15"/>
          <xdr:cNvSpPr txBox="1">
            <a:spLocks noChangeArrowheads="1"/>
          </xdr:cNvSpPr>
        </xdr:nvSpPr>
        <xdr:spPr>
          <a:xfrm>
            <a:off x="25" y="22583775"/>
            <a:ext cx="3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MIGUEL ANGEL SALAZAR CANDIA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Rector</a:t>
            </a:r>
          </a:p>
        </xdr:txBody>
      </xdr:sp>
      <xdr:sp>
        <xdr:nvSpPr>
          <xdr:cNvPr id="6" name="Text Box 17"/>
          <xdr:cNvSpPr txBox="1">
            <a:spLocks noChangeArrowheads="1"/>
          </xdr:cNvSpPr>
        </xdr:nvSpPr>
        <xdr:spPr>
          <a:xfrm>
            <a:off x="25" y="225837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VICTOR MANUEL ZAMORANO LEY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Administración y Finanzas</a:t>
            </a:r>
          </a:p>
        </xdr:txBody>
      </xdr:sp>
    </xdr:grpSp>
    <xdr:clientData/>
  </xdr:twoCellAnchor>
  <xdr:twoCellAnchor>
    <xdr:from>
      <xdr:col>0</xdr:col>
      <xdr:colOff>76200</xdr:colOff>
      <xdr:row>182</xdr:row>
      <xdr:rowOff>104775</xdr:rowOff>
    </xdr:from>
    <xdr:to>
      <xdr:col>9</xdr:col>
      <xdr:colOff>495300</xdr:colOff>
      <xdr:row>185</xdr:row>
      <xdr:rowOff>85725</xdr:rowOff>
    </xdr:to>
    <xdr:grpSp>
      <xdr:nvGrpSpPr>
        <xdr:cNvPr id="7" name="Group 36"/>
        <xdr:cNvGrpSpPr>
          <a:grpSpLocks/>
        </xdr:cNvGrpSpPr>
      </xdr:nvGrpSpPr>
      <xdr:grpSpPr>
        <a:xfrm>
          <a:off x="76200" y="28994100"/>
          <a:ext cx="8048625" cy="495300"/>
          <a:chOff x="5" y="3085"/>
          <a:chExt cx="827" cy="49"/>
        </a:xfrm>
        <a:solidFill>
          <a:srgbClr val="FFFFFF"/>
        </a:solidFill>
      </xdr:grpSpPr>
      <xdr:sp>
        <xdr:nvSpPr>
          <xdr:cNvPr id="8" name="Text Box 16"/>
          <xdr:cNvSpPr txBox="1">
            <a:spLocks noChangeArrowheads="1"/>
          </xdr:cNvSpPr>
        </xdr:nvSpPr>
        <xdr:spPr>
          <a:xfrm>
            <a:off x="5" y="3085"/>
            <a:ext cx="349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MIGUEL ANGEL SALAZAR CANDIA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Rector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485" y="3085"/>
            <a:ext cx="347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M.A. JESÚS FRANCISCO VALENCIA TERÁN.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Administración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1</xdr:col>
      <xdr:colOff>104775</xdr:colOff>
      <xdr:row>2</xdr:row>
      <xdr:rowOff>85725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monB\Configuraci&#243;n%20local\Archivos%20temporales%20de%20Internet\Content.IE5\B70KDW1B\POA%202011[1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mon\Documents\110525\Resp%20Rborbon%202010\Respaldo%20RBorbon\Escritorio\A&#209;O%202011\Cuenta%20P&#250;blica%202011\PRIMER%20TRIMESTRE%202011\EVTOP-01,%2002,%2003%20PRIMER%20TRIMESTRE%202011%20UT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mon\Documents\110525\Resp%20Rborbon%202010\Respaldo%20RBorbon\Escritorio\A&#209;O%202011\Cuenta%20P&#250;blica%202011\SEGUNDO%20TRIMESTRE%202011\EVTOP-01,%2002,%2003%20SEGUNDO%20TRIMESTRE%202011%20U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.xls]POA 2011 PROYECTOS"/>
      <sheetName val=".xls].xls].xls].xls].xls].xls].xls].xls].xls].xls].xls].xls].xls].xls].xls].xls].xls].xls].xls].xls].xls].xls].xls].xls].xls].xls].xls].xls].xls].xls].xls].xls].xls].xls].xls].xls].xls].xls].xls].xls]Academico"/>
      <sheetName val=".xls].xls].xls].xls].xls].xls].xls].xls].xls].xls].xls].xls].xls].xls].xls].xls].xls].xls].xls].xls].xls].xls].xls].xls].xls].xls].xls].xls].xls].xls].xls].xls].xls].xls].xls].xls].xls].xls].xls].xls]Vinculacion"/>
      <sheetName val=".xls].xls].xls].xls].xls].xls].xls].xls].xls].xls].xls].xls].xls].xls].xls].xls].xls].xls].xls].xls].xls].xls].xls].xls].xls].xls].xls].xls].xls].xls].xls].xls].xls].xls].xls].xls].xls].xls].xls].xls]Extension"/>
      <sheetName val=".xls].xls].xls].xls].xls].xls].xls].xls].xls].xls].xls].xls].xls].xls].xls].xls].xls].xls].xls].xls].xls].xls].xls].xls].xls].xls].xls].xls].xls].xls].xls].xls].xls].xls].xls].xls].xls].xls].xls].xls]Administraciòn"/>
      <sheetName val=".xls].xls].xls].xls].xls].xls].xls].xls].xls].xls].xls].xls].xls].xls].xls].xls].xls].xls].xls].xls].xls].xls].xls].xls].xls].xls].xls].xls].xls].xls].xls].xls].xls].xls].xls].xls].xls].xls].xls].xls]Planeaciòn"/>
      <sheetName val=".xls].xls].xls].xls].xls].xls].xls].xls].xls].xls].xls].xls].xls].xls].xls].xls].xls].xls].xls].xls].xls].xls].xls].xls].xls].xls].xls].xls].xls].xls].xls].xls].xls].xls].xls].xls].xls].xls].xls].xls]Juridico"/>
      <sheetName val=".xls].xls].xls].xls].xls].xls].xls].xls].xls].xls].xls].xls].xls].xls].xls].xls].xls].xls].xls].xls].xls].xls].xls].xls].xls].xls].xls].xls].xls].xls].xls].xls].xls].xls].xls].xls].xls].xls].xls].xls]Contraloria"/>
      <sheetName val=".xls].xls].xls].xls].xls].xls].xls].xls].xls].xls].xls].xls].xls].xls].xls].xls].xls].xls].xls].xls].xls].xls].xls].xls].xls].xls].xls].xls].xls].xls].xls].xls].xls].xls].xls].xls].xls].xls]POA 2011 PROYECTOS"/>
      <sheetName val=".xls].xls].xls].xls].xls].xls].xls].xls].xls].xls].xls].xls].xls].xls].xls].xls].xls].xls].xls].xls].xls].xls].xls].xls].xls].xls].xls].xls].xls].xls].xls].xls].xls].xls].xls].xls].xls].xls]Academico"/>
      <sheetName val=".xls].xls].xls].xls].xls].xls].xls].xls].xls].xls].xls].xls].xls].xls].xls].xls].xls].xls].xls].xls].xls].xls].xls].xls].xls].xls].xls].xls].xls].xls].xls].xls].xls].xls].xls].xls].xls].xls]Vinculacion"/>
      <sheetName val=".xls].xls].xls].xls].xls].xls].xls].xls].xls].xls].xls].xls].xls].xls].xls].xls].xls].xls].xls].xls].xls].xls].xls].xls].xls].xls].xls].xls].xls].xls].xls].xls].xls].xls].xls].xls].xls].xls]Extension"/>
      <sheetName val=".xls].xls].xls].xls].xls].xls].xls].xls].xls].xls].xls].xls].xls].xls].xls].xls].xls].xls].xls].xls].xls].xls].xls].xls].xls].xls].xls].xls].xls].xls].xls].xls].xls].xls].xls].xls].xls].xls]Administraciòn"/>
      <sheetName val=".xls].xls].xls].xls].xls].xls].xls].xls].xls].xls].xls].xls].xls].xls].xls].xls].xls].xls].xls].xls].xls].xls].xls].xls].xls].xls].xls].xls].xls].xls].xls].xls].xls].xls].xls].xls].xls].xls]Planeaciòn"/>
      <sheetName val=".xls].xls].xls].xls].xls].xls].xls].xls].xls].xls].xls].xls].xls].xls].xls].xls].xls].xls].xls].xls].xls].xls].xls].xls].xls].xls].xls].xls].xls].xls].xls].xls].xls].xls].xls].xls].xls].xls]Juridico"/>
      <sheetName val=".xls].xls].xls].xls].xls].xls].xls].xls].xls].xls].xls].xls].xls].xls].xls].xls].xls].xls].xls].xls].xls].xls].xls].xls].xls].xls].xls].xls].xls].xls].xls].xls].xls].xls].xls].xls].xls].xls]Contraloria"/>
      <sheetName val=".xls].xls].xls].xls].xls].xls].xls].xls].xls].xls].xls].xls].xls].xls].xls].xls].xls].xls].xls].xls].xls].xls].xls].xls].xls].xls].xls].xls].xls].xls].xls].xls].xls].xls].xls].xls].xls].xls].xls].xls].xls].xls]POA 2011 PROYECTOS"/>
      <sheetName val=".xls].xls].xls].xls].xls].xls].xls].xls].xls].xls].xls].xls].xls].xls].xls].xls].xls].xls].xls].xls].xls].xls].xls].xls].xls].xls].xls].xls].xls].xls].xls].xls].xls].xls].xls].xls].xls].xls].xls].xls].xls].xls]Academico"/>
      <sheetName val=".xls].xls].xls].xls].xls].xls].xls].xls].xls].xls].xls].xls].xls].xls].xls].xls].xls].xls].xls].xls].xls].xls].xls].xls].xls].xls].xls].xls].xls].xls].xls].xls].xls].xls].xls].xls].xls].xls].xls].xls].xls].xls]Vinculacion"/>
      <sheetName val=".xls].xls].xls].xls].xls].xls].xls].xls].xls].xls].xls].xls].xls].xls].xls].xls].xls].xls].xls].xls].xls].xls].xls].xls].xls].xls].xls].xls].xls].xls].xls].xls].xls].xls].xls].xls].xls].xls].xls].xls].xls].xls]Extension"/>
      <sheetName val=".xls].xls].xls].xls].xls].xls].xls].xls].xls].xls].xls].xls].xls].xls].xls].xls].xls].xls].xls].xls].xls].xls].xls].xls].xls].xls].xls].xls].xls].xls].xls].xls].xls].xls].xls].xls].xls].xls].xls].xls].xls].xls]Administraciòn"/>
      <sheetName val=".xls].xls].xls].xls].xls].xls].xls].xls].xls].xls].xls].xls].xls].xls].xls].xls].xls].xls].xls].xls].xls].xls].xls].xls].xls].xls].xls].xls].xls].xls].xls].xls].xls].xls].xls].xls].xls].xls].xls].xls].xls].xls]Planeaciòn"/>
      <sheetName val=".xls].xls].xls].xls].xls].xls].xls].xls].xls].xls].xls].xls].xls].xls].xls].xls].xls].xls].xls].xls].xls].xls].xls].xls].xls].xls].xls].xls].xls].xls].xls].xls].xls].xls].xls].xls].xls].xls].xls].xls].xls].xls]Juridico"/>
      <sheetName val=".xls].xls].xls].xls].xls].xls].xls].xls].xls].xls].xls].xls].xls].xls].xls].xls].xls].xls].xls].xls].xls].xls].xls].xls].xls].xls].xls].xls].xls].xls].xls].xls].xls].xls].xls].xls].xls].xls].xls].xls].xls].xls]Contraloria"/>
      <sheetName val=".xls].xls].xls].xls].xls].xls].xls].xls].xls].xls].xls].xls].xls].xls].xls].xls].xls].xls].xls].xls].xls].xls].xls].xls].xls].xls].xls].xls].xls].xls].xls].xls]POA 2011 PROYECTOS"/>
      <sheetName val=".xls].xls].xls].xls].xls].xls].xls].xls].xls].xls].xls].xls].xls].xls].xls].xls].xls].xls].xls].xls].xls].xls].xls].xls].xls].xls].xls].xls].xls].xls].xls].xls]Academico"/>
      <sheetName val=".xls].xls].xls].xls].xls].xls].xls].xls].xls].xls].xls].xls].xls].xls].xls].xls].xls].xls].xls].xls].xls].xls].xls].xls].xls].xls].xls].xls].xls].xls].xls].xls]Vinculacion"/>
      <sheetName val=".xls].xls].xls].xls].xls].xls].xls].xls].xls].xls].xls].xls].xls].xls].xls].xls].xls].xls].xls].xls].xls].xls].xls].xls].xls].xls].xls].xls].xls].xls].xls].xls]Extension"/>
      <sheetName val=".xls].xls].xls].xls].xls].xls].xls].xls].xls].xls].xls].xls].xls].xls].xls].xls].xls].xls].xls].xls].xls].xls].xls].xls].xls].xls].xls].xls].xls].xls].xls].xls]Administraciòn"/>
      <sheetName val=".xls].xls].xls].xls].xls].xls].xls].xls].xls].xls].xls].xls].xls].xls].xls].xls].xls].xls].xls].xls].xls].xls].xls].xls].xls].xls].xls].xls].xls].xls].xls].xls]Planeaciòn"/>
      <sheetName val=".xls].xls].xls].xls].xls].xls].xls].xls].xls].xls].xls].xls].xls].xls].xls].xls].xls].xls].xls].xls].xls].xls].xls].xls].xls].xls].xls].xls].xls].xls].xls].xls]Juridico"/>
      <sheetName val=".xls].xls].xls].xls].xls].xls].xls].xls].xls].xls].xls].xls].xls].xls].xls].xls].xls].xls].xls].xls].xls].xls].xls].xls].xls].xls].xls].xls].xls].xls].xls].xls]Contraloria"/>
      <sheetName val=".xls].xls].xls].xls].xls].xls].xls].xls].xls].xls].xls].xls].xls].xls].xls].xls].xls].xls].xls].xls].xls].xls].xls].xls].xls].xls].xls].xls].xls].xls]POA 2011 PROYECTOS"/>
      <sheetName val=".xls].xls].xls].xls].xls].xls].xls].xls].xls].xls].xls].xls].xls].xls].xls].xls].xls].xls].xls].xls].xls].xls].xls].xls].xls].xls].xls].xls].xls].xls]Academico"/>
      <sheetName val=".xls].xls].xls].xls].xls].xls].xls].xls].xls].xls].xls].xls].xls].xls].xls].xls].xls].xls].xls].xls].xls].xls].xls].xls].xls].xls].xls].xls].xls].xls]Vinculacion"/>
      <sheetName val=".xls].xls].xls].xls].xls].xls].xls].xls].xls].xls].xls].xls].xls].xls].xls].xls].xls].xls].xls].xls].xls].xls].xls].xls].xls].xls].xls].xls].xls].xls]Extension"/>
      <sheetName val=".xls].xls].xls].xls].xls].xls].xls].xls].xls].xls].xls].xls].xls].xls].xls].xls].xls].xls].xls].xls].xls].xls].xls].xls].xls].xls].xls].xls].xls].xls]Administraciòn"/>
      <sheetName val=".xls].xls].xls].xls].xls].xls].xls].xls].xls].xls].xls].xls].xls].xls].xls].xls].xls].xls].xls].xls].xls].xls].xls].xls].xls].xls].xls].xls].xls].xls]Planeaciòn"/>
      <sheetName val=".xls].xls].xls].xls].xls].xls].xls].xls].xls].xls].xls].xls].xls].xls].xls].xls].xls].xls].xls].xls].xls].xls].xls].xls].xls].xls].xls].xls].xls].xls]Juridico"/>
      <sheetName val=".xls].xls].xls].xls].xls].xls].xls].xls].xls].xls].xls].xls].xls].xls].xls].xls].xls].xls].xls].xls].xls].xls].xls].xls].xls].xls].xls].xls].xls].xls]Contraloria"/>
      <sheetName val=".xls].xls].xls].xls].xls].xls].xls].xls].xls].xls].xls].xls].xls].xls].xls].xls].xls].xls].xls].xls].xls].xls].xls].xls].xls].xls].xls].xls].xls].xls].xls].xls].xls].xls]POA 2011 PROYEC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TOP-01"/>
      <sheetName val="ANEXO 01-01"/>
      <sheetName val="EVTOP-02"/>
      <sheetName val="EVTOP-03"/>
    </sheetNames>
    <sheetDataSet>
      <sheetData sheetId="0">
        <row r="57">
          <cell r="H57">
            <v>1355657.4100000001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VTOP-01"/>
      <sheetName val="ANEXO 01-01"/>
      <sheetName val="EVTOP-02"/>
      <sheetName val="EVTOP-03"/>
    </sheetNames>
    <sheetDataSet>
      <sheetData sheetId="0">
        <row r="12">
          <cell r="H12">
            <v>24559233</v>
          </cell>
        </row>
        <row r="13">
          <cell r="H13">
            <v>0</v>
          </cell>
        </row>
        <row r="14">
          <cell r="H14">
            <v>18037852</v>
          </cell>
        </row>
        <row r="15">
          <cell r="H15">
            <v>3782902.46</v>
          </cell>
        </row>
        <row r="16">
          <cell r="H16">
            <v>4450698.71</v>
          </cell>
        </row>
        <row r="17">
          <cell r="H17">
            <v>110085.94</v>
          </cell>
        </row>
        <row r="18">
          <cell r="H18">
            <v>189914.06</v>
          </cell>
        </row>
        <row r="19">
          <cell r="H19">
            <v>533715.16</v>
          </cell>
        </row>
        <row r="20">
          <cell r="H20">
            <v>0</v>
          </cell>
        </row>
        <row r="28">
          <cell r="H28">
            <v>31209477.939999998</v>
          </cell>
        </row>
        <row r="29">
          <cell r="H29">
            <v>1794559.96</v>
          </cell>
        </row>
        <row r="30">
          <cell r="H30">
            <v>10188796.989999998</v>
          </cell>
        </row>
        <row r="31">
          <cell r="H31">
            <v>228613.39</v>
          </cell>
        </row>
        <row r="32">
          <cell r="H32">
            <v>745727.6100000001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47">
          <cell r="H47">
            <v>129702.36</v>
          </cell>
        </row>
        <row r="48">
          <cell r="H48">
            <v>612254.98</v>
          </cell>
        </row>
        <row r="49">
          <cell r="H49">
            <v>1773223.0699999998</v>
          </cell>
        </row>
        <row r="51">
          <cell r="H51">
            <v>228613.39</v>
          </cell>
        </row>
        <row r="52">
          <cell r="H52">
            <v>745727.6100000001</v>
          </cell>
        </row>
      </sheetData>
      <sheetData sheetId="2">
        <row r="12">
          <cell r="H12">
            <v>31209478.489999995</v>
          </cell>
        </row>
        <row r="13">
          <cell r="H13">
            <v>18527815.369999997</v>
          </cell>
        </row>
        <row r="14">
          <cell r="H14">
            <v>189490.7</v>
          </cell>
        </row>
        <row r="15">
          <cell r="H15">
            <v>0</v>
          </cell>
        </row>
        <row r="16">
          <cell r="H16">
            <v>45432.62</v>
          </cell>
        </row>
        <row r="17">
          <cell r="H17">
            <v>3444574.92</v>
          </cell>
        </row>
        <row r="18">
          <cell r="H18">
            <v>1732429.61</v>
          </cell>
        </row>
        <row r="19">
          <cell r="H19">
            <v>24871.61</v>
          </cell>
        </row>
        <row r="20">
          <cell r="H20">
            <v>82241.20999999999</v>
          </cell>
        </row>
        <row r="21">
          <cell r="H21">
            <v>173646.81</v>
          </cell>
        </row>
        <row r="22">
          <cell r="H22">
            <v>1350162.18</v>
          </cell>
        </row>
        <row r="23">
          <cell r="H23">
            <v>300825.78</v>
          </cell>
        </row>
        <row r="24">
          <cell r="H24">
            <v>0</v>
          </cell>
        </row>
        <row r="25">
          <cell r="H25">
            <v>881409.4299999999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558639.5800000001</v>
          </cell>
        </row>
        <row r="34">
          <cell r="H34">
            <v>1035455.54</v>
          </cell>
        </row>
        <row r="35">
          <cell r="H35">
            <v>1502350.96</v>
          </cell>
        </row>
        <row r="36">
          <cell r="H36">
            <v>1136323.5</v>
          </cell>
        </row>
        <row r="37">
          <cell r="H37">
            <v>274.05</v>
          </cell>
        </row>
        <row r="38">
          <cell r="H38">
            <v>223534.62</v>
          </cell>
        </row>
        <row r="39">
          <cell r="H39">
            <v>1794559.96</v>
          </cell>
        </row>
        <row r="40">
          <cell r="H40">
            <v>100532.07</v>
          </cell>
        </row>
        <row r="41">
          <cell r="H41">
            <v>91405.04</v>
          </cell>
        </row>
        <row r="42">
          <cell r="H42">
            <v>460</v>
          </cell>
        </row>
        <row r="43">
          <cell r="H43">
            <v>124048.10999999999</v>
          </cell>
        </row>
        <row r="44">
          <cell r="H44">
            <v>0</v>
          </cell>
        </row>
        <row r="45">
          <cell r="H45">
            <v>339580.82999999996</v>
          </cell>
        </row>
        <row r="46">
          <cell r="H46">
            <v>0</v>
          </cell>
        </row>
        <row r="47">
          <cell r="H47">
            <v>31524.23</v>
          </cell>
        </row>
        <row r="48">
          <cell r="H48">
            <v>6137.12</v>
          </cell>
        </row>
        <row r="49">
          <cell r="H49">
            <v>36500.16</v>
          </cell>
        </row>
        <row r="50">
          <cell r="H50">
            <v>238642.22</v>
          </cell>
        </row>
        <row r="51">
          <cell r="H51">
            <v>14745.19</v>
          </cell>
        </row>
        <row r="52">
          <cell r="H52">
            <v>14400.75</v>
          </cell>
        </row>
        <row r="53">
          <cell r="H53">
            <v>49828.25</v>
          </cell>
        </row>
        <row r="54">
          <cell r="H54">
            <v>119.25</v>
          </cell>
        </row>
        <row r="55">
          <cell r="H55">
            <v>0</v>
          </cell>
        </row>
        <row r="56">
          <cell r="H56">
            <v>2779.12</v>
          </cell>
        </row>
        <row r="57">
          <cell r="H57">
            <v>57552.16</v>
          </cell>
        </row>
        <row r="58">
          <cell r="H58">
            <v>2171.0200000000004</v>
          </cell>
        </row>
        <row r="59">
          <cell r="H59">
            <v>252572.44</v>
          </cell>
        </row>
        <row r="60">
          <cell r="H60">
            <v>0</v>
          </cell>
        </row>
        <row r="61">
          <cell r="H61">
            <v>421715.26</v>
          </cell>
        </row>
        <row r="62">
          <cell r="H62">
            <v>0</v>
          </cell>
        </row>
        <row r="63">
          <cell r="H63">
            <v>9846.74</v>
          </cell>
        </row>
        <row r="64">
          <cell r="H64">
            <v>10188796.990000002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380337.07</v>
          </cell>
        </row>
        <row r="68">
          <cell r="H68">
            <v>845992.9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42155.2</v>
          </cell>
        </row>
        <row r="75">
          <cell r="H75">
            <v>103802.41</v>
          </cell>
        </row>
        <row r="76">
          <cell r="H76">
            <v>2088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1402428.53</v>
          </cell>
        </row>
        <row r="83">
          <cell r="H83">
            <v>0</v>
          </cell>
        </row>
        <row r="84">
          <cell r="H84">
            <v>3886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17142.71</v>
          </cell>
        </row>
        <row r="90">
          <cell r="H90">
            <v>106841.69</v>
          </cell>
        </row>
        <row r="91">
          <cell r="H91">
            <v>696638.28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122777</v>
          </cell>
        </row>
        <row r="95">
          <cell r="H95">
            <v>192910.26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42850.4</v>
          </cell>
        </row>
        <row r="101">
          <cell r="H101">
            <v>53403.41</v>
          </cell>
        </row>
        <row r="102">
          <cell r="H102">
            <v>553579.8400000001</v>
          </cell>
        </row>
        <row r="103">
          <cell r="H103">
            <v>1089911.07</v>
          </cell>
        </row>
        <row r="104">
          <cell r="H104">
            <v>273531.04000000004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89320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117363</v>
          </cell>
        </row>
        <row r="117">
          <cell r="H117">
            <v>379801.26</v>
          </cell>
        </row>
        <row r="118">
          <cell r="H118">
            <v>0</v>
          </cell>
        </row>
        <row r="119">
          <cell r="H119">
            <v>46135.72</v>
          </cell>
        </row>
        <row r="120">
          <cell r="H120">
            <v>45000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785849.7200000001</v>
          </cell>
        </row>
        <row r="126">
          <cell r="H126">
            <v>350860.08999999997</v>
          </cell>
        </row>
        <row r="127">
          <cell r="H127">
            <v>84589.5</v>
          </cell>
        </row>
        <row r="128">
          <cell r="H128">
            <v>990464.1700000002</v>
          </cell>
        </row>
        <row r="129">
          <cell r="H129">
            <v>20300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1187804.3900000001</v>
          </cell>
        </row>
        <row r="134">
          <cell r="H134">
            <v>0</v>
          </cell>
        </row>
        <row r="135">
          <cell r="H135">
            <v>-21666.67</v>
          </cell>
        </row>
        <row r="136">
          <cell r="H136">
            <v>0</v>
          </cell>
        </row>
        <row r="137">
          <cell r="H137">
            <v>182700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228613.3900000001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1610434.93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-1381821.5399999998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745727.6100000001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44167176.44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95"/>
  <sheetViews>
    <sheetView showGridLines="0" zoomScale="145" zoomScaleNormal="145" zoomScalePageLayoutView="0" workbookViewId="0" topLeftCell="A4">
      <selection activeCell="C20" sqref="C20"/>
    </sheetView>
  </sheetViews>
  <sheetFormatPr defaultColWidth="11.421875" defaultRowHeight="12.75"/>
  <cols>
    <col min="1" max="1" width="19.7109375" style="0" customWidth="1"/>
    <col min="2" max="2" width="14.7109375" style="0" customWidth="1"/>
    <col min="3" max="3" width="13.57421875" style="0" customWidth="1"/>
    <col min="4" max="4" width="12.28125" style="0" customWidth="1"/>
    <col min="5" max="5" width="11.8515625" style="0" customWidth="1"/>
    <col min="6" max="6" width="11.421875" style="0" customWidth="1"/>
    <col min="7" max="7" width="14.28125" style="0" customWidth="1"/>
    <col min="8" max="8" width="12.00390625" style="0" customWidth="1"/>
    <col min="9" max="9" width="8.28125" style="0" customWidth="1"/>
  </cols>
  <sheetData>
    <row r="1" spans="1:9" ht="15">
      <c r="A1" s="353" t="s">
        <v>509</v>
      </c>
      <c r="B1" s="353"/>
      <c r="C1" s="353"/>
      <c r="D1" s="353"/>
      <c r="E1" s="353"/>
      <c r="F1" s="353"/>
      <c r="G1" s="353"/>
      <c r="H1" s="353"/>
      <c r="I1" s="353"/>
    </row>
    <row r="2" spans="1:9" ht="12.75">
      <c r="A2" s="353" t="s">
        <v>14</v>
      </c>
      <c r="B2" s="353"/>
      <c r="C2" s="353"/>
      <c r="D2" s="353"/>
      <c r="E2" s="353"/>
      <c r="F2" s="353"/>
      <c r="G2" s="353"/>
      <c r="H2" s="353"/>
      <c r="I2" s="353"/>
    </row>
    <row r="3" spans="1:9" ht="12.75">
      <c r="A3" s="353" t="s">
        <v>8</v>
      </c>
      <c r="B3" s="353"/>
      <c r="C3" s="353"/>
      <c r="D3" s="353"/>
      <c r="E3" s="353"/>
      <c r="F3" s="353"/>
      <c r="G3" s="353"/>
      <c r="H3" s="353"/>
      <c r="I3" s="353"/>
    </row>
    <row r="4" spans="1:9" ht="5.25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9" ht="14.25" customHeight="1" thickBot="1">
      <c r="A5" s="1"/>
      <c r="G5" s="356" t="s">
        <v>498</v>
      </c>
      <c r="H5" s="356"/>
      <c r="I5" s="356"/>
    </row>
    <row r="6" spans="1:9" ht="14.25" thickBot="1" thickTop="1">
      <c r="A6" s="357" t="s">
        <v>35</v>
      </c>
      <c r="B6" s="358"/>
      <c r="C6" s="358"/>
      <c r="D6" s="358"/>
      <c r="E6" s="358"/>
      <c r="F6" s="358"/>
      <c r="G6" s="358"/>
      <c r="H6" s="358"/>
      <c r="I6" s="359"/>
    </row>
    <row r="7" ht="6" customHeight="1" thickTop="1"/>
    <row r="8" spans="1:8" ht="12.75">
      <c r="A8" s="2" t="s">
        <v>4</v>
      </c>
      <c r="F8" s="13" t="s">
        <v>17</v>
      </c>
      <c r="G8" s="13"/>
      <c r="H8" s="1"/>
    </row>
    <row r="9" spans="1:9" ht="12.75">
      <c r="A9" s="348" t="s">
        <v>0</v>
      </c>
      <c r="B9" s="351" t="s">
        <v>21</v>
      </c>
      <c r="C9" s="348" t="s">
        <v>7</v>
      </c>
      <c r="D9" s="18" t="s">
        <v>19</v>
      </c>
      <c r="E9" s="19"/>
      <c r="F9" s="20"/>
      <c r="G9" s="20"/>
      <c r="H9" s="21"/>
      <c r="I9" s="351" t="s">
        <v>23</v>
      </c>
    </row>
    <row r="10" spans="1:9" ht="12.75">
      <c r="A10" s="349"/>
      <c r="B10" s="352"/>
      <c r="C10" s="349"/>
      <c r="D10" s="22" t="s">
        <v>499</v>
      </c>
      <c r="E10" s="22" t="s">
        <v>500</v>
      </c>
      <c r="F10" s="268" t="s">
        <v>501</v>
      </c>
      <c r="G10" s="268" t="s">
        <v>28</v>
      </c>
      <c r="H10" s="268" t="s">
        <v>1</v>
      </c>
      <c r="I10" s="352"/>
    </row>
    <row r="11" spans="1:9" ht="16.5" customHeight="1">
      <c r="A11" s="37" t="s">
        <v>20</v>
      </c>
      <c r="B11" s="24"/>
      <c r="C11" s="25"/>
      <c r="D11" s="79">
        <v>43371316.3</v>
      </c>
      <c r="E11" s="79">
        <v>46232350.06</v>
      </c>
      <c r="F11" s="118">
        <v>47703802.38</v>
      </c>
      <c r="G11" s="79">
        <f>+F11</f>
        <v>47703802.38</v>
      </c>
      <c r="H11" s="26"/>
      <c r="I11" s="27"/>
    </row>
    <row r="12" spans="1:10" ht="16.5" customHeight="1">
      <c r="A12" s="28" t="s">
        <v>29</v>
      </c>
      <c r="B12" s="74">
        <v>44652222</v>
      </c>
      <c r="C12" s="74">
        <v>44652222</v>
      </c>
      <c r="D12" s="74">
        <v>3247930</v>
      </c>
      <c r="E12" s="74">
        <v>3624657</v>
      </c>
      <c r="F12" s="74">
        <v>4690517</v>
      </c>
      <c r="G12" s="74">
        <f aca="true" t="shared" si="0" ref="G12:G24">SUM(D12:F12)</f>
        <v>11563104</v>
      </c>
      <c r="H12" s="158">
        <f>+G12+'[3]EVTOP-01'!$H$12</f>
        <v>36122337</v>
      </c>
      <c r="I12" s="39">
        <f aca="true" t="shared" si="1" ref="I12:I24">+H12/B12*100</f>
        <v>80.89706487618913</v>
      </c>
      <c r="J12" s="35"/>
    </row>
    <row r="13" spans="1:10" ht="16.5" customHeight="1">
      <c r="A13" s="28" t="s">
        <v>158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f t="shared" si="0"/>
        <v>0</v>
      </c>
      <c r="H13" s="167">
        <f>+G13+'[3]EVTOP-01'!$H$13</f>
        <v>0</v>
      </c>
      <c r="I13" s="307" t="e">
        <f t="shared" si="1"/>
        <v>#DIV/0!</v>
      </c>
      <c r="J13" s="35"/>
    </row>
    <row r="14" spans="1:10" ht="16.5" customHeight="1">
      <c r="A14" s="30" t="s">
        <v>30</v>
      </c>
      <c r="B14" s="74">
        <v>43799664</v>
      </c>
      <c r="C14" s="74">
        <v>43799664</v>
      </c>
      <c r="D14" s="74">
        <v>3596970</v>
      </c>
      <c r="E14" s="74">
        <v>3596970</v>
      </c>
      <c r="F14" s="74">
        <v>5792955</v>
      </c>
      <c r="G14" s="74">
        <f t="shared" si="0"/>
        <v>12986895</v>
      </c>
      <c r="H14" s="158">
        <f>+G14+'[3]EVTOP-01'!$H$14</f>
        <v>31024747</v>
      </c>
      <c r="I14" s="39">
        <f t="shared" si="1"/>
        <v>70.83329908649527</v>
      </c>
      <c r="J14" s="35"/>
    </row>
    <row r="15" spans="1:10" ht="16.5" customHeight="1">
      <c r="A15" s="29" t="s">
        <v>2</v>
      </c>
      <c r="B15" s="75">
        <v>6050000</v>
      </c>
      <c r="C15" s="75">
        <v>6050000</v>
      </c>
      <c r="D15" s="74">
        <v>826653.8</v>
      </c>
      <c r="E15" s="74">
        <v>1731210</v>
      </c>
      <c r="F15" s="74">
        <v>1620197</v>
      </c>
      <c r="G15" s="74">
        <f t="shared" si="0"/>
        <v>4178060.8</v>
      </c>
      <c r="H15" s="158">
        <f>+G15+'[3]EVTOP-01'!$H$15</f>
        <v>7960963.26</v>
      </c>
      <c r="I15" s="39">
        <f t="shared" si="1"/>
        <v>131.58616958677683</v>
      </c>
      <c r="J15" s="117"/>
    </row>
    <row r="16" spans="1:10" ht="16.5" customHeight="1">
      <c r="A16" s="29" t="s">
        <v>6</v>
      </c>
      <c r="B16" s="75">
        <v>0</v>
      </c>
      <c r="C16" s="75">
        <f>+H16</f>
        <v>4613720.62</v>
      </c>
      <c r="D16" s="74">
        <v>127531.35</v>
      </c>
      <c r="E16" s="74">
        <v>16737.56</v>
      </c>
      <c r="F16" s="74">
        <v>18753</v>
      </c>
      <c r="G16" s="74">
        <f>SUM(D16:F16)</f>
        <v>163021.91</v>
      </c>
      <c r="H16" s="158">
        <f>+G16+'[3]EVTOP-01'!$H$16</f>
        <v>4613720.62</v>
      </c>
      <c r="I16" s="307" t="e">
        <f t="shared" si="1"/>
        <v>#DIV/0!</v>
      </c>
      <c r="J16" s="35"/>
    </row>
    <row r="17" spans="1:10" ht="16.5" customHeight="1">
      <c r="A17" s="29" t="s">
        <v>482</v>
      </c>
      <c r="B17" s="75">
        <v>0</v>
      </c>
      <c r="C17" s="75">
        <f aca="true" t="shared" si="2" ref="C17:C24">+H17</f>
        <v>110085.94</v>
      </c>
      <c r="D17" s="74">
        <v>0</v>
      </c>
      <c r="E17" s="74">
        <v>0</v>
      </c>
      <c r="F17" s="74">
        <v>0</v>
      </c>
      <c r="G17" s="74">
        <f t="shared" si="0"/>
        <v>0</v>
      </c>
      <c r="H17" s="158">
        <f>+G17+'[3]EVTOP-01'!$H$17</f>
        <v>110085.94</v>
      </c>
      <c r="I17" s="307" t="e">
        <f t="shared" si="1"/>
        <v>#DIV/0!</v>
      </c>
      <c r="J17" s="35"/>
    </row>
    <row r="18" spans="1:10" ht="16.5" customHeight="1">
      <c r="A18" s="29" t="s">
        <v>483</v>
      </c>
      <c r="B18" s="75">
        <v>0</v>
      </c>
      <c r="C18" s="75">
        <f t="shared" si="2"/>
        <v>219914.06</v>
      </c>
      <c r="D18" s="74">
        <v>30000</v>
      </c>
      <c r="E18" s="74">
        <v>0</v>
      </c>
      <c r="F18" s="74">
        <v>0</v>
      </c>
      <c r="G18" s="313">
        <f t="shared" si="0"/>
        <v>30000</v>
      </c>
      <c r="H18" s="334">
        <f>+G18+'[3]EVTOP-01'!$H$18</f>
        <v>219914.06</v>
      </c>
      <c r="I18" s="307" t="e">
        <f t="shared" si="1"/>
        <v>#DIV/0!</v>
      </c>
      <c r="J18" s="35"/>
    </row>
    <row r="19" spans="1:10" ht="16.5" customHeight="1">
      <c r="A19" s="28" t="s">
        <v>486</v>
      </c>
      <c r="B19" s="74">
        <v>0</v>
      </c>
      <c r="C19" s="75">
        <f t="shared" si="2"/>
        <v>533715.16</v>
      </c>
      <c r="D19" s="74">
        <v>0</v>
      </c>
      <c r="E19" s="74">
        <v>0</v>
      </c>
      <c r="F19" s="74">
        <v>0</v>
      </c>
      <c r="G19" s="313">
        <f t="shared" si="0"/>
        <v>0</v>
      </c>
      <c r="H19" s="158">
        <f>+G19+'[3]EVTOP-01'!$H$19</f>
        <v>533715.16</v>
      </c>
      <c r="I19" s="307" t="e">
        <f t="shared" si="1"/>
        <v>#DIV/0!</v>
      </c>
      <c r="J19" s="35"/>
    </row>
    <row r="20" spans="1:10" ht="16.5" customHeight="1">
      <c r="A20" s="28" t="s">
        <v>513</v>
      </c>
      <c r="B20" s="74">
        <v>0</v>
      </c>
      <c r="C20" s="75">
        <f t="shared" si="2"/>
        <v>150000</v>
      </c>
      <c r="D20" s="74"/>
      <c r="E20" s="74"/>
      <c r="F20" s="74">
        <v>150000</v>
      </c>
      <c r="G20" s="313">
        <f t="shared" si="0"/>
        <v>150000</v>
      </c>
      <c r="H20" s="158">
        <f>+G20</f>
        <v>150000</v>
      </c>
      <c r="I20" s="307"/>
      <c r="J20" s="35"/>
    </row>
    <row r="21" spans="1:10" ht="20.25" customHeight="1">
      <c r="A21" s="332" t="s">
        <v>510</v>
      </c>
      <c r="B21" s="74">
        <v>0</v>
      </c>
      <c r="C21" s="75">
        <f t="shared" si="2"/>
        <v>3759691</v>
      </c>
      <c r="D21" s="74"/>
      <c r="E21" s="74"/>
      <c r="F21" s="74">
        <v>3759691</v>
      </c>
      <c r="G21" s="313">
        <f t="shared" si="0"/>
        <v>3759691</v>
      </c>
      <c r="H21" s="158">
        <f>+G21</f>
        <v>3759691</v>
      </c>
      <c r="I21" s="307"/>
      <c r="J21" s="35"/>
    </row>
    <row r="22" spans="1:10" ht="16.5" customHeight="1">
      <c r="A22" s="28" t="s">
        <v>511</v>
      </c>
      <c r="B22" s="74">
        <v>0</v>
      </c>
      <c r="C22" s="75">
        <f t="shared" si="2"/>
        <v>328413.2</v>
      </c>
      <c r="D22" s="74"/>
      <c r="E22" s="74"/>
      <c r="F22" s="74">
        <v>328413.2</v>
      </c>
      <c r="G22" s="313">
        <f t="shared" si="0"/>
        <v>328413.2</v>
      </c>
      <c r="H22" s="158">
        <f>+G22</f>
        <v>328413.2</v>
      </c>
      <c r="I22" s="307"/>
      <c r="J22" s="35"/>
    </row>
    <row r="23" spans="1:10" ht="16.5" customHeight="1">
      <c r="A23" s="28" t="s">
        <v>512</v>
      </c>
      <c r="B23" s="74">
        <v>0</v>
      </c>
      <c r="C23" s="75">
        <f t="shared" si="2"/>
        <v>403307</v>
      </c>
      <c r="D23" s="74"/>
      <c r="E23" s="74"/>
      <c r="F23" s="74">
        <v>403307</v>
      </c>
      <c r="G23" s="313">
        <f t="shared" si="0"/>
        <v>403307</v>
      </c>
      <c r="H23" s="158">
        <f>+G23</f>
        <v>403307</v>
      </c>
      <c r="I23" s="307"/>
      <c r="J23" s="35"/>
    </row>
    <row r="24" spans="1:9" ht="17.25" customHeight="1">
      <c r="A24" s="262" t="s">
        <v>493</v>
      </c>
      <c r="B24" s="76">
        <v>0</v>
      </c>
      <c r="C24" s="76">
        <f t="shared" si="2"/>
        <v>0</v>
      </c>
      <c r="D24" s="76">
        <v>0</v>
      </c>
      <c r="E24" s="76">
        <v>0</v>
      </c>
      <c r="F24" s="76">
        <v>0</v>
      </c>
      <c r="G24" s="331">
        <f t="shared" si="0"/>
        <v>0</v>
      </c>
      <c r="H24" s="333">
        <f>+G24+'[3]EVTOP-01'!$H$20</f>
        <v>0</v>
      </c>
      <c r="I24" s="308" t="e">
        <f t="shared" si="1"/>
        <v>#DIV/0!</v>
      </c>
    </row>
    <row r="25" spans="1:9" ht="4.5" customHeight="1">
      <c r="A25" s="31"/>
      <c r="B25" s="77"/>
      <c r="C25" s="33"/>
      <c r="D25" s="33"/>
      <c r="E25" s="33"/>
      <c r="F25" s="33"/>
      <c r="G25" s="33"/>
      <c r="H25" s="33"/>
      <c r="I25" s="31"/>
    </row>
    <row r="26" spans="1:9" ht="12.75">
      <c r="A26" s="16" t="s">
        <v>3</v>
      </c>
      <c r="B26" s="78">
        <f>SUM(B12:B24)</f>
        <v>94501886</v>
      </c>
      <c r="C26" s="111">
        <f>SUM(C12:C24)</f>
        <v>104620732.98</v>
      </c>
      <c r="D26" s="78">
        <f>SUM(D11:D24)</f>
        <v>51200401.449999996</v>
      </c>
      <c r="E26" s="78">
        <f>SUM(E11:E24)</f>
        <v>55201924.620000005</v>
      </c>
      <c r="F26" s="78">
        <f>SUM(F11:F24)</f>
        <v>64467635.580000006</v>
      </c>
      <c r="G26" s="78">
        <f>SUM(G11:G24)</f>
        <v>81266295.28999999</v>
      </c>
      <c r="H26" s="34">
        <f>SUM(H12:H24)</f>
        <v>85226894.24000001</v>
      </c>
      <c r="I26" s="254">
        <f>+H26/B26</f>
        <v>0.9018538978153304</v>
      </c>
    </row>
    <row r="27" spans="1:9" ht="12.75">
      <c r="A27" s="263"/>
      <c r="B27" s="264"/>
      <c r="C27" s="265"/>
      <c r="D27" s="264"/>
      <c r="E27" s="264"/>
      <c r="F27" s="264"/>
      <c r="G27" s="264"/>
      <c r="H27" s="266"/>
      <c r="I27" s="267"/>
    </row>
    <row r="28" spans="1:9" ht="12.75">
      <c r="A28" s="263"/>
      <c r="B28" s="264"/>
      <c r="C28" s="265"/>
      <c r="D28" s="264"/>
      <c r="E28" s="264"/>
      <c r="F28" s="264"/>
      <c r="G28" s="264"/>
      <c r="H28" s="266"/>
      <c r="I28" s="267"/>
    </row>
    <row r="29" spans="1:9" ht="12.75">
      <c r="A29" s="263"/>
      <c r="B29" s="264"/>
      <c r="C29" s="265"/>
      <c r="D29" s="264"/>
      <c r="E29" s="264"/>
      <c r="F29" s="264"/>
      <c r="G29" s="264"/>
      <c r="H29" s="266"/>
      <c r="I29" s="267"/>
    </row>
    <row r="30" spans="1:9" ht="12.75">
      <c r="A30" s="263"/>
      <c r="B30" s="264"/>
      <c r="C30" s="265"/>
      <c r="D30" s="264"/>
      <c r="E30" s="264"/>
      <c r="F30" s="264"/>
      <c r="G30" s="264"/>
      <c r="H30" s="266"/>
      <c r="I30" s="267"/>
    </row>
    <row r="31" spans="1:9" ht="12.75">
      <c r="A31" s="263"/>
      <c r="B31" s="264"/>
      <c r="C31" s="265"/>
      <c r="D31" s="264"/>
      <c r="E31" s="264"/>
      <c r="F31" s="264"/>
      <c r="G31" s="264"/>
      <c r="H31" s="266"/>
      <c r="I31" s="267"/>
    </row>
    <row r="32" spans="1:9" ht="12.75">
      <c r="A32" s="263"/>
      <c r="B32" s="264"/>
      <c r="C32" s="265"/>
      <c r="D32" s="264"/>
      <c r="E32" s="264"/>
      <c r="F32" s="264"/>
      <c r="G32" s="264"/>
      <c r="H32" s="266"/>
      <c r="I32" s="267"/>
    </row>
    <row r="33" spans="1:9" ht="12.75">
      <c r="A33" s="263"/>
      <c r="B33" s="264"/>
      <c r="C33" s="265"/>
      <c r="D33" s="264"/>
      <c r="E33" s="264"/>
      <c r="F33" s="264"/>
      <c r="G33" s="264"/>
      <c r="H33" s="266"/>
      <c r="I33" s="267"/>
    </row>
    <row r="34" spans="1:9" ht="12.75">
      <c r="A34" s="263"/>
      <c r="B34" s="264"/>
      <c r="C34" s="265"/>
      <c r="D34" s="264"/>
      <c r="E34" s="264"/>
      <c r="F34" s="264"/>
      <c r="G34" s="264"/>
      <c r="H34" s="266"/>
      <c r="I34" s="267"/>
    </row>
    <row r="35" spans="1:9" ht="12.75">
      <c r="A35" s="263"/>
      <c r="B35" s="264"/>
      <c r="C35" s="265"/>
      <c r="D35" s="264"/>
      <c r="E35" s="264"/>
      <c r="F35" s="264"/>
      <c r="G35" s="264"/>
      <c r="H35" s="266"/>
      <c r="I35" s="267"/>
    </row>
    <row r="36" spans="1:9" ht="12.75">
      <c r="A36" s="263"/>
      <c r="B36" s="264"/>
      <c r="C36" s="265"/>
      <c r="D36" s="264"/>
      <c r="E36" s="264"/>
      <c r="F36" s="264"/>
      <c r="G36" s="264"/>
      <c r="H36" s="266"/>
      <c r="I36" s="267"/>
    </row>
    <row r="37" spans="1:9" ht="12.75">
      <c r="A37" s="263"/>
      <c r="B37" s="264"/>
      <c r="C37" s="265"/>
      <c r="D37" s="264"/>
      <c r="E37" s="264"/>
      <c r="F37" s="264"/>
      <c r="G37" s="264"/>
      <c r="H37" s="266"/>
      <c r="I37" s="267"/>
    </row>
    <row r="38" spans="1:9" ht="12.75">
      <c r="A38" s="263"/>
      <c r="B38" s="264"/>
      <c r="C38" s="265"/>
      <c r="D38" s="264"/>
      <c r="E38" s="264"/>
      <c r="F38" s="264"/>
      <c r="G38" s="264"/>
      <c r="H38" s="266"/>
      <c r="I38" s="267"/>
    </row>
    <row r="39" spans="1:9" ht="12.75">
      <c r="A39" s="263"/>
      <c r="B39" s="264"/>
      <c r="C39" s="265"/>
      <c r="D39" s="264"/>
      <c r="E39" s="264"/>
      <c r="F39" s="264"/>
      <c r="G39" s="264"/>
      <c r="H39" s="266"/>
      <c r="I39" s="267"/>
    </row>
    <row r="40" spans="1:9" ht="12.75">
      <c r="A40" s="263"/>
      <c r="B40" s="264"/>
      <c r="C40" s="265"/>
      <c r="D40" s="264"/>
      <c r="E40" s="264"/>
      <c r="F40" s="264"/>
      <c r="G40" s="264"/>
      <c r="H40" s="266"/>
      <c r="I40" s="267"/>
    </row>
    <row r="41" spans="1:9" ht="12.75">
      <c r="A41" s="2" t="s">
        <v>27</v>
      </c>
      <c r="B41" s="15" t="s">
        <v>159</v>
      </c>
      <c r="C41" s="15"/>
      <c r="D41" s="15"/>
      <c r="E41" s="15"/>
      <c r="F41" s="15" t="s">
        <v>17</v>
      </c>
      <c r="G41" s="40" t="s">
        <v>150</v>
      </c>
      <c r="H41" s="15"/>
      <c r="I41" s="15"/>
    </row>
    <row r="42" spans="1:9" ht="12.75">
      <c r="A42" s="348" t="s">
        <v>0</v>
      </c>
      <c r="B42" s="351" t="s">
        <v>21</v>
      </c>
      <c r="C42" s="348" t="s">
        <v>7</v>
      </c>
      <c r="D42" s="18" t="s">
        <v>22</v>
      </c>
      <c r="E42" s="19"/>
      <c r="F42" s="20"/>
      <c r="G42" s="20"/>
      <c r="H42" s="21"/>
      <c r="I42" s="351" t="s">
        <v>24</v>
      </c>
    </row>
    <row r="43" spans="1:9" ht="12.75">
      <c r="A43" s="350"/>
      <c r="B43" s="352"/>
      <c r="C43" s="349"/>
      <c r="D43" s="22" t="str">
        <f>+D10</f>
        <v>JULIO</v>
      </c>
      <c r="E43" s="22" t="str">
        <f>+E10</f>
        <v>AGOSTO</v>
      </c>
      <c r="F43" s="23" t="str">
        <f>+F10</f>
        <v>SEPTIEMBRE</v>
      </c>
      <c r="G43" s="23" t="s">
        <v>28</v>
      </c>
      <c r="H43" s="23" t="s">
        <v>1</v>
      </c>
      <c r="I43" s="352"/>
    </row>
    <row r="44" spans="1:9" ht="14.25" customHeight="1">
      <c r="A44" s="32" t="s">
        <v>5</v>
      </c>
      <c r="B44" s="32"/>
      <c r="C44" s="32"/>
      <c r="D44" s="32"/>
      <c r="E44" s="32" t="s">
        <v>150</v>
      </c>
      <c r="F44" s="32"/>
      <c r="G44" s="32"/>
      <c r="H44" s="32"/>
      <c r="I44" s="32"/>
    </row>
    <row r="45" spans="1:9" ht="16.5" customHeight="1">
      <c r="A45" s="29">
        <v>1000</v>
      </c>
      <c r="B45" s="74">
        <v>77402690</v>
      </c>
      <c r="C45" s="74">
        <v>77402690</v>
      </c>
      <c r="D45" s="74">
        <v>6400794.48</v>
      </c>
      <c r="E45" s="74">
        <v>4592084.96</v>
      </c>
      <c r="F45" s="74">
        <v>6540973.37</v>
      </c>
      <c r="G45" s="74">
        <f aca="true" t="shared" si="3" ref="G45:G57">SUM(D45:F45)</f>
        <v>17533852.810000002</v>
      </c>
      <c r="H45" s="74">
        <f>+G45+'[3]EVTOP-01'!$H$28</f>
        <v>48743330.75</v>
      </c>
      <c r="I45" s="41">
        <f>+H45/B45*100</f>
        <v>62.97369090144025</v>
      </c>
    </row>
    <row r="46" spans="1:9" ht="16.5" customHeight="1">
      <c r="A46" s="29">
        <v>2000</v>
      </c>
      <c r="B46" s="74">
        <v>3977454</v>
      </c>
      <c r="C46" s="74">
        <v>3977454</v>
      </c>
      <c r="D46" s="74">
        <v>104367.41</v>
      </c>
      <c r="E46" s="74">
        <v>230333.26</v>
      </c>
      <c r="F46" s="74">
        <v>343060.02</v>
      </c>
      <c r="G46" s="74">
        <f t="shared" si="3"/>
        <v>677760.6900000001</v>
      </c>
      <c r="H46" s="74">
        <f>+G46+'[3]EVTOP-01'!$H$29</f>
        <v>2472320.65</v>
      </c>
      <c r="I46" s="41">
        <f aca="true" t="shared" si="4" ref="I46:I59">+H46/B46*100</f>
        <v>62.15837191328926</v>
      </c>
    </row>
    <row r="47" spans="1:10" ht="16.5" customHeight="1">
      <c r="A47" s="29">
        <v>3000</v>
      </c>
      <c r="B47" s="74">
        <v>10137277</v>
      </c>
      <c r="C47" s="74">
        <v>10137277</v>
      </c>
      <c r="D47" s="74">
        <v>1613989.98</v>
      </c>
      <c r="E47" s="74">
        <v>1831434.3</v>
      </c>
      <c r="F47" s="74">
        <v>2527343.09</v>
      </c>
      <c r="G47" s="74">
        <f t="shared" si="3"/>
        <v>5972767.37</v>
      </c>
      <c r="H47" s="74">
        <f>+G47+'[3]EVTOP-01'!$H$30</f>
        <v>16161564.36</v>
      </c>
      <c r="I47" s="41">
        <f t="shared" si="4"/>
        <v>159.42707652163398</v>
      </c>
      <c r="J47" s="58">
        <f>SUM(C45:C47)</f>
        <v>91517421</v>
      </c>
    </row>
    <row r="48" spans="1:9" ht="16.5" customHeight="1">
      <c r="A48" s="29">
        <v>5000</v>
      </c>
      <c r="B48" s="74">
        <v>2984465</v>
      </c>
      <c r="C48" s="74">
        <f>2984465+C16</f>
        <v>7598185.62</v>
      </c>
      <c r="D48" s="74">
        <v>0</v>
      </c>
      <c r="E48" s="74">
        <v>0</v>
      </c>
      <c r="F48" s="74">
        <v>65505.56</v>
      </c>
      <c r="G48" s="74">
        <f t="shared" si="3"/>
        <v>65505.56</v>
      </c>
      <c r="H48" s="74">
        <f>+G48+'[3]EVTOP-01'!$H$31</f>
        <v>294118.95</v>
      </c>
      <c r="I48" s="41">
        <f t="shared" si="4"/>
        <v>9.854997461856648</v>
      </c>
    </row>
    <row r="49" spans="1:9" ht="16.5" customHeight="1">
      <c r="A49" s="29">
        <v>6000</v>
      </c>
      <c r="B49" s="74">
        <v>0</v>
      </c>
      <c r="C49" s="74">
        <v>0</v>
      </c>
      <c r="D49" s="74">
        <v>0</v>
      </c>
      <c r="E49" s="74">
        <v>0</v>
      </c>
      <c r="F49" s="74">
        <v>0</v>
      </c>
      <c r="G49" s="74">
        <f t="shared" si="3"/>
        <v>0</v>
      </c>
      <c r="H49" s="74">
        <f>+G49+'[3]EVTOP-01'!$H$32</f>
        <v>745727.6100000001</v>
      </c>
      <c r="I49" s="309" t="e">
        <f t="shared" si="4"/>
        <v>#DIV/0!</v>
      </c>
    </row>
    <row r="50" spans="1:9" ht="16.5" customHeight="1">
      <c r="A50" s="261" t="s">
        <v>490</v>
      </c>
      <c r="B50" s="74">
        <v>0</v>
      </c>
      <c r="C50" s="74">
        <f>+C17</f>
        <v>110085.94</v>
      </c>
      <c r="D50" s="74">
        <v>0</v>
      </c>
      <c r="E50" s="74">
        <v>0</v>
      </c>
      <c r="F50" s="74">
        <v>0</v>
      </c>
      <c r="G50" s="74">
        <f t="shared" si="3"/>
        <v>0</v>
      </c>
      <c r="H50" s="74">
        <f>+G50+'[3]EVTOP-01'!$H$33</f>
        <v>0</v>
      </c>
      <c r="I50" s="309" t="e">
        <f t="shared" si="4"/>
        <v>#DIV/0!</v>
      </c>
    </row>
    <row r="51" spans="1:9" ht="16.5" customHeight="1">
      <c r="A51" s="261" t="s">
        <v>491</v>
      </c>
      <c r="B51" s="74">
        <v>0</v>
      </c>
      <c r="C51" s="74">
        <f>+C18</f>
        <v>219914.06</v>
      </c>
      <c r="D51" s="74">
        <v>0</v>
      </c>
      <c r="E51" s="74">
        <v>0</v>
      </c>
      <c r="F51" s="74">
        <v>0</v>
      </c>
      <c r="G51" s="74">
        <f t="shared" si="3"/>
        <v>0</v>
      </c>
      <c r="H51" s="74">
        <f>+G51+'[3]EVTOP-01'!$H$34</f>
        <v>0</v>
      </c>
      <c r="I51" s="309" t="e">
        <f t="shared" si="4"/>
        <v>#DIV/0!</v>
      </c>
    </row>
    <row r="52" spans="1:9" ht="16.5" customHeight="1">
      <c r="A52" s="261" t="s">
        <v>486</v>
      </c>
      <c r="B52" s="74">
        <v>0</v>
      </c>
      <c r="C52" s="74">
        <f>+C19</f>
        <v>533715.16</v>
      </c>
      <c r="D52" s="74">
        <v>0</v>
      </c>
      <c r="E52" s="74">
        <v>0</v>
      </c>
      <c r="F52" s="74">
        <v>0</v>
      </c>
      <c r="G52" s="74">
        <f t="shared" si="3"/>
        <v>0</v>
      </c>
      <c r="H52" s="74">
        <f>+G52+'[3]EVTOP-01'!$H$35</f>
        <v>0</v>
      </c>
      <c r="I52" s="309" t="e">
        <f t="shared" si="4"/>
        <v>#DIV/0!</v>
      </c>
    </row>
    <row r="53" spans="1:9" ht="16.5" customHeight="1">
      <c r="A53" s="261" t="s">
        <v>513</v>
      </c>
      <c r="B53" s="74">
        <v>0</v>
      </c>
      <c r="C53" s="74">
        <v>150000</v>
      </c>
      <c r="D53" s="74">
        <v>0</v>
      </c>
      <c r="E53" s="74">
        <v>0</v>
      </c>
      <c r="F53" s="74">
        <v>0</v>
      </c>
      <c r="G53" s="74">
        <f t="shared" si="3"/>
        <v>0</v>
      </c>
      <c r="H53" s="74">
        <f>+G53</f>
        <v>0</v>
      </c>
      <c r="I53" s="309" t="e">
        <f t="shared" si="4"/>
        <v>#DIV/0!</v>
      </c>
    </row>
    <row r="54" spans="1:9" ht="16.5" customHeight="1">
      <c r="A54" s="261" t="s">
        <v>510</v>
      </c>
      <c r="B54" s="74">
        <v>0</v>
      </c>
      <c r="C54" s="74">
        <v>3759691</v>
      </c>
      <c r="D54" s="74">
        <v>0</v>
      </c>
      <c r="E54" s="74">
        <v>0</v>
      </c>
      <c r="F54" s="74">
        <v>0</v>
      </c>
      <c r="G54" s="74">
        <f t="shared" si="3"/>
        <v>0</v>
      </c>
      <c r="H54" s="74">
        <f>+G54</f>
        <v>0</v>
      </c>
      <c r="I54" s="309" t="e">
        <f t="shared" si="4"/>
        <v>#DIV/0!</v>
      </c>
    </row>
    <row r="55" spans="1:9" ht="16.5" customHeight="1">
      <c r="A55" s="261" t="s">
        <v>511</v>
      </c>
      <c r="B55" s="74">
        <v>0</v>
      </c>
      <c r="C55" s="74">
        <v>328413</v>
      </c>
      <c r="D55" s="74">
        <v>0</v>
      </c>
      <c r="E55" s="74">
        <v>0</v>
      </c>
      <c r="F55" s="74">
        <v>0</v>
      </c>
      <c r="G55" s="74">
        <f t="shared" si="3"/>
        <v>0</v>
      </c>
      <c r="H55" s="74">
        <f>+G55</f>
        <v>0</v>
      </c>
      <c r="I55" s="309" t="e">
        <f t="shared" si="4"/>
        <v>#DIV/0!</v>
      </c>
    </row>
    <row r="56" spans="1:9" ht="16.5" customHeight="1">
      <c r="A56" s="261" t="s">
        <v>512</v>
      </c>
      <c r="B56" s="74">
        <v>0</v>
      </c>
      <c r="C56" s="74">
        <v>403307</v>
      </c>
      <c r="D56" s="74">
        <v>0</v>
      </c>
      <c r="E56" s="74">
        <v>0</v>
      </c>
      <c r="F56" s="74">
        <v>0</v>
      </c>
      <c r="G56" s="74">
        <f t="shared" si="3"/>
        <v>0</v>
      </c>
      <c r="H56" s="74">
        <f>+G56</f>
        <v>0</v>
      </c>
      <c r="I56" s="309" t="e">
        <f t="shared" si="4"/>
        <v>#DIV/0!</v>
      </c>
    </row>
    <row r="57" spans="1:9" ht="16.5" customHeight="1">
      <c r="A57" s="260" t="s">
        <v>514</v>
      </c>
      <c r="B57" s="102">
        <v>0</v>
      </c>
      <c r="C57" s="76">
        <v>0</v>
      </c>
      <c r="D57" s="102">
        <v>0</v>
      </c>
      <c r="E57" s="102">
        <v>0</v>
      </c>
      <c r="F57" s="102">
        <v>0</v>
      </c>
      <c r="G57" s="102">
        <f t="shared" si="3"/>
        <v>0</v>
      </c>
      <c r="H57" s="102">
        <f>+G57+'[3]EVTOP-01'!$H$36</f>
        <v>0</v>
      </c>
      <c r="I57" s="310" t="e">
        <f t="shared" si="4"/>
        <v>#DIV/0!</v>
      </c>
    </row>
    <row r="58" spans="1:9" ht="9" customHeight="1">
      <c r="A58" s="15"/>
      <c r="B58" s="40"/>
      <c r="C58" s="40"/>
      <c r="D58" s="40"/>
      <c r="E58" s="40"/>
      <c r="F58" s="40"/>
      <c r="G58" s="40"/>
      <c r="H58" s="40"/>
      <c r="I58" s="166"/>
    </row>
    <row r="59" spans="1:9" ht="12.75">
      <c r="A59" s="16" t="s">
        <v>3</v>
      </c>
      <c r="B59" s="269">
        <f aca="true" t="shared" si="5" ref="B59:H59">SUM(B45:B57)</f>
        <v>94501886</v>
      </c>
      <c r="C59" s="270">
        <f>SUM(C45:C57)</f>
        <v>104620732.78</v>
      </c>
      <c r="D59" s="269">
        <f t="shared" si="5"/>
        <v>8119151.870000001</v>
      </c>
      <c r="E59" s="269">
        <f>SUM(E45:E57)</f>
        <v>6653852.52</v>
      </c>
      <c r="F59" s="269">
        <f t="shared" si="5"/>
        <v>9476882.040000001</v>
      </c>
      <c r="G59" s="269">
        <f t="shared" si="5"/>
        <v>24249886.430000003</v>
      </c>
      <c r="H59" s="321">
        <f t="shared" si="5"/>
        <v>68417062.32</v>
      </c>
      <c r="I59" s="275">
        <f t="shared" si="4"/>
        <v>72.39756285922167</v>
      </c>
    </row>
    <row r="60" spans="1:9" ht="6" customHeight="1">
      <c r="A60" s="15"/>
      <c r="B60" s="40"/>
      <c r="C60" s="40"/>
      <c r="D60" s="40"/>
      <c r="E60" s="40"/>
      <c r="F60" s="40"/>
      <c r="G60" s="40"/>
      <c r="H60" s="40"/>
      <c r="I60" s="15"/>
    </row>
    <row r="61" spans="1:9" ht="12.75">
      <c r="A61" s="17" t="s">
        <v>25</v>
      </c>
      <c r="B61" s="272"/>
      <c r="C61" s="272"/>
      <c r="D61" s="273">
        <f>+D26-D59</f>
        <v>43081249.58</v>
      </c>
      <c r="E61" s="273">
        <f>+E26-E59</f>
        <v>48548072.10000001</v>
      </c>
      <c r="F61" s="273">
        <f>+F26-F59</f>
        <v>54990753.54000001</v>
      </c>
      <c r="G61" s="273">
        <f>+G26-G59</f>
        <v>57016408.859999985</v>
      </c>
      <c r="H61" s="272"/>
      <c r="I61" s="274"/>
    </row>
    <row r="62" spans="1:9" ht="12.75">
      <c r="A62" s="11"/>
      <c r="B62" s="336"/>
      <c r="C62" s="336"/>
      <c r="D62" s="335"/>
      <c r="E62" s="335"/>
      <c r="F62" s="335"/>
      <c r="G62" s="335"/>
      <c r="H62" s="336"/>
      <c r="I62" s="337"/>
    </row>
    <row r="63" spans="1:9" ht="12.75">
      <c r="A63" s="11"/>
      <c r="B63" s="336"/>
      <c r="C63" s="336"/>
      <c r="D63" s="335"/>
      <c r="E63" s="335"/>
      <c r="F63" s="335"/>
      <c r="G63" s="335"/>
      <c r="H63" s="336"/>
      <c r="I63" s="337"/>
    </row>
    <row r="64" spans="1:9" ht="12.75">
      <c r="A64" s="11"/>
      <c r="B64" s="336"/>
      <c r="C64" s="336"/>
      <c r="D64" s="335"/>
      <c r="E64" s="335"/>
      <c r="F64" s="335"/>
      <c r="G64" s="335"/>
      <c r="H64" s="336"/>
      <c r="I64" s="337"/>
    </row>
    <row r="65" spans="1:9" ht="12.75">
      <c r="A65" s="11"/>
      <c r="B65" s="336"/>
      <c r="C65" s="336"/>
      <c r="D65" s="335"/>
      <c r="E65" s="335"/>
      <c r="F65" s="335"/>
      <c r="G65" s="335"/>
      <c r="H65" s="336"/>
      <c r="I65" s="337"/>
    </row>
    <row r="66" spans="1:9" ht="12.75">
      <c r="A66" s="11"/>
      <c r="B66" s="336"/>
      <c r="C66" s="336"/>
      <c r="D66" s="335"/>
      <c r="E66" s="335"/>
      <c r="F66" s="335"/>
      <c r="G66" s="335"/>
      <c r="H66" s="336"/>
      <c r="I66" s="337"/>
    </row>
    <row r="67" spans="1:9" ht="12.75">
      <c r="A67" s="11"/>
      <c r="B67" s="336"/>
      <c r="C67" s="336"/>
      <c r="D67" s="335"/>
      <c r="E67" s="335"/>
      <c r="F67" s="335"/>
      <c r="G67" s="335"/>
      <c r="H67" s="336"/>
      <c r="I67" s="337"/>
    </row>
    <row r="68" spans="1:9" ht="12.75">
      <c r="A68" s="11"/>
      <c r="B68" s="336"/>
      <c r="C68" s="336"/>
      <c r="D68" s="335"/>
      <c r="E68" s="335"/>
      <c r="F68" s="335"/>
      <c r="G68" s="335"/>
      <c r="H68" s="336"/>
      <c r="I68" s="337"/>
    </row>
    <row r="69" spans="1:9" ht="12.75">
      <c r="A69" s="11"/>
      <c r="B69" s="336"/>
      <c r="C69" s="336"/>
      <c r="D69" s="335"/>
      <c r="E69" s="335"/>
      <c r="F69" s="335"/>
      <c r="G69" s="335"/>
      <c r="H69" s="336"/>
      <c r="I69" s="337"/>
    </row>
    <row r="70" spans="1:9" ht="12.75">
      <c r="A70" s="11"/>
      <c r="B70" s="336"/>
      <c r="C70" s="336"/>
      <c r="D70" s="335"/>
      <c r="E70" s="335"/>
      <c r="F70" s="335"/>
      <c r="G70" s="335"/>
      <c r="H70" s="336"/>
      <c r="I70" s="337"/>
    </row>
    <row r="71" spans="1:9" ht="12.75">
      <c r="A71" s="11"/>
      <c r="B71" s="336"/>
      <c r="C71" s="336"/>
      <c r="D71" s="335"/>
      <c r="E71" s="335"/>
      <c r="F71" s="335"/>
      <c r="G71" s="335"/>
      <c r="H71" s="336"/>
      <c r="I71" s="337"/>
    </row>
    <row r="72" ht="6" customHeight="1"/>
    <row r="73" spans="1:9" ht="12.75">
      <c r="A73" s="2" t="s">
        <v>26</v>
      </c>
      <c r="B73" s="15"/>
      <c r="C73" s="15"/>
      <c r="D73" s="15"/>
      <c r="E73" s="15"/>
      <c r="F73" s="15" t="s">
        <v>17</v>
      </c>
      <c r="G73" s="15"/>
      <c r="H73" s="15"/>
      <c r="I73" s="15"/>
    </row>
    <row r="74" spans="1:9" ht="17.25" customHeight="1">
      <c r="A74" s="348" t="s">
        <v>0</v>
      </c>
      <c r="B74" s="351" t="s">
        <v>21</v>
      </c>
      <c r="C74" s="348" t="s">
        <v>7</v>
      </c>
      <c r="D74" s="18" t="s">
        <v>22</v>
      </c>
      <c r="E74" s="19"/>
      <c r="F74" s="20"/>
      <c r="G74" s="20"/>
      <c r="H74" s="21"/>
      <c r="I74" s="351" t="s">
        <v>24</v>
      </c>
    </row>
    <row r="75" spans="1:9" ht="19.5" customHeight="1">
      <c r="A75" s="350"/>
      <c r="B75" s="352"/>
      <c r="C75" s="349"/>
      <c r="D75" s="22" t="str">
        <f>+D10</f>
        <v>JULIO</v>
      </c>
      <c r="E75" s="22" t="str">
        <f>+E10</f>
        <v>AGOSTO</v>
      </c>
      <c r="F75" s="268" t="str">
        <f>+F10</f>
        <v>SEPTIEMBRE</v>
      </c>
      <c r="G75" s="268" t="s">
        <v>28</v>
      </c>
      <c r="H75" s="268" t="s">
        <v>1</v>
      </c>
      <c r="I75" s="352"/>
    </row>
    <row r="76" spans="1:9" ht="9.75" customHeight="1">
      <c r="A76" s="32" t="s">
        <v>5</v>
      </c>
      <c r="B76" s="32"/>
      <c r="C76" s="32"/>
      <c r="D76" s="104"/>
      <c r="E76" s="104"/>
      <c r="F76" s="104"/>
      <c r="G76" s="104"/>
      <c r="H76" s="104"/>
      <c r="I76" s="32"/>
    </row>
    <row r="77" spans="1:10" ht="12.75">
      <c r="A77" s="29">
        <v>1000</v>
      </c>
      <c r="B77" s="74">
        <v>1390895</v>
      </c>
      <c r="C77" s="74">
        <v>1390895</v>
      </c>
      <c r="D77" s="74">
        <v>0</v>
      </c>
      <c r="E77" s="74">
        <v>1700</v>
      </c>
      <c r="F77" s="74">
        <v>61322.26</v>
      </c>
      <c r="G77" s="74">
        <f>+D77+E77+F77</f>
        <v>63022.26</v>
      </c>
      <c r="H77" s="74">
        <f>+G77+'[3]EVTOP-01'!$H$47</f>
        <v>192724.62</v>
      </c>
      <c r="I77" s="65">
        <f>+H77/B77*100</f>
        <v>13.85615880422318</v>
      </c>
      <c r="J77" s="35"/>
    </row>
    <row r="78" spans="1:10" ht="12.75">
      <c r="A78" s="29">
        <v>2000</v>
      </c>
      <c r="B78" s="74">
        <v>692725</v>
      </c>
      <c r="C78" s="74">
        <v>692725</v>
      </c>
      <c r="D78" s="74">
        <v>0</v>
      </c>
      <c r="E78" s="74">
        <v>24565.99</v>
      </c>
      <c r="F78" s="74">
        <v>49347.23</v>
      </c>
      <c r="G78" s="74">
        <f>+D78+E78+F78</f>
        <v>73913.22</v>
      </c>
      <c r="H78" s="313">
        <f>+G78+'[3]EVTOP-01'!$H$48</f>
        <v>686168.2</v>
      </c>
      <c r="I78" s="65">
        <f>+H78/B78*100</f>
        <v>99.0534772095709</v>
      </c>
      <c r="J78" s="35"/>
    </row>
    <row r="79" spans="1:10" ht="12.75">
      <c r="A79" s="29">
        <v>3000</v>
      </c>
      <c r="B79" s="74">
        <v>981915</v>
      </c>
      <c r="C79" s="74">
        <v>981915</v>
      </c>
      <c r="D79" s="74">
        <v>8330</v>
      </c>
      <c r="E79" s="74">
        <v>86505.6</v>
      </c>
      <c r="F79" s="74">
        <v>222043.9</v>
      </c>
      <c r="G79" s="74">
        <f>+D79+E79+F79</f>
        <v>316879.5</v>
      </c>
      <c r="H79" s="74">
        <f>+G79+'[3]EVTOP-01'!$H$49</f>
        <v>2090102.5699999998</v>
      </c>
      <c r="I79" s="65">
        <f>+H79/B79*100</f>
        <v>212.8598269707663</v>
      </c>
      <c r="J79" s="35"/>
    </row>
    <row r="80" spans="1:10" ht="12.75">
      <c r="A80" s="29">
        <v>4000</v>
      </c>
      <c r="B80" s="74" t="s">
        <v>150</v>
      </c>
      <c r="C80" s="74"/>
      <c r="D80" s="74" t="s">
        <v>150</v>
      </c>
      <c r="E80" s="74" t="s">
        <v>150</v>
      </c>
      <c r="F80" s="74">
        <v>0</v>
      </c>
      <c r="G80" s="74"/>
      <c r="H80" s="74" t="s">
        <v>150</v>
      </c>
      <c r="I80" s="65"/>
      <c r="J80" s="35"/>
    </row>
    <row r="81" spans="1:10" ht="12.75">
      <c r="A81" s="29">
        <v>5000</v>
      </c>
      <c r="B81" s="74">
        <v>2984465</v>
      </c>
      <c r="C81" s="74">
        <f>2984465+C16</f>
        <v>7598185.62</v>
      </c>
      <c r="D81" s="74">
        <v>0</v>
      </c>
      <c r="E81" s="74">
        <v>0</v>
      </c>
      <c r="F81" s="74">
        <v>65505.56</v>
      </c>
      <c r="G81" s="74">
        <f>+D81+E81+F81</f>
        <v>65505.56</v>
      </c>
      <c r="H81" s="74">
        <f>+G81+'[3]EVTOP-01'!$H$51</f>
        <v>294118.95</v>
      </c>
      <c r="I81" s="65">
        <f>+H81/B81*100</f>
        <v>9.854997461856648</v>
      </c>
      <c r="J81" s="35"/>
    </row>
    <row r="82" spans="1:9" ht="12.75">
      <c r="A82" s="29">
        <v>6000</v>
      </c>
      <c r="B82" s="74">
        <v>0</v>
      </c>
      <c r="C82" s="74">
        <v>0</v>
      </c>
      <c r="D82" s="74">
        <v>0</v>
      </c>
      <c r="E82" s="74">
        <v>0</v>
      </c>
      <c r="F82" s="74">
        <v>0</v>
      </c>
      <c r="G82" s="74">
        <f>+D82+E82+F82</f>
        <v>0</v>
      </c>
      <c r="H82" s="74">
        <f>+G82+'[3]EVTOP-01'!$H$52</f>
        <v>745727.6100000001</v>
      </c>
      <c r="I82" s="311" t="e">
        <f>+H82/B82*100</f>
        <v>#DIV/0!</v>
      </c>
    </row>
    <row r="83" spans="1:9" ht="12.75">
      <c r="A83" s="38" t="s">
        <v>3</v>
      </c>
      <c r="B83" s="269">
        <f aca="true" t="shared" si="6" ref="B83:G83">SUM(B77:B82)</f>
        <v>6050000</v>
      </c>
      <c r="C83" s="269">
        <f t="shared" si="6"/>
        <v>10663720.620000001</v>
      </c>
      <c r="D83" s="269">
        <f t="shared" si="6"/>
        <v>8330</v>
      </c>
      <c r="E83" s="269">
        <f t="shared" si="6"/>
        <v>112771.59000000001</v>
      </c>
      <c r="F83" s="269">
        <f t="shared" si="6"/>
        <v>398218.95</v>
      </c>
      <c r="G83" s="270">
        <f t="shared" si="6"/>
        <v>519320.54</v>
      </c>
      <c r="H83" s="270">
        <f>+G83+'[2]EVTOP-01'!$H$57</f>
        <v>1874977.9500000002</v>
      </c>
      <c r="I83" s="271">
        <f>+H83/B83*100</f>
        <v>30.99137107438017</v>
      </c>
    </row>
    <row r="84" spans="1:9" ht="12.7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2.75">
      <c r="A85" s="31"/>
      <c r="B85" s="31"/>
      <c r="C85" s="31"/>
      <c r="D85" s="31"/>
      <c r="E85" s="31"/>
      <c r="F85" s="31"/>
      <c r="G85" s="135" t="s">
        <v>150</v>
      </c>
      <c r="H85" s="31"/>
      <c r="I85" s="31"/>
    </row>
    <row r="86" spans="1:9" ht="12.7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2.75">
      <c r="A90" s="31"/>
      <c r="B90" s="31"/>
      <c r="C90" s="31"/>
      <c r="D90" s="31"/>
      <c r="E90" s="31"/>
      <c r="F90" s="31"/>
      <c r="G90" s="31"/>
      <c r="H90" s="31"/>
      <c r="I90" s="31"/>
    </row>
    <row r="92" spans="1:8" ht="12.75">
      <c r="A92" s="10"/>
      <c r="B92" s="10"/>
      <c r="H92" s="10"/>
    </row>
    <row r="93" spans="1:9" ht="12.75">
      <c r="A93" s="347"/>
      <c r="B93" s="347"/>
      <c r="C93" s="347"/>
      <c r="F93" s="347"/>
      <c r="G93" s="347"/>
      <c r="H93" s="347"/>
      <c r="I93" s="347"/>
    </row>
    <row r="94" spans="1:9" ht="15">
      <c r="A94" s="354" t="s">
        <v>150</v>
      </c>
      <c r="B94" s="354"/>
      <c r="C94" s="354"/>
      <c r="F94" s="354" t="s">
        <v>150</v>
      </c>
      <c r="G94" s="354"/>
      <c r="H94" s="354"/>
      <c r="I94" s="354"/>
    </row>
    <row r="95" spans="1:9" ht="12.75">
      <c r="A95" s="347" t="s">
        <v>150</v>
      </c>
      <c r="B95" s="347"/>
      <c r="C95" s="347"/>
      <c r="F95" s="355" t="s">
        <v>150</v>
      </c>
      <c r="G95" s="355"/>
      <c r="H95" s="355"/>
      <c r="I95" s="355"/>
    </row>
  </sheetData>
  <sheetProtection/>
  <mergeCells count="23">
    <mergeCell ref="A94:C94"/>
    <mergeCell ref="A95:C95"/>
    <mergeCell ref="F94:I94"/>
    <mergeCell ref="F95:I95"/>
    <mergeCell ref="G5:I5"/>
    <mergeCell ref="A6:I6"/>
    <mergeCell ref="C42:C43"/>
    <mergeCell ref="I9:I10"/>
    <mergeCell ref="B9:B10"/>
    <mergeCell ref="I74:I75"/>
    <mergeCell ref="A1:I1"/>
    <mergeCell ref="A2:I2"/>
    <mergeCell ref="A3:I3"/>
    <mergeCell ref="A42:A43"/>
    <mergeCell ref="C9:C10"/>
    <mergeCell ref="I42:I43"/>
    <mergeCell ref="B42:B43"/>
    <mergeCell ref="A93:C93"/>
    <mergeCell ref="F93:I93"/>
    <mergeCell ref="A9:A10"/>
    <mergeCell ref="A74:A75"/>
    <mergeCell ref="B74:B75"/>
    <mergeCell ref="C74:C75"/>
  </mergeCells>
  <printOptions horizontalCentered="1"/>
  <pageMargins left="0.4724409448818898" right="0.4724409448818898" top="1.2598425196850394" bottom="0.1968503937007874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3.8515625" style="0" customWidth="1"/>
    <col min="2" max="2" width="13.140625" style="0" customWidth="1"/>
    <col min="3" max="3" width="19.28125" style="0" customWidth="1"/>
    <col min="4" max="4" width="15.7109375" style="0" customWidth="1"/>
    <col min="5" max="5" width="43.421875" style="0" customWidth="1"/>
    <col min="6" max="6" width="22.57421875" style="0" customWidth="1"/>
    <col min="7" max="7" width="13.8515625" style="0" bestFit="1" customWidth="1"/>
  </cols>
  <sheetData>
    <row r="1" spans="5:6" ht="12.75">
      <c r="E1" s="10"/>
      <c r="F1" s="5" t="s">
        <v>185</v>
      </c>
    </row>
    <row r="2" spans="1:6" ht="12.75">
      <c r="A2" s="258" t="s">
        <v>18</v>
      </c>
      <c r="B2" s="4"/>
      <c r="C2" s="4"/>
      <c r="D2" s="4"/>
      <c r="E2" s="4"/>
      <c r="F2" s="4"/>
    </row>
    <row r="3" spans="1:6" ht="12.75">
      <c r="A3" s="258" t="s">
        <v>14</v>
      </c>
      <c r="B3" s="4"/>
      <c r="C3" s="4"/>
      <c r="D3" s="4"/>
      <c r="E3" s="4"/>
      <c r="F3" s="4"/>
    </row>
    <row r="4" spans="1:6" ht="12.75">
      <c r="A4" s="258" t="s">
        <v>8</v>
      </c>
      <c r="B4" s="4"/>
      <c r="C4" s="4"/>
      <c r="D4" s="4"/>
      <c r="E4" s="4"/>
      <c r="F4" s="4"/>
    </row>
    <row r="5" spans="1:6" ht="7.5" customHeight="1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365" t="s">
        <v>498</v>
      </c>
      <c r="F6" s="365"/>
    </row>
    <row r="7" spans="1:6" ht="17.25" customHeight="1">
      <c r="A7" s="258" t="s">
        <v>34</v>
      </c>
      <c r="B7" s="4"/>
      <c r="C7" s="4"/>
      <c r="D7" s="4"/>
      <c r="E7" s="4"/>
      <c r="F7" s="4"/>
    </row>
    <row r="8" ht="6" customHeight="1"/>
    <row r="9" spans="2:6" ht="21.75" customHeight="1">
      <c r="B9" s="174" t="s">
        <v>31</v>
      </c>
      <c r="C9" s="174" t="s">
        <v>32</v>
      </c>
      <c r="D9" s="366" t="s">
        <v>0</v>
      </c>
      <c r="E9" s="367"/>
      <c r="F9" s="174" t="s">
        <v>33</v>
      </c>
    </row>
    <row r="10" spans="2:6" s="6" customFormat="1" ht="19.5" customHeight="1">
      <c r="B10" s="113">
        <v>40725</v>
      </c>
      <c r="C10" s="114">
        <v>28404</v>
      </c>
      <c r="D10" s="322" t="s">
        <v>495</v>
      </c>
      <c r="E10" s="325"/>
      <c r="F10" s="136">
        <v>1608065</v>
      </c>
    </row>
    <row r="11" spans="1:6" s="6" customFormat="1" ht="19.5" customHeight="1">
      <c r="A11" s="51" t="s">
        <v>150</v>
      </c>
      <c r="B11" s="115">
        <v>40725</v>
      </c>
      <c r="C11" s="116">
        <v>28405</v>
      </c>
      <c r="D11" s="323" t="s">
        <v>495</v>
      </c>
      <c r="E11" s="324"/>
      <c r="F11" s="137">
        <v>190420</v>
      </c>
    </row>
    <row r="12" spans="2:6" s="6" customFormat="1" ht="19.5" customHeight="1">
      <c r="B12" s="115">
        <v>40725</v>
      </c>
      <c r="C12" s="116">
        <v>28409</v>
      </c>
      <c r="D12" s="323" t="s">
        <v>496</v>
      </c>
      <c r="E12" s="324"/>
      <c r="F12" s="136">
        <v>1608065</v>
      </c>
    </row>
    <row r="13" spans="2:6" s="6" customFormat="1" ht="19.5" customHeight="1">
      <c r="B13" s="115">
        <v>40725</v>
      </c>
      <c r="C13" s="116">
        <v>28514</v>
      </c>
      <c r="D13" s="361" t="s">
        <v>496</v>
      </c>
      <c r="E13" s="362"/>
      <c r="F13" s="136">
        <v>190420</v>
      </c>
    </row>
    <row r="14" spans="2:6" s="6" customFormat="1" ht="19.5" customHeight="1">
      <c r="B14" s="115">
        <v>40757</v>
      </c>
      <c r="C14" s="116">
        <v>34304</v>
      </c>
      <c r="D14" s="368" t="s">
        <v>504</v>
      </c>
      <c r="E14" s="369"/>
      <c r="F14" s="136">
        <v>1608065</v>
      </c>
    </row>
    <row r="15" spans="2:6" s="6" customFormat="1" ht="19.5" customHeight="1">
      <c r="B15" s="115">
        <v>40757</v>
      </c>
      <c r="C15" s="116">
        <v>34313</v>
      </c>
      <c r="D15" s="361" t="s">
        <v>504</v>
      </c>
      <c r="E15" s="362"/>
      <c r="F15" s="136">
        <v>190420</v>
      </c>
    </row>
    <row r="16" spans="2:6" s="6" customFormat="1" ht="19.5" customHeight="1">
      <c r="B16" s="115">
        <v>40758</v>
      </c>
      <c r="C16" s="116">
        <v>34315</v>
      </c>
      <c r="D16" s="361" t="s">
        <v>505</v>
      </c>
      <c r="E16" s="362"/>
      <c r="F16" s="136">
        <v>1608065</v>
      </c>
    </row>
    <row r="17" spans="2:6" s="6" customFormat="1" ht="19.5" customHeight="1">
      <c r="B17" s="115">
        <v>40758</v>
      </c>
      <c r="C17" s="116">
        <v>34316</v>
      </c>
      <c r="D17" s="361" t="s">
        <v>505</v>
      </c>
      <c r="E17" s="362"/>
      <c r="F17" s="137">
        <v>190420</v>
      </c>
    </row>
    <row r="18" spans="2:7" s="6" customFormat="1" ht="19.5" customHeight="1">
      <c r="B18" s="115">
        <v>40805</v>
      </c>
      <c r="C18" s="116">
        <v>38799</v>
      </c>
      <c r="D18" s="361" t="s">
        <v>506</v>
      </c>
      <c r="E18" s="362"/>
      <c r="F18" s="137">
        <v>1793565</v>
      </c>
      <c r="G18" s="344" t="s">
        <v>150</v>
      </c>
    </row>
    <row r="19" spans="2:6" s="6" customFormat="1" ht="19.5" customHeight="1">
      <c r="B19" s="175">
        <v>40805</v>
      </c>
      <c r="C19" s="116">
        <v>38804</v>
      </c>
      <c r="D19" s="368" t="s">
        <v>506</v>
      </c>
      <c r="E19" s="369"/>
      <c r="F19" s="137">
        <v>190420</v>
      </c>
    </row>
    <row r="20" spans="2:6" s="6" customFormat="1" ht="19.5" customHeight="1">
      <c r="B20" s="175">
        <v>40805</v>
      </c>
      <c r="C20" s="116">
        <v>38809</v>
      </c>
      <c r="D20" s="361" t="s">
        <v>507</v>
      </c>
      <c r="E20" s="362"/>
      <c r="F20" s="136">
        <v>1793565</v>
      </c>
    </row>
    <row r="21" spans="2:6" s="6" customFormat="1" ht="19.5" customHeight="1">
      <c r="B21" s="175">
        <v>40805</v>
      </c>
      <c r="C21" s="116">
        <v>38811</v>
      </c>
      <c r="D21" s="361" t="s">
        <v>507</v>
      </c>
      <c r="E21" s="362"/>
      <c r="F21" s="136">
        <v>190420</v>
      </c>
    </row>
    <row r="22" spans="2:6" s="6" customFormat="1" ht="18" customHeight="1">
      <c r="B22" s="115">
        <v>40815</v>
      </c>
      <c r="C22" s="116">
        <v>45808</v>
      </c>
      <c r="D22" s="361" t="s">
        <v>508</v>
      </c>
      <c r="E22" s="362"/>
      <c r="F22" s="326">
        <v>1634565</v>
      </c>
    </row>
    <row r="23" spans="2:6" s="6" customFormat="1" ht="19.5" customHeight="1">
      <c r="B23" s="115">
        <v>40815</v>
      </c>
      <c r="C23" s="116">
        <v>45812</v>
      </c>
      <c r="D23" s="361" t="s">
        <v>508</v>
      </c>
      <c r="E23" s="370"/>
      <c r="F23" s="326">
        <v>190420</v>
      </c>
    </row>
    <row r="24" spans="2:6" ht="22.5" customHeight="1">
      <c r="B24" s="67"/>
      <c r="C24" s="67"/>
      <c r="D24" s="363" t="s">
        <v>3</v>
      </c>
      <c r="E24" s="364"/>
      <c r="F24" s="327">
        <f>SUM(F10:F23)</f>
        <v>12986895</v>
      </c>
    </row>
    <row r="30" spans="2:6" ht="12.75">
      <c r="B30" s="355"/>
      <c r="C30" s="355"/>
      <c r="D30" s="355"/>
      <c r="E30" s="355" t="s">
        <v>150</v>
      </c>
      <c r="F30" s="355"/>
    </row>
    <row r="31" spans="2:6" ht="15">
      <c r="B31" s="360" t="s">
        <v>150</v>
      </c>
      <c r="C31" s="360"/>
      <c r="D31" s="360"/>
      <c r="E31" s="355" t="s">
        <v>150</v>
      </c>
      <c r="F31" s="355"/>
    </row>
    <row r="32" spans="2:6" ht="12.75">
      <c r="B32" s="355" t="s">
        <v>150</v>
      </c>
      <c r="C32" s="355"/>
      <c r="D32" s="355"/>
      <c r="E32" s="355" t="s">
        <v>150</v>
      </c>
      <c r="F32" s="355"/>
    </row>
    <row r="34" ht="12.75">
      <c r="D34">
        <f>SUM(G19)</f>
        <v>0</v>
      </c>
    </row>
  </sheetData>
  <sheetProtection/>
  <mergeCells count="20">
    <mergeCell ref="D24:E24"/>
    <mergeCell ref="E6:F6"/>
    <mergeCell ref="D9:E9"/>
    <mergeCell ref="D15:E15"/>
    <mergeCell ref="D14:E14"/>
    <mergeCell ref="D23:E23"/>
    <mergeCell ref="D19:E19"/>
    <mergeCell ref="D20:E20"/>
    <mergeCell ref="D21:E21"/>
    <mergeCell ref="D22:E22"/>
    <mergeCell ref="B31:D31"/>
    <mergeCell ref="B32:D32"/>
    <mergeCell ref="E31:F31"/>
    <mergeCell ref="E32:F32"/>
    <mergeCell ref="D17:E17"/>
    <mergeCell ref="D13:E13"/>
    <mergeCell ref="B30:D30"/>
    <mergeCell ref="E30:F30"/>
    <mergeCell ref="D16:E16"/>
    <mergeCell ref="D18:E18"/>
  </mergeCells>
  <printOptions horizontalCentered="1"/>
  <pageMargins left="0.4724409448818898" right="0.4724409448818898" top="0.6299212598425197" bottom="0.31496062992125984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Q235"/>
  <sheetViews>
    <sheetView tabSelected="1" zoomScale="115" zoomScaleNormal="115" zoomScalePageLayoutView="0" workbookViewId="0" topLeftCell="A1">
      <selection activeCell="F180" sqref="F180"/>
    </sheetView>
  </sheetViews>
  <sheetFormatPr defaultColWidth="11.421875" defaultRowHeight="12.75"/>
  <cols>
    <col min="1" max="1" width="13.421875" style="0" customWidth="1"/>
    <col min="2" max="2" width="41.7109375" style="0" customWidth="1"/>
    <col min="3" max="3" width="12.57421875" style="14" customWidth="1"/>
    <col min="4" max="4" width="14.7109375" style="0" hidden="1" customWidth="1"/>
    <col min="5" max="5" width="4.7109375" style="42" hidden="1" customWidth="1"/>
    <col min="6" max="6" width="13.28125" style="14" customWidth="1"/>
    <col min="7" max="7" width="12.140625" style="0" customWidth="1"/>
    <col min="8" max="8" width="12.00390625" style="0" customWidth="1"/>
    <col min="9" max="9" width="9.28125" style="14" customWidth="1"/>
    <col min="10" max="10" width="11.140625" style="0" customWidth="1"/>
    <col min="11" max="11" width="13.28125" style="43" bestFit="1" customWidth="1"/>
    <col min="12" max="12" width="17.28125" style="10" customWidth="1"/>
    <col min="13" max="13" width="13.140625" style="0" bestFit="1" customWidth="1"/>
  </cols>
  <sheetData>
    <row r="1" spans="9:10" ht="16.5" customHeight="1">
      <c r="I1" s="371" t="s">
        <v>9</v>
      </c>
      <c r="J1" s="371"/>
    </row>
    <row r="2" spans="1:9" ht="15.75">
      <c r="A2" s="3" t="s">
        <v>18</v>
      </c>
      <c r="B2" s="4"/>
      <c r="C2" s="4"/>
      <c r="D2" s="4"/>
      <c r="E2" s="44"/>
      <c r="F2" s="4"/>
      <c r="G2" s="4"/>
      <c r="H2" s="4"/>
      <c r="I2" s="4"/>
    </row>
    <row r="3" spans="1:9" ht="15.75">
      <c r="A3" s="3" t="s">
        <v>15</v>
      </c>
      <c r="B3" s="4"/>
      <c r="C3" s="4"/>
      <c r="D3" s="4"/>
      <c r="E3" s="44"/>
      <c r="F3" s="4"/>
      <c r="G3" s="4"/>
      <c r="H3" s="4"/>
      <c r="I3" s="4"/>
    </row>
    <row r="4" spans="1:9" ht="15.75">
      <c r="A4" s="3" t="s">
        <v>60</v>
      </c>
      <c r="B4" s="4"/>
      <c r="C4" s="4"/>
      <c r="D4" s="4"/>
      <c r="E4" s="44"/>
      <c r="F4" s="4"/>
      <c r="G4" s="4"/>
      <c r="H4" s="4"/>
      <c r="I4" s="4"/>
    </row>
    <row r="5" spans="1:9" ht="6" customHeight="1">
      <c r="A5" s="3"/>
      <c r="B5" s="4"/>
      <c r="C5" s="4"/>
      <c r="D5" s="4"/>
      <c r="E5" s="44"/>
      <c r="F5" s="4"/>
      <c r="G5" s="4"/>
      <c r="H5" s="4"/>
      <c r="I5" s="45" t="s">
        <v>150</v>
      </c>
    </row>
    <row r="6" spans="1:13" ht="15.75">
      <c r="A6" s="3"/>
      <c r="B6" s="4"/>
      <c r="C6" s="4"/>
      <c r="D6" s="4"/>
      <c r="E6" s="44"/>
      <c r="G6" s="46"/>
      <c r="H6" s="372" t="s">
        <v>502</v>
      </c>
      <c r="I6" s="372"/>
      <c r="J6" s="372"/>
      <c r="M6" s="10"/>
    </row>
    <row r="7" spans="1:9" ht="6" customHeight="1" thickBot="1">
      <c r="A7" s="1"/>
      <c r="I7" s="5"/>
    </row>
    <row r="8" spans="1:12" s="6" customFormat="1" ht="30" customHeight="1" thickBot="1" thickTop="1">
      <c r="A8" s="379" t="s">
        <v>330</v>
      </c>
      <c r="B8" s="380"/>
      <c r="C8" s="380"/>
      <c r="D8" s="380"/>
      <c r="E8" s="380"/>
      <c r="F8" s="380"/>
      <c r="G8" s="380"/>
      <c r="H8" s="380"/>
      <c r="I8" s="380"/>
      <c r="J8" s="381"/>
      <c r="K8" s="47"/>
      <c r="L8" s="48"/>
    </row>
    <row r="9" spans="1:10" ht="14.25" thickBot="1" thickTop="1">
      <c r="A9" s="61"/>
      <c r="B9" s="62"/>
      <c r="C9" s="63"/>
      <c r="D9" s="62"/>
      <c r="E9" s="64"/>
      <c r="F9" s="63" t="s">
        <v>17</v>
      </c>
      <c r="G9" s="62"/>
      <c r="H9" s="62"/>
      <c r="I9" s="63"/>
      <c r="J9" s="12"/>
    </row>
    <row r="10" spans="1:10" ht="24" customHeight="1" thickBot="1" thickTop="1">
      <c r="A10" s="382" t="s">
        <v>10</v>
      </c>
      <c r="B10" s="373" t="s">
        <v>11</v>
      </c>
      <c r="C10" s="373" t="s">
        <v>12</v>
      </c>
      <c r="D10" s="70"/>
      <c r="E10" s="71"/>
      <c r="F10" s="373" t="s">
        <v>63</v>
      </c>
      <c r="G10" s="375" t="s">
        <v>16</v>
      </c>
      <c r="H10" s="377" t="s">
        <v>1</v>
      </c>
      <c r="I10" s="378"/>
      <c r="J10" s="385" t="s">
        <v>13</v>
      </c>
    </row>
    <row r="11" spans="1:13" s="7" customFormat="1" ht="28.5" customHeight="1" thickBot="1" thickTop="1">
      <c r="A11" s="383"/>
      <c r="B11" s="384"/>
      <c r="C11" s="384"/>
      <c r="D11" s="72" t="s">
        <v>61</v>
      </c>
      <c r="E11" s="73" t="s">
        <v>62</v>
      </c>
      <c r="F11" s="374"/>
      <c r="G11" s="376"/>
      <c r="H11" s="329" t="s">
        <v>153</v>
      </c>
      <c r="I11" s="66" t="s">
        <v>62</v>
      </c>
      <c r="J11" s="386"/>
      <c r="K11" s="49"/>
      <c r="L11" s="119"/>
      <c r="M11" s="121"/>
    </row>
    <row r="12" spans="1:14" s="6" customFormat="1" ht="30" customHeight="1" thickTop="1">
      <c r="A12" s="83">
        <v>1000</v>
      </c>
      <c r="B12" s="84" t="s">
        <v>64</v>
      </c>
      <c r="C12" s="97">
        <f>SUM(C13:C38)</f>
        <v>77402690</v>
      </c>
      <c r="D12" s="97">
        <f>SUM(D13:D38)</f>
        <v>0</v>
      </c>
      <c r="E12" s="97"/>
      <c r="F12" s="144">
        <f>SUM(F13:F38)</f>
        <v>77402690</v>
      </c>
      <c r="G12" s="145">
        <f>SUM(G13:G38)</f>
        <v>17533852.319999997</v>
      </c>
      <c r="H12" s="328">
        <f>+G12+'[3]EVTOP-02'!$H$12</f>
        <v>48743330.80999999</v>
      </c>
      <c r="I12" s="142">
        <f>+(H12/C12)</f>
        <v>0.6297369097895692</v>
      </c>
      <c r="J12" s="143">
        <f>+(C12-H12)</f>
        <v>28659359.190000013</v>
      </c>
      <c r="K12" s="68"/>
      <c r="L12" s="50"/>
      <c r="N12" s="130"/>
    </row>
    <row r="13" spans="1:14" s="51" customFormat="1" ht="18" customHeight="1">
      <c r="A13" s="168">
        <v>1101</v>
      </c>
      <c r="B13" s="133" t="s">
        <v>65</v>
      </c>
      <c r="C13" s="124">
        <v>38400551</v>
      </c>
      <c r="D13" s="124">
        <v>0</v>
      </c>
      <c r="E13" s="124"/>
      <c r="F13" s="164">
        <f>+C13+D13</f>
        <v>38400551</v>
      </c>
      <c r="G13" s="90">
        <f>2926874.9+2927532+3584391.99</f>
        <v>9438798.89</v>
      </c>
      <c r="H13" s="98">
        <f>+G13+'[3]EVTOP-02'!$H$13</f>
        <v>27966614.259999998</v>
      </c>
      <c r="I13" s="112">
        <f>+(H13/C13)</f>
        <v>0.7282867961972732</v>
      </c>
      <c r="J13" s="96">
        <f>+(C13-H13)</f>
        <v>10433936.740000002</v>
      </c>
      <c r="K13" s="312" t="s">
        <v>150</v>
      </c>
      <c r="L13" s="120"/>
      <c r="M13" s="122"/>
      <c r="N13" s="125"/>
    </row>
    <row r="14" spans="1:14" s="6" customFormat="1" ht="18" customHeight="1">
      <c r="A14" s="169">
        <v>1201</v>
      </c>
      <c r="B14" s="133" t="s">
        <v>66</v>
      </c>
      <c r="C14" s="124">
        <f>465000+64000</f>
        <v>529000</v>
      </c>
      <c r="D14" s="124">
        <v>0</v>
      </c>
      <c r="E14" s="124"/>
      <c r="F14" s="164">
        <f aca="true" t="shared" si="0" ref="F14:F38">+C14+D14</f>
        <v>529000</v>
      </c>
      <c r="G14" s="90">
        <f>160450+117140+61322.26</f>
        <v>338912.26</v>
      </c>
      <c r="H14" s="98">
        <f>+G14+'[3]EVTOP-02'!$H$14</f>
        <v>528402.96</v>
      </c>
      <c r="I14" s="112">
        <f aca="true" t="shared" si="1" ref="I14:I99">+(H14/C14)</f>
        <v>0.9988713799621928</v>
      </c>
      <c r="J14" s="96">
        <f aca="true" t="shared" si="2" ref="J14:J38">+(C14-H14)</f>
        <v>597.0400000000373</v>
      </c>
      <c r="K14" s="69"/>
      <c r="L14" s="120"/>
      <c r="M14" s="123"/>
      <c r="N14" s="126"/>
    </row>
    <row r="15" spans="1:14" s="6" customFormat="1" ht="18" customHeight="1">
      <c r="A15" s="169">
        <v>1301</v>
      </c>
      <c r="B15" s="133" t="s">
        <v>67</v>
      </c>
      <c r="C15" s="124">
        <v>3000</v>
      </c>
      <c r="D15" s="124">
        <v>0</v>
      </c>
      <c r="E15" s="124"/>
      <c r="F15" s="164">
        <f t="shared" si="0"/>
        <v>3000</v>
      </c>
      <c r="G15" s="90">
        <v>0</v>
      </c>
      <c r="H15" s="98">
        <f>+G15+'[3]EVTOP-02'!$H$15</f>
        <v>0</v>
      </c>
      <c r="I15" s="112">
        <f t="shared" si="1"/>
        <v>0</v>
      </c>
      <c r="J15" s="96">
        <f t="shared" si="2"/>
        <v>3000</v>
      </c>
      <c r="K15" s="69"/>
      <c r="L15" s="120"/>
      <c r="M15" s="123"/>
      <c r="N15" s="126"/>
    </row>
    <row r="16" spans="1:14" s="6" customFormat="1" ht="18" customHeight="1">
      <c r="A16" s="169">
        <v>1302</v>
      </c>
      <c r="B16" s="133" t="s">
        <v>497</v>
      </c>
      <c r="C16" s="124">
        <v>83000</v>
      </c>
      <c r="D16" s="124"/>
      <c r="E16" s="124"/>
      <c r="F16" s="164">
        <v>83000</v>
      </c>
      <c r="G16" s="90">
        <f>10352.42+10355.89+16047.26</f>
        <v>36755.57</v>
      </c>
      <c r="H16" s="98">
        <f>+G16+'[3]EVTOP-02'!$H$16</f>
        <v>82188.19</v>
      </c>
      <c r="I16" s="318">
        <f t="shared" si="1"/>
        <v>0.9902191566265061</v>
      </c>
      <c r="J16" s="96">
        <f t="shared" si="2"/>
        <v>811.8099999999977</v>
      </c>
      <c r="K16" s="69"/>
      <c r="L16" s="120"/>
      <c r="M16" s="123"/>
      <c r="N16" s="126"/>
    </row>
    <row r="17" spans="1:14" s="6" customFormat="1" ht="18" customHeight="1">
      <c r="A17" s="169">
        <v>1303</v>
      </c>
      <c r="B17" s="133" t="s">
        <v>68</v>
      </c>
      <c r="C17" s="124">
        <v>7500000</v>
      </c>
      <c r="D17" s="124">
        <v>0</v>
      </c>
      <c r="E17" s="124"/>
      <c r="F17" s="164">
        <f t="shared" si="0"/>
        <v>7500000</v>
      </c>
      <c r="G17" s="90">
        <f>617078+614492.91+931566.53</f>
        <v>2163137.4400000004</v>
      </c>
      <c r="H17" s="98">
        <f>+G17+'[3]EVTOP-02'!$H$17</f>
        <v>5607712.36</v>
      </c>
      <c r="I17" s="112">
        <f t="shared" si="1"/>
        <v>0.7476949813333333</v>
      </c>
      <c r="J17" s="96">
        <f t="shared" si="2"/>
        <v>1892287.6399999997</v>
      </c>
      <c r="K17" s="69"/>
      <c r="L17" s="120"/>
      <c r="M17" s="123"/>
      <c r="N17" s="126"/>
    </row>
    <row r="18" spans="1:14" s="6" customFormat="1" ht="18" customHeight="1">
      <c r="A18" s="169">
        <v>1305</v>
      </c>
      <c r="B18" s="133" t="s">
        <v>69</v>
      </c>
      <c r="C18" s="124">
        <v>5000000</v>
      </c>
      <c r="D18" s="124">
        <v>0</v>
      </c>
      <c r="E18" s="124"/>
      <c r="F18" s="164">
        <f t="shared" si="0"/>
        <v>5000000</v>
      </c>
      <c r="G18" s="98">
        <v>4784.54</v>
      </c>
      <c r="H18" s="98">
        <f>+G18+'[3]EVTOP-02'!$H$18</f>
        <v>1737214.1500000001</v>
      </c>
      <c r="I18" s="132">
        <f t="shared" si="1"/>
        <v>0.34744283000000004</v>
      </c>
      <c r="J18" s="96">
        <f t="shared" si="2"/>
        <v>3262785.8499999996</v>
      </c>
      <c r="K18" s="69"/>
      <c r="L18" s="120"/>
      <c r="M18" s="123"/>
      <c r="N18" s="126"/>
    </row>
    <row r="19" spans="1:14" s="6" customFormat="1" ht="18" customHeight="1">
      <c r="A19" s="169">
        <v>1306</v>
      </c>
      <c r="B19" s="133" t="s">
        <v>70</v>
      </c>
      <c r="C19" s="124">
        <v>2500000</v>
      </c>
      <c r="D19" s="124">
        <v>0</v>
      </c>
      <c r="E19" s="124"/>
      <c r="F19" s="164">
        <f t="shared" si="0"/>
        <v>2500000</v>
      </c>
      <c r="G19" s="98">
        <f>1201394.49+5265.01+487.89</f>
        <v>1207147.39</v>
      </c>
      <c r="H19" s="98">
        <f>+G19+'[3]EVTOP-02'!$H$19</f>
        <v>1232019</v>
      </c>
      <c r="I19" s="132">
        <f t="shared" si="1"/>
        <v>0.4928076</v>
      </c>
      <c r="J19" s="96">
        <f t="shared" si="2"/>
        <v>1267981</v>
      </c>
      <c r="K19" s="69"/>
      <c r="L19" s="120"/>
      <c r="M19" s="123"/>
      <c r="N19" s="126"/>
    </row>
    <row r="20" spans="1:14" s="6" customFormat="1" ht="18" customHeight="1">
      <c r="A20" s="169">
        <v>1307</v>
      </c>
      <c r="B20" s="133" t="s">
        <v>71</v>
      </c>
      <c r="C20" s="124">
        <v>5000000</v>
      </c>
      <c r="D20" s="124">
        <v>0</v>
      </c>
      <c r="E20" s="124"/>
      <c r="F20" s="164">
        <f t="shared" si="0"/>
        <v>5000000</v>
      </c>
      <c r="G20" s="173">
        <f>8227.96+13346.18</f>
        <v>21574.14</v>
      </c>
      <c r="H20" s="98">
        <f>+G20+'[3]EVTOP-02'!$H$20</f>
        <v>103815.34999999999</v>
      </c>
      <c r="I20" s="112">
        <f t="shared" si="1"/>
        <v>0.020763069999999998</v>
      </c>
      <c r="J20" s="96">
        <f t="shared" si="2"/>
        <v>4896184.65</v>
      </c>
      <c r="K20" s="69"/>
      <c r="L20" s="120"/>
      <c r="M20" s="123"/>
      <c r="N20" s="126"/>
    </row>
    <row r="21" spans="1:14" s="6" customFormat="1" ht="18" customHeight="1">
      <c r="A21" s="169">
        <v>1308</v>
      </c>
      <c r="B21" s="133" t="s">
        <v>72</v>
      </c>
      <c r="C21" s="124">
        <v>500000</v>
      </c>
      <c r="D21" s="124">
        <v>0</v>
      </c>
      <c r="E21" s="124"/>
      <c r="F21" s="164">
        <f t="shared" si="0"/>
        <v>500000</v>
      </c>
      <c r="G21" s="173">
        <f>35901.34+35901.34+53852.01</f>
        <v>125654.69</v>
      </c>
      <c r="H21" s="98">
        <f>+G21+'[3]EVTOP-02'!$H$21</f>
        <v>299301.5</v>
      </c>
      <c r="I21" s="112">
        <f t="shared" si="1"/>
        <v>0.598603</v>
      </c>
      <c r="J21" s="96">
        <f t="shared" si="2"/>
        <v>200698.5</v>
      </c>
      <c r="K21" s="69"/>
      <c r="L21" s="120"/>
      <c r="M21" s="123"/>
      <c r="N21" s="126"/>
    </row>
    <row r="22" spans="1:14" s="6" customFormat="1" ht="18" customHeight="1">
      <c r="A22" s="169">
        <v>1311</v>
      </c>
      <c r="B22" s="133" t="s">
        <v>143</v>
      </c>
      <c r="C22" s="124">
        <f>1000000+550000</f>
        <v>1550000</v>
      </c>
      <c r="D22" s="124">
        <v>0</v>
      </c>
      <c r="E22" s="124"/>
      <c r="F22" s="164">
        <f t="shared" si="0"/>
        <v>1550000</v>
      </c>
      <c r="G22" s="90">
        <f>32357.43+143517.52</f>
        <v>175874.94999999998</v>
      </c>
      <c r="H22" s="98">
        <f>+G22+'[3]EVTOP-02'!$H$22</f>
        <v>1526037.13</v>
      </c>
      <c r="I22" s="112">
        <f t="shared" si="1"/>
        <v>0.9845400838709677</v>
      </c>
      <c r="J22" s="96">
        <f t="shared" si="2"/>
        <v>23962.87000000011</v>
      </c>
      <c r="K22" s="69"/>
      <c r="L22" s="120"/>
      <c r="M22" s="123"/>
      <c r="N22" s="126"/>
    </row>
    <row r="23" spans="1:14" s="6" customFormat="1" ht="18" customHeight="1">
      <c r="A23" s="169">
        <v>1315</v>
      </c>
      <c r="B23" s="133" t="s">
        <v>73</v>
      </c>
      <c r="C23" s="124">
        <v>650000</v>
      </c>
      <c r="D23" s="124">
        <v>0</v>
      </c>
      <c r="E23" s="124"/>
      <c r="F23" s="164">
        <f t="shared" si="0"/>
        <v>650000</v>
      </c>
      <c r="G23" s="106">
        <f>52530.35+52530.8+85920.51</f>
        <v>190981.65999999997</v>
      </c>
      <c r="H23" s="98">
        <f>+G23+'[3]EVTOP-02'!$H$23</f>
        <v>491807.44</v>
      </c>
      <c r="I23" s="112">
        <f t="shared" si="1"/>
        <v>0.7566268307692308</v>
      </c>
      <c r="J23" s="96">
        <f t="shared" si="2"/>
        <v>158192.56</v>
      </c>
      <c r="K23" s="69"/>
      <c r="L23" s="120"/>
      <c r="M23" s="123"/>
      <c r="N23" s="126"/>
    </row>
    <row r="24" spans="1:14" s="6" customFormat="1" ht="18" customHeight="1" hidden="1">
      <c r="A24" s="169">
        <v>1316</v>
      </c>
      <c r="B24" s="133" t="s">
        <v>181</v>
      </c>
      <c r="C24" s="124">
        <v>0</v>
      </c>
      <c r="D24" s="124"/>
      <c r="E24" s="124"/>
      <c r="F24" s="164">
        <f t="shared" si="0"/>
        <v>0</v>
      </c>
      <c r="G24" s="173">
        <v>0</v>
      </c>
      <c r="H24" s="98">
        <f>+G24+'[3]EVTOP-02'!$H$24</f>
        <v>0</v>
      </c>
      <c r="I24" s="112" t="e">
        <f t="shared" si="1"/>
        <v>#DIV/0!</v>
      </c>
      <c r="J24" s="96">
        <f t="shared" si="2"/>
        <v>0</v>
      </c>
      <c r="K24" s="69"/>
      <c r="L24" s="120"/>
      <c r="M24" s="123"/>
      <c r="N24" s="126"/>
    </row>
    <row r="25" spans="1:14" s="6" customFormat="1" ht="18" customHeight="1">
      <c r="A25" s="169">
        <v>1327</v>
      </c>
      <c r="B25" s="133" t="s">
        <v>74</v>
      </c>
      <c r="C25" s="124">
        <v>2500000</v>
      </c>
      <c r="D25" s="124">
        <v>0</v>
      </c>
      <c r="E25" s="124"/>
      <c r="F25" s="164">
        <f t="shared" si="0"/>
        <v>2500000</v>
      </c>
      <c r="G25" s="106">
        <f>185689+184655.58+269655.67</f>
        <v>640000.25</v>
      </c>
      <c r="H25" s="98">
        <f>+G25+'[3]EVTOP-02'!$H$25</f>
        <v>1521409.68</v>
      </c>
      <c r="I25" s="112">
        <f t="shared" si="1"/>
        <v>0.608563872</v>
      </c>
      <c r="J25" s="96">
        <f t="shared" si="2"/>
        <v>978590.3200000001</v>
      </c>
      <c r="K25" s="69"/>
      <c r="L25" s="120"/>
      <c r="M25" s="123"/>
      <c r="N25" s="126"/>
    </row>
    <row r="26" spans="1:14" s="6" customFormat="1" ht="18" customHeight="1">
      <c r="A26" s="169">
        <v>1328</v>
      </c>
      <c r="B26" s="133" t="s">
        <v>327</v>
      </c>
      <c r="C26" s="124">
        <v>35000</v>
      </c>
      <c r="D26" s="124"/>
      <c r="E26" s="124"/>
      <c r="F26" s="164">
        <f t="shared" si="0"/>
        <v>35000</v>
      </c>
      <c r="G26" s="106">
        <v>0</v>
      </c>
      <c r="H26" s="98">
        <f>+G26+'[3]EVTOP-02'!$H$26</f>
        <v>0</v>
      </c>
      <c r="I26" s="112">
        <f t="shared" si="1"/>
        <v>0</v>
      </c>
      <c r="J26" s="96">
        <f t="shared" si="2"/>
        <v>35000</v>
      </c>
      <c r="K26" s="69"/>
      <c r="L26" s="120"/>
      <c r="M26" s="123"/>
      <c r="N26" s="126"/>
    </row>
    <row r="27" spans="1:14" s="6" customFormat="1" ht="18" customHeight="1">
      <c r="A27" s="169">
        <v>1339</v>
      </c>
      <c r="B27" s="133" t="s">
        <v>155</v>
      </c>
      <c r="C27" s="124">
        <v>250000</v>
      </c>
      <c r="D27" s="124"/>
      <c r="E27" s="124"/>
      <c r="F27" s="164">
        <f t="shared" si="0"/>
        <v>250000</v>
      </c>
      <c r="G27" s="90">
        <v>0</v>
      </c>
      <c r="H27" s="98">
        <f>+G27+'[3]EVTOP-02'!$H$27</f>
        <v>0</v>
      </c>
      <c r="I27" s="112">
        <f t="shared" si="1"/>
        <v>0</v>
      </c>
      <c r="J27" s="96">
        <f t="shared" si="2"/>
        <v>250000</v>
      </c>
      <c r="K27" s="69"/>
      <c r="L27" s="120"/>
      <c r="M27" s="123"/>
      <c r="N27" s="126"/>
    </row>
    <row r="28" spans="1:14" s="6" customFormat="1" ht="18" customHeight="1">
      <c r="A28" s="169">
        <v>1340</v>
      </c>
      <c r="B28" s="133" t="s">
        <v>186</v>
      </c>
      <c r="C28" s="124">
        <v>25000</v>
      </c>
      <c r="D28" s="124">
        <v>0</v>
      </c>
      <c r="E28" s="124"/>
      <c r="F28" s="164">
        <f t="shared" si="0"/>
        <v>25000</v>
      </c>
      <c r="G28" s="90">
        <v>0</v>
      </c>
      <c r="H28" s="98">
        <f>+G28+'[3]EVTOP-02'!$H$28</f>
        <v>0</v>
      </c>
      <c r="I28" s="112">
        <f t="shared" si="1"/>
        <v>0</v>
      </c>
      <c r="J28" s="96">
        <f t="shared" si="2"/>
        <v>25000</v>
      </c>
      <c r="K28" s="69"/>
      <c r="L28" s="120"/>
      <c r="M28" s="123"/>
      <c r="N28" s="126"/>
    </row>
    <row r="29" spans="1:14" s="6" customFormat="1" ht="18" customHeight="1" hidden="1">
      <c r="A29" s="169">
        <v>1341</v>
      </c>
      <c r="B29" s="133" t="s">
        <v>328</v>
      </c>
      <c r="C29" s="124"/>
      <c r="D29" s="124"/>
      <c r="E29" s="124"/>
      <c r="F29" s="164">
        <f t="shared" si="0"/>
        <v>0</v>
      </c>
      <c r="G29" s="173">
        <v>0</v>
      </c>
      <c r="H29" s="98">
        <f>+G29+'[3]EVTOP-02'!$H$29</f>
        <v>0</v>
      </c>
      <c r="I29" s="112" t="e">
        <f t="shared" si="1"/>
        <v>#DIV/0!</v>
      </c>
      <c r="J29" s="96"/>
      <c r="K29" s="69"/>
      <c r="L29" s="120"/>
      <c r="M29" s="123"/>
      <c r="N29" s="126"/>
    </row>
    <row r="30" spans="1:14" s="6" customFormat="1" ht="18" customHeight="1">
      <c r="A30" s="169">
        <v>1343</v>
      </c>
      <c r="B30" s="133" t="s">
        <v>157</v>
      </c>
      <c r="C30" s="124">
        <v>40000</v>
      </c>
      <c r="D30" s="124">
        <v>0</v>
      </c>
      <c r="E30" s="124"/>
      <c r="F30" s="164">
        <f t="shared" si="0"/>
        <v>40000</v>
      </c>
      <c r="G30" s="98">
        <v>0</v>
      </c>
      <c r="H30" s="98">
        <f>+G30+'[3]EVTOP-02'!$H$30</f>
        <v>0</v>
      </c>
      <c r="I30" s="112">
        <f t="shared" si="1"/>
        <v>0</v>
      </c>
      <c r="J30" s="96">
        <f t="shared" si="2"/>
        <v>40000</v>
      </c>
      <c r="K30" s="69"/>
      <c r="L30" s="120"/>
      <c r="M30" s="123"/>
      <c r="N30" s="126"/>
    </row>
    <row r="31" spans="1:14" s="6" customFormat="1" ht="18" customHeight="1">
      <c r="A31" s="169">
        <v>1354</v>
      </c>
      <c r="B31" s="133" t="s">
        <v>329</v>
      </c>
      <c r="C31" s="124">
        <v>15000</v>
      </c>
      <c r="D31" s="124"/>
      <c r="E31" s="124"/>
      <c r="F31" s="164">
        <f t="shared" si="0"/>
        <v>15000</v>
      </c>
      <c r="G31" s="98">
        <v>0</v>
      </c>
      <c r="H31" s="98">
        <f>+G31+'[3]EVTOP-02'!$H$31</f>
        <v>0</v>
      </c>
      <c r="I31" s="112">
        <f t="shared" si="1"/>
        <v>0</v>
      </c>
      <c r="J31" s="96">
        <f t="shared" si="2"/>
        <v>15000</v>
      </c>
      <c r="K31" s="69"/>
      <c r="L31" s="120"/>
      <c r="M31" s="123"/>
      <c r="N31" s="126"/>
    </row>
    <row r="32" spans="1:14" s="6" customFormat="1" ht="18" customHeight="1">
      <c r="A32" s="169">
        <v>1401</v>
      </c>
      <c r="B32" s="133" t="s">
        <v>182</v>
      </c>
      <c r="C32" s="124">
        <v>2150000</v>
      </c>
      <c r="D32" s="124"/>
      <c r="E32" s="124"/>
      <c r="F32" s="164">
        <f t="shared" si="0"/>
        <v>2150000</v>
      </c>
      <c r="G32" s="90">
        <v>0</v>
      </c>
      <c r="H32" s="98">
        <f>+G32+'[3]EVTOP-02'!$H$32</f>
        <v>0</v>
      </c>
      <c r="I32" s="112">
        <f t="shared" si="1"/>
        <v>0</v>
      </c>
      <c r="J32" s="96">
        <f t="shared" si="2"/>
        <v>2150000</v>
      </c>
      <c r="K32" s="69"/>
      <c r="L32" s="120"/>
      <c r="M32" s="123"/>
      <c r="N32" s="126"/>
    </row>
    <row r="33" spans="1:14" s="6" customFormat="1" ht="18" customHeight="1">
      <c r="A33" s="169">
        <v>1402</v>
      </c>
      <c r="B33" s="133" t="s">
        <v>75</v>
      </c>
      <c r="C33" s="124">
        <f>500000+330000</f>
        <v>830000</v>
      </c>
      <c r="D33" s="165">
        <v>0</v>
      </c>
      <c r="E33" s="124"/>
      <c r="F33" s="164">
        <f t="shared" si="0"/>
        <v>830000</v>
      </c>
      <c r="G33" s="90">
        <v>269214.26</v>
      </c>
      <c r="H33" s="98">
        <f>+G33+'[3]EVTOP-02'!$H$33</f>
        <v>827853.8400000001</v>
      </c>
      <c r="I33" s="112">
        <f t="shared" si="1"/>
        <v>0.9974142650602411</v>
      </c>
      <c r="J33" s="96">
        <f t="shared" si="2"/>
        <v>2146.159999999916</v>
      </c>
      <c r="K33" s="69"/>
      <c r="L33" s="120"/>
      <c r="M33" s="123"/>
      <c r="N33" s="126"/>
    </row>
    <row r="34" spans="1:14" s="6" customFormat="1" ht="18" customHeight="1">
      <c r="A34" s="169">
        <v>1405</v>
      </c>
      <c r="B34" s="133" t="s">
        <v>156</v>
      </c>
      <c r="C34" s="124">
        <f>572000+960000</f>
        <v>1532000</v>
      </c>
      <c r="D34" s="165">
        <v>0</v>
      </c>
      <c r="E34" s="124"/>
      <c r="F34" s="164">
        <f t="shared" si="0"/>
        <v>1532000</v>
      </c>
      <c r="G34" s="90">
        <f>17000+473348.43</f>
        <v>490348.43</v>
      </c>
      <c r="H34" s="98">
        <f>+G34+'[3]EVTOP-02'!$H$34</f>
        <v>1525803.97</v>
      </c>
      <c r="I34" s="112">
        <f t="shared" si="1"/>
        <v>0.9959555939947781</v>
      </c>
      <c r="J34" s="96">
        <f t="shared" si="2"/>
        <v>6196.030000000028</v>
      </c>
      <c r="K34" s="69"/>
      <c r="L34" s="120"/>
      <c r="M34" s="123"/>
      <c r="N34" s="126"/>
    </row>
    <row r="35" spans="1:14" s="6" customFormat="1" ht="18" customHeight="1">
      <c r="A35" s="169">
        <v>1408</v>
      </c>
      <c r="B35" s="133" t="s">
        <v>76</v>
      </c>
      <c r="C35" s="124">
        <v>5500000</v>
      </c>
      <c r="D35" s="124">
        <v>0</v>
      </c>
      <c r="E35" s="124"/>
      <c r="F35" s="164">
        <f t="shared" si="0"/>
        <v>5500000</v>
      </c>
      <c r="G35" s="90">
        <f>1105154.44+269883.14+281318.41</f>
        <v>1656355.99</v>
      </c>
      <c r="H35" s="98">
        <f>+G35+'[3]EVTOP-02'!$H$35</f>
        <v>3158706.95</v>
      </c>
      <c r="I35" s="112">
        <f t="shared" si="1"/>
        <v>0.5743103545454545</v>
      </c>
      <c r="J35" s="96">
        <f t="shared" si="2"/>
        <v>2341293.05</v>
      </c>
      <c r="K35" s="69"/>
      <c r="L35" s="120"/>
      <c r="M35" s="123"/>
      <c r="N35" s="126"/>
    </row>
    <row r="36" spans="1:14" s="6" customFormat="1" ht="18" customHeight="1">
      <c r="A36" s="169">
        <v>1502</v>
      </c>
      <c r="B36" s="133" t="s">
        <v>77</v>
      </c>
      <c r="C36" s="124">
        <f>1500000+303000</f>
        <v>1803000</v>
      </c>
      <c r="D36" s="124">
        <v>0</v>
      </c>
      <c r="E36" s="124"/>
      <c r="F36" s="164">
        <f t="shared" si="0"/>
        <v>1803000</v>
      </c>
      <c r="G36" s="90">
        <f>105369.05+311958.36+249098.89</f>
        <v>666426.3</v>
      </c>
      <c r="H36" s="98">
        <f>+G36+'[3]EVTOP-02'!$H$36</f>
        <v>1802749.8</v>
      </c>
      <c r="I36" s="112">
        <f t="shared" si="1"/>
        <v>0.9998612312811981</v>
      </c>
      <c r="J36" s="96">
        <f t="shared" si="2"/>
        <v>250.19999999995343</v>
      </c>
      <c r="K36" s="69"/>
      <c r="L36" s="120"/>
      <c r="M36" s="123"/>
      <c r="N36" s="126"/>
    </row>
    <row r="37" spans="1:14" s="6" customFormat="1" ht="18" customHeight="1">
      <c r="A37" s="169">
        <v>1507</v>
      </c>
      <c r="B37" s="133" t="s">
        <v>144</v>
      </c>
      <c r="C37" s="163">
        <v>507139</v>
      </c>
      <c r="D37" s="124"/>
      <c r="E37" s="124"/>
      <c r="F37" s="164">
        <f t="shared" si="0"/>
        <v>507139</v>
      </c>
      <c r="G37" s="90">
        <v>0</v>
      </c>
      <c r="H37" s="98">
        <f>+G37+'[3]EVTOP-02'!$H$37</f>
        <v>274.05</v>
      </c>
      <c r="I37" s="318">
        <f t="shared" si="1"/>
        <v>0.0005403843916559366</v>
      </c>
      <c r="J37" s="96">
        <f t="shared" si="2"/>
        <v>506864.95</v>
      </c>
      <c r="K37" s="69"/>
      <c r="L37" s="120"/>
      <c r="M37" s="123"/>
      <c r="N37" s="126"/>
    </row>
    <row r="38" spans="1:15" s="6" customFormat="1" ht="18" customHeight="1">
      <c r="A38" s="169">
        <v>1508</v>
      </c>
      <c r="B38" s="133" t="s">
        <v>78</v>
      </c>
      <c r="C38" s="124">
        <v>500000</v>
      </c>
      <c r="D38" s="124">
        <v>0</v>
      </c>
      <c r="E38" s="124"/>
      <c r="F38" s="164">
        <f t="shared" si="0"/>
        <v>500000</v>
      </c>
      <c r="G38" s="90">
        <v>107885.56</v>
      </c>
      <c r="H38" s="98">
        <f>+G38+'[3]EVTOP-02'!$H$38</f>
        <v>331420.18</v>
      </c>
      <c r="I38" s="112">
        <f t="shared" si="1"/>
        <v>0.66284036</v>
      </c>
      <c r="J38" s="96">
        <f t="shared" si="2"/>
        <v>168579.82</v>
      </c>
      <c r="K38" s="69"/>
      <c r="L38" s="120"/>
      <c r="M38" s="123"/>
      <c r="N38" s="126"/>
      <c r="O38" s="126"/>
    </row>
    <row r="39" spans="1:14" ht="30" customHeight="1">
      <c r="A39" s="138">
        <v>2000</v>
      </c>
      <c r="B39" s="139" t="s">
        <v>79</v>
      </c>
      <c r="C39" s="91">
        <f>SUM(C40:C63)</f>
        <v>3977454</v>
      </c>
      <c r="D39" s="91">
        <f>SUM(D40:D63)</f>
        <v>0</v>
      </c>
      <c r="E39" s="91" t="s">
        <v>150</v>
      </c>
      <c r="F39" s="146">
        <f>SUM(F40:F63)</f>
        <v>3977454</v>
      </c>
      <c r="G39" s="147">
        <f>SUM(G40:G63)</f>
        <v>677761.69</v>
      </c>
      <c r="H39" s="91">
        <f>+G39+'[3]EVTOP-02'!$H$39</f>
        <v>2472321.65</v>
      </c>
      <c r="I39" s="148">
        <f t="shared" si="1"/>
        <v>0.621583970550005</v>
      </c>
      <c r="J39" s="149">
        <f>+C39-H39</f>
        <v>1505132.35</v>
      </c>
      <c r="K39" s="68"/>
      <c r="L39" s="50"/>
      <c r="N39" s="127"/>
    </row>
    <row r="40" spans="1:14" ht="18" customHeight="1">
      <c r="A40" s="169">
        <v>2101</v>
      </c>
      <c r="B40" s="133" t="s">
        <v>80</v>
      </c>
      <c r="C40" s="173">
        <v>310000</v>
      </c>
      <c r="D40" s="90">
        <v>0</v>
      </c>
      <c r="E40" s="90"/>
      <c r="F40" s="94">
        <f>+C40+D40</f>
        <v>310000</v>
      </c>
      <c r="G40" s="90">
        <f>50042+16081.42</f>
        <v>66123.42</v>
      </c>
      <c r="H40" s="98">
        <f>+G40+'[3]EVTOP-02'!$H$40</f>
        <v>166655.49</v>
      </c>
      <c r="I40" s="112">
        <f t="shared" si="1"/>
        <v>0.5375983548387097</v>
      </c>
      <c r="J40" s="96">
        <f>+(C40-H40)</f>
        <v>143344.51</v>
      </c>
      <c r="K40" s="69"/>
      <c r="L40" s="50"/>
      <c r="M40" s="127"/>
      <c r="N40" s="127"/>
    </row>
    <row r="41" spans="1:14" ht="18" customHeight="1">
      <c r="A41" s="169">
        <v>2102</v>
      </c>
      <c r="B41" s="133" t="s">
        <v>81</v>
      </c>
      <c r="C41" s="173">
        <v>320000</v>
      </c>
      <c r="D41" s="90">
        <v>0</v>
      </c>
      <c r="E41" s="90"/>
      <c r="F41" s="94">
        <f aca="true" t="shared" si="3" ref="F41:F63">+C41+D41</f>
        <v>320000</v>
      </c>
      <c r="G41" s="90">
        <f>27596.57+58577.33</f>
        <v>86173.9</v>
      </c>
      <c r="H41" s="98">
        <f>+G41+'[3]EVTOP-02'!$H$41</f>
        <v>177578.94</v>
      </c>
      <c r="I41" s="112">
        <f t="shared" si="1"/>
        <v>0.5549341875</v>
      </c>
      <c r="J41" s="96">
        <f aca="true" t="shared" si="4" ref="J41:J63">+(C41-H41)</f>
        <v>142421.06</v>
      </c>
      <c r="K41" s="69"/>
      <c r="L41" s="50"/>
      <c r="M41" s="127"/>
      <c r="N41" s="127"/>
    </row>
    <row r="42" spans="1:14" ht="18" customHeight="1">
      <c r="A42" s="169">
        <v>2103</v>
      </c>
      <c r="B42" s="133" t="s">
        <v>82</v>
      </c>
      <c r="C42" s="173">
        <v>75000</v>
      </c>
      <c r="D42" s="90">
        <v>0</v>
      </c>
      <c r="E42" s="90"/>
      <c r="F42" s="94">
        <f t="shared" si="3"/>
        <v>75000</v>
      </c>
      <c r="G42" s="90">
        <v>5135.72</v>
      </c>
      <c r="H42" s="98">
        <f>+G42+'[3]EVTOP-02'!$H$42</f>
        <v>5595.72</v>
      </c>
      <c r="I42" s="112">
        <f t="shared" si="1"/>
        <v>0.0746096</v>
      </c>
      <c r="J42" s="96">
        <f t="shared" si="4"/>
        <v>69404.28</v>
      </c>
      <c r="K42" s="69"/>
      <c r="L42" s="50"/>
      <c r="M42" s="127"/>
      <c r="N42" s="127"/>
    </row>
    <row r="43" spans="1:14" ht="18" customHeight="1">
      <c r="A43" s="169">
        <v>2104</v>
      </c>
      <c r="B43" s="133" t="s">
        <v>83</v>
      </c>
      <c r="C43" s="173">
        <v>485928</v>
      </c>
      <c r="D43" s="90">
        <v>0</v>
      </c>
      <c r="E43" s="90"/>
      <c r="F43" s="94">
        <f t="shared" si="3"/>
        <v>485928</v>
      </c>
      <c r="G43" s="90">
        <f>7159.6+72475.16+92003.16</f>
        <v>171637.92</v>
      </c>
      <c r="H43" s="98">
        <f>+G43+'[3]EVTOP-02'!$H$43</f>
        <v>295686.03</v>
      </c>
      <c r="I43" s="112">
        <f t="shared" si="1"/>
        <v>0.6084976169309034</v>
      </c>
      <c r="J43" s="96">
        <f t="shared" si="4"/>
        <v>190241.96999999997</v>
      </c>
      <c r="K43" s="69"/>
      <c r="L43" s="50"/>
      <c r="M43" s="127"/>
      <c r="N43" s="127"/>
    </row>
    <row r="44" spans="1:14" ht="18" customHeight="1">
      <c r="A44" s="169">
        <v>2105</v>
      </c>
      <c r="B44" s="133" t="s">
        <v>84</v>
      </c>
      <c r="C44" s="98">
        <v>30000</v>
      </c>
      <c r="D44" s="90">
        <v>0</v>
      </c>
      <c r="E44" s="90"/>
      <c r="F44" s="94">
        <f t="shared" si="3"/>
        <v>30000</v>
      </c>
      <c r="G44" s="90">
        <v>0</v>
      </c>
      <c r="H44" s="98">
        <f>+G44+'[3]EVTOP-02'!$H$44</f>
        <v>0</v>
      </c>
      <c r="I44" s="112">
        <f t="shared" si="1"/>
        <v>0</v>
      </c>
      <c r="J44" s="96">
        <f t="shared" si="4"/>
        <v>30000</v>
      </c>
      <c r="K44" s="69"/>
      <c r="L44" s="50"/>
      <c r="M44" s="127"/>
      <c r="N44" s="127"/>
    </row>
    <row r="45" spans="1:14" ht="18" customHeight="1">
      <c r="A45" s="169">
        <v>2201</v>
      </c>
      <c r="B45" s="133" t="s">
        <v>85</v>
      </c>
      <c r="C45" s="98">
        <f>300000+158026</f>
        <v>458026</v>
      </c>
      <c r="D45" s="90">
        <v>0</v>
      </c>
      <c r="E45" s="90"/>
      <c r="F45" s="94">
        <f t="shared" si="3"/>
        <v>458026</v>
      </c>
      <c r="G45" s="90">
        <f>9383.8+32270.71+18513.62</f>
        <v>60168.12999999999</v>
      </c>
      <c r="H45" s="98">
        <f>+G45+'[3]EVTOP-02'!$H$45</f>
        <v>399748.95999999996</v>
      </c>
      <c r="I45" s="112">
        <f t="shared" si="1"/>
        <v>0.8727647775453794</v>
      </c>
      <c r="J45" s="96">
        <f t="shared" si="4"/>
        <v>58277.04000000004</v>
      </c>
      <c r="K45" s="69"/>
      <c r="L45" s="50"/>
      <c r="M45" s="127"/>
      <c r="N45" s="127"/>
    </row>
    <row r="46" spans="1:14" ht="18" customHeight="1">
      <c r="A46" s="169">
        <v>2206</v>
      </c>
      <c r="B46" s="133" t="s">
        <v>86</v>
      </c>
      <c r="C46" s="98">
        <v>1000</v>
      </c>
      <c r="D46" s="90">
        <v>0</v>
      </c>
      <c r="E46" s="90"/>
      <c r="F46" s="94">
        <f t="shared" si="3"/>
        <v>1000</v>
      </c>
      <c r="G46" s="173">
        <v>0</v>
      </c>
      <c r="H46" s="98">
        <f>+G46+'[3]EVTOP-02'!$H$46</f>
        <v>0</v>
      </c>
      <c r="I46" s="112">
        <f t="shared" si="1"/>
        <v>0</v>
      </c>
      <c r="J46" s="96">
        <f t="shared" si="4"/>
        <v>1000</v>
      </c>
      <c r="K46" s="69"/>
      <c r="L46" s="50"/>
      <c r="M46" s="127"/>
      <c r="N46" s="127"/>
    </row>
    <row r="47" spans="1:14" ht="18" customHeight="1">
      <c r="A47" s="169">
        <v>2302</v>
      </c>
      <c r="B47" s="133" t="s">
        <v>87</v>
      </c>
      <c r="C47" s="98">
        <v>120000</v>
      </c>
      <c r="D47" s="90">
        <v>0</v>
      </c>
      <c r="E47" s="90"/>
      <c r="F47" s="94">
        <f t="shared" si="3"/>
        <v>120000</v>
      </c>
      <c r="G47" s="173">
        <f>883.84+12215.2</f>
        <v>13099.04</v>
      </c>
      <c r="H47" s="98">
        <f>+G47+'[3]EVTOP-02'!$H$47</f>
        <v>44623.270000000004</v>
      </c>
      <c r="I47" s="112">
        <f t="shared" si="1"/>
        <v>0.3718605833333334</v>
      </c>
      <c r="J47" s="96">
        <f t="shared" si="4"/>
        <v>75376.73</v>
      </c>
      <c r="K47" s="69"/>
      <c r="L47" s="50"/>
      <c r="M47" s="127"/>
      <c r="N47" s="127"/>
    </row>
    <row r="48" spans="1:14" ht="18" customHeight="1">
      <c r="A48" s="169">
        <v>2303</v>
      </c>
      <c r="B48" s="133" t="s">
        <v>88</v>
      </c>
      <c r="C48" s="98">
        <v>150000</v>
      </c>
      <c r="D48" s="90">
        <v>0</v>
      </c>
      <c r="E48" s="90"/>
      <c r="F48" s="94">
        <f t="shared" si="3"/>
        <v>150000</v>
      </c>
      <c r="G48" s="173">
        <f>19319.8+20926.4</f>
        <v>40246.2</v>
      </c>
      <c r="H48" s="98">
        <f>+G48+'[3]EVTOP-02'!$H$48</f>
        <v>46383.32</v>
      </c>
      <c r="I48" s="112">
        <f t="shared" si="1"/>
        <v>0.3092221333333333</v>
      </c>
      <c r="J48" s="96">
        <f t="shared" si="4"/>
        <v>103616.68</v>
      </c>
      <c r="K48" s="69"/>
      <c r="L48" s="50"/>
      <c r="M48" s="127"/>
      <c r="N48" s="127"/>
    </row>
    <row r="49" spans="1:14" ht="18" customHeight="1">
      <c r="A49" s="169">
        <v>2304</v>
      </c>
      <c r="B49" s="133" t="s">
        <v>89</v>
      </c>
      <c r="C49" s="98">
        <v>120000</v>
      </c>
      <c r="D49" s="90">
        <v>0</v>
      </c>
      <c r="E49" s="90"/>
      <c r="F49" s="94">
        <f t="shared" si="3"/>
        <v>120000</v>
      </c>
      <c r="G49" s="90">
        <v>17991.1</v>
      </c>
      <c r="H49" s="98">
        <f>+G49+'[3]EVTOP-02'!$H$49</f>
        <v>54491.26</v>
      </c>
      <c r="I49" s="112">
        <f t="shared" si="1"/>
        <v>0.45409383333333336</v>
      </c>
      <c r="J49" s="96">
        <f t="shared" si="4"/>
        <v>65508.74</v>
      </c>
      <c r="K49" s="69"/>
      <c r="L49" s="50"/>
      <c r="M49" s="127"/>
      <c r="N49" s="127"/>
    </row>
    <row r="50" spans="1:14" ht="18" customHeight="1">
      <c r="A50" s="169">
        <v>2401</v>
      </c>
      <c r="B50" s="133" t="s">
        <v>90</v>
      </c>
      <c r="C50" s="98">
        <v>350000</v>
      </c>
      <c r="D50" s="90">
        <v>0</v>
      </c>
      <c r="E50" s="90"/>
      <c r="F50" s="94">
        <f t="shared" si="3"/>
        <v>350000</v>
      </c>
      <c r="G50" s="90">
        <f>16393.93+979.06</f>
        <v>17372.99</v>
      </c>
      <c r="H50" s="98">
        <f>+G50+'[3]EVTOP-02'!$H$50</f>
        <v>256015.21</v>
      </c>
      <c r="I50" s="112">
        <f t="shared" si="1"/>
        <v>0.7314720285714286</v>
      </c>
      <c r="J50" s="96">
        <f t="shared" si="4"/>
        <v>93984.79000000001</v>
      </c>
      <c r="K50" s="69"/>
      <c r="L50" s="50"/>
      <c r="M50" s="127"/>
      <c r="N50" s="127"/>
    </row>
    <row r="51" spans="1:14" ht="18" customHeight="1">
      <c r="A51" s="168">
        <v>2402</v>
      </c>
      <c r="B51" s="86" t="s">
        <v>91</v>
      </c>
      <c r="C51" s="98">
        <v>75000</v>
      </c>
      <c r="D51" s="90">
        <v>0</v>
      </c>
      <c r="E51" s="90"/>
      <c r="F51" s="94">
        <f t="shared" si="3"/>
        <v>75000</v>
      </c>
      <c r="G51" s="90">
        <v>0</v>
      </c>
      <c r="H51" s="98">
        <f>+G51+'[3]EVTOP-02'!$H$51</f>
        <v>14745.19</v>
      </c>
      <c r="I51" s="112">
        <f t="shared" si="1"/>
        <v>0.19660253333333333</v>
      </c>
      <c r="J51" s="96">
        <f t="shared" si="4"/>
        <v>60254.81</v>
      </c>
      <c r="K51" s="69"/>
      <c r="L51" s="50"/>
      <c r="M51" s="127"/>
      <c r="N51" s="127"/>
    </row>
    <row r="52" spans="1:14" ht="18" customHeight="1">
      <c r="A52" s="168">
        <v>2403</v>
      </c>
      <c r="B52" s="86" t="s">
        <v>92</v>
      </c>
      <c r="C52" s="98">
        <v>45000</v>
      </c>
      <c r="D52" s="90">
        <v>0</v>
      </c>
      <c r="E52" s="90"/>
      <c r="F52" s="94">
        <f t="shared" si="3"/>
        <v>45000</v>
      </c>
      <c r="G52" s="173">
        <v>0</v>
      </c>
      <c r="H52" s="98">
        <f>+G52+'[3]EVTOP-02'!$H$52</f>
        <v>14400.75</v>
      </c>
      <c r="I52" s="112">
        <f t="shared" si="1"/>
        <v>0.32001666666666667</v>
      </c>
      <c r="J52" s="96">
        <f t="shared" si="4"/>
        <v>30599.25</v>
      </c>
      <c r="K52" s="69"/>
      <c r="L52" s="50"/>
      <c r="M52" s="127"/>
      <c r="N52" s="127"/>
    </row>
    <row r="53" spans="1:14" ht="18" customHeight="1">
      <c r="A53" s="168">
        <v>2404</v>
      </c>
      <c r="B53" s="86" t="s">
        <v>93</v>
      </c>
      <c r="C53" s="98">
        <v>220000</v>
      </c>
      <c r="D53" s="90">
        <v>0</v>
      </c>
      <c r="E53" s="90"/>
      <c r="F53" s="94">
        <f t="shared" si="3"/>
        <v>220000</v>
      </c>
      <c r="G53" s="173">
        <v>51318.18</v>
      </c>
      <c r="H53" s="98">
        <f>+G53+'[3]EVTOP-02'!$H$53</f>
        <v>101146.43</v>
      </c>
      <c r="I53" s="112">
        <f t="shared" si="1"/>
        <v>0.45975649999999996</v>
      </c>
      <c r="J53" s="96">
        <f t="shared" si="4"/>
        <v>118853.57</v>
      </c>
      <c r="K53" s="69"/>
      <c r="L53" s="50"/>
      <c r="M53" s="127"/>
      <c r="N53" s="127"/>
    </row>
    <row r="54" spans="1:14" ht="18" customHeight="1">
      <c r="A54" s="168">
        <v>2501</v>
      </c>
      <c r="B54" s="86" t="s">
        <v>154</v>
      </c>
      <c r="C54" s="98">
        <v>10000</v>
      </c>
      <c r="D54" s="90">
        <v>0</v>
      </c>
      <c r="E54" s="90"/>
      <c r="F54" s="94">
        <f t="shared" si="3"/>
        <v>10000</v>
      </c>
      <c r="G54" s="90">
        <v>0</v>
      </c>
      <c r="H54" s="98">
        <f>+G54+'[3]EVTOP-02'!$H$54</f>
        <v>119.25</v>
      </c>
      <c r="I54" s="112">
        <f t="shared" si="1"/>
        <v>0.011925</v>
      </c>
      <c r="J54" s="96">
        <f t="shared" si="4"/>
        <v>9880.75</v>
      </c>
      <c r="K54" s="69"/>
      <c r="L54" s="50"/>
      <c r="M54" s="127"/>
      <c r="N54" s="127"/>
    </row>
    <row r="55" spans="1:14" ht="18" customHeight="1">
      <c r="A55" s="168">
        <v>2502</v>
      </c>
      <c r="B55" s="86" t="s">
        <v>94</v>
      </c>
      <c r="C55" s="98">
        <v>2500</v>
      </c>
      <c r="D55" s="90">
        <v>0</v>
      </c>
      <c r="E55" s="90"/>
      <c r="F55" s="94">
        <f t="shared" si="3"/>
        <v>2500</v>
      </c>
      <c r="G55" s="90">
        <v>0</v>
      </c>
      <c r="H55" s="98">
        <f>+G55+'[3]EVTOP-02'!$H$55</f>
        <v>0</v>
      </c>
      <c r="I55" s="112">
        <f t="shared" si="1"/>
        <v>0</v>
      </c>
      <c r="J55" s="96">
        <f t="shared" si="4"/>
        <v>2500</v>
      </c>
      <c r="K55" s="69"/>
      <c r="L55" s="50"/>
      <c r="M55" s="127"/>
      <c r="N55" s="127"/>
    </row>
    <row r="56" spans="1:14" ht="18.75" customHeight="1">
      <c r="A56" s="168">
        <v>2503</v>
      </c>
      <c r="B56" s="86" t="s">
        <v>95</v>
      </c>
      <c r="C56" s="98">
        <v>75000</v>
      </c>
      <c r="D56" s="90">
        <v>0</v>
      </c>
      <c r="E56" s="90"/>
      <c r="F56" s="94">
        <f t="shared" si="3"/>
        <v>75000</v>
      </c>
      <c r="G56" s="330">
        <v>492.32</v>
      </c>
      <c r="H56" s="98">
        <f>+G56+'[3]EVTOP-02'!$H$56</f>
        <v>3271.44</v>
      </c>
      <c r="I56" s="112">
        <f t="shared" si="1"/>
        <v>0.043619200000000004</v>
      </c>
      <c r="J56" s="96">
        <f t="shared" si="4"/>
        <v>71728.56</v>
      </c>
      <c r="K56" s="69"/>
      <c r="L56" s="50"/>
      <c r="M56" s="127"/>
      <c r="N56" s="127"/>
    </row>
    <row r="57" spans="1:14" ht="18" customHeight="1">
      <c r="A57" s="168">
        <v>2504</v>
      </c>
      <c r="B57" s="86" t="s">
        <v>183</v>
      </c>
      <c r="C57" s="98">
        <v>0</v>
      </c>
      <c r="D57" s="90"/>
      <c r="E57" s="90"/>
      <c r="F57" s="94">
        <f t="shared" si="3"/>
        <v>0</v>
      </c>
      <c r="G57" s="90">
        <v>0</v>
      </c>
      <c r="H57" s="98">
        <f>+G57+'[3]EVTOP-02'!$H$57</f>
        <v>57552.16</v>
      </c>
      <c r="I57" s="318" t="e">
        <f t="shared" si="1"/>
        <v>#DIV/0!</v>
      </c>
      <c r="J57" s="96">
        <f t="shared" si="4"/>
        <v>-57552.16</v>
      </c>
      <c r="K57" s="69"/>
      <c r="L57" s="50"/>
      <c r="M57" s="127"/>
      <c r="N57" s="127"/>
    </row>
    <row r="58" spans="1:14" ht="23.25" customHeight="1">
      <c r="A58" s="168">
        <v>2505</v>
      </c>
      <c r="B58" s="86" t="s">
        <v>96</v>
      </c>
      <c r="C58" s="98">
        <v>85000</v>
      </c>
      <c r="D58" s="90">
        <v>0</v>
      </c>
      <c r="E58" s="90"/>
      <c r="F58" s="94">
        <f t="shared" si="3"/>
        <v>85000</v>
      </c>
      <c r="G58" s="90">
        <v>0</v>
      </c>
      <c r="H58" s="98">
        <f>+G58+'[3]EVTOP-02'!$H$58</f>
        <v>2171.0200000000004</v>
      </c>
      <c r="I58" s="112">
        <f t="shared" si="1"/>
        <v>0.02554141176470589</v>
      </c>
      <c r="J58" s="96">
        <f t="shared" si="4"/>
        <v>82828.98</v>
      </c>
      <c r="K58" s="69"/>
      <c r="L58" s="50"/>
      <c r="M58" s="127"/>
      <c r="N58" s="127"/>
    </row>
    <row r="59" spans="1:14" ht="18" customHeight="1">
      <c r="A59" s="169">
        <v>2601</v>
      </c>
      <c r="B59" s="133" t="s">
        <v>97</v>
      </c>
      <c r="C59" s="98">
        <v>750000</v>
      </c>
      <c r="D59" s="90">
        <v>0</v>
      </c>
      <c r="E59" s="90"/>
      <c r="F59" s="94">
        <f t="shared" si="3"/>
        <v>750000</v>
      </c>
      <c r="G59" s="90">
        <f>34001.03+11351.25+100144.69</f>
        <v>145496.97</v>
      </c>
      <c r="H59" s="98">
        <f>+G59+'[3]EVTOP-02'!$H$59</f>
        <v>398069.41000000003</v>
      </c>
      <c r="I59" s="112">
        <f t="shared" si="1"/>
        <v>0.5307592133333334</v>
      </c>
      <c r="J59" s="96">
        <f t="shared" si="4"/>
        <v>351930.58999999997</v>
      </c>
      <c r="K59" s="69"/>
      <c r="L59" s="50"/>
      <c r="M59" s="127"/>
      <c r="N59" s="127"/>
    </row>
    <row r="60" spans="1:14" ht="18" customHeight="1">
      <c r="A60" s="169">
        <v>2602</v>
      </c>
      <c r="B60" s="133" t="s">
        <v>98</v>
      </c>
      <c r="C60" s="98">
        <v>20000</v>
      </c>
      <c r="D60" s="90">
        <v>0</v>
      </c>
      <c r="E60" s="90"/>
      <c r="F60" s="94">
        <f t="shared" si="3"/>
        <v>20000</v>
      </c>
      <c r="G60" s="90">
        <v>2505.8</v>
      </c>
      <c r="H60" s="98">
        <f>+G60+'[3]EVTOP-02'!$H$60</f>
        <v>2505.8</v>
      </c>
      <c r="I60" s="112">
        <f t="shared" si="1"/>
        <v>0.12529</v>
      </c>
      <c r="J60" s="96">
        <f t="shared" si="4"/>
        <v>17494.2</v>
      </c>
      <c r="K60" s="69"/>
      <c r="L60" s="50"/>
      <c r="M60" s="127"/>
      <c r="N60" s="127"/>
    </row>
    <row r="61" spans="1:14" ht="18" customHeight="1">
      <c r="A61" s="169">
        <v>2701</v>
      </c>
      <c r="B61" s="133" t="s">
        <v>99</v>
      </c>
      <c r="C61" s="98">
        <v>210000</v>
      </c>
      <c r="D61" s="90">
        <v>0</v>
      </c>
      <c r="E61" s="90"/>
      <c r="F61" s="94">
        <f t="shared" si="3"/>
        <v>210000</v>
      </c>
      <c r="G61" s="90">
        <v>0</v>
      </c>
      <c r="H61" s="98">
        <f>+G61+'[3]EVTOP-02'!$H$61</f>
        <v>421715.26</v>
      </c>
      <c r="I61" s="112">
        <f t="shared" si="1"/>
        <v>2.0081679047619048</v>
      </c>
      <c r="J61" s="96">
        <f t="shared" si="4"/>
        <v>-211715.26</v>
      </c>
      <c r="K61" s="69"/>
      <c r="L61" s="50"/>
      <c r="M61" s="127"/>
      <c r="N61" s="127"/>
    </row>
    <row r="62" spans="1:14" s="110" customFormat="1" ht="18" customHeight="1" hidden="1">
      <c r="A62" s="169">
        <v>2702</v>
      </c>
      <c r="B62" s="133" t="s">
        <v>180</v>
      </c>
      <c r="C62" s="98">
        <v>0</v>
      </c>
      <c r="D62" s="98">
        <v>0</v>
      </c>
      <c r="E62" s="98"/>
      <c r="F62" s="94">
        <f t="shared" si="3"/>
        <v>0</v>
      </c>
      <c r="G62" s="98">
        <v>0</v>
      </c>
      <c r="H62" s="98">
        <f>+G62+'[3]EVTOP-02'!$H$62</f>
        <v>0</v>
      </c>
      <c r="I62" s="112" t="e">
        <f t="shared" si="1"/>
        <v>#DIV/0!</v>
      </c>
      <c r="J62" s="96">
        <f t="shared" si="4"/>
        <v>0</v>
      </c>
      <c r="K62" s="108"/>
      <c r="L62" s="109"/>
      <c r="M62" s="127"/>
      <c r="N62" s="128"/>
    </row>
    <row r="63" spans="1:15" ht="18" customHeight="1">
      <c r="A63" s="169">
        <v>2703</v>
      </c>
      <c r="B63" s="133" t="s">
        <v>100</v>
      </c>
      <c r="C63" s="98">
        <v>65000</v>
      </c>
      <c r="D63" s="90">
        <v>0</v>
      </c>
      <c r="E63" s="90"/>
      <c r="F63" s="94">
        <f t="shared" si="3"/>
        <v>65000</v>
      </c>
      <c r="G63" s="90">
        <v>0</v>
      </c>
      <c r="H63" s="98">
        <f>+G63+'[3]EVTOP-02'!$H$63</f>
        <v>9846.74</v>
      </c>
      <c r="I63" s="112">
        <f t="shared" si="1"/>
        <v>0.1514883076923077</v>
      </c>
      <c r="J63" s="96">
        <f t="shared" si="4"/>
        <v>55153.26</v>
      </c>
      <c r="K63" s="69"/>
      <c r="L63" s="50"/>
      <c r="M63" s="127"/>
      <c r="N63" s="127"/>
      <c r="O63" s="127"/>
    </row>
    <row r="64" spans="1:12" ht="30" customHeight="1">
      <c r="A64" s="138">
        <v>3000</v>
      </c>
      <c r="B64" s="134" t="s">
        <v>101</v>
      </c>
      <c r="C64" s="91">
        <f>SUM(C65:C137)</f>
        <v>10137277</v>
      </c>
      <c r="D64" s="91">
        <f>SUM(D65:D136)</f>
        <v>0</v>
      </c>
      <c r="E64" s="91"/>
      <c r="F64" s="150">
        <f>SUM(F65:F137)</f>
        <v>10137277</v>
      </c>
      <c r="G64" s="151">
        <f>SUM(G65:G137)</f>
        <v>5972766.569999999</v>
      </c>
      <c r="H64" s="91">
        <f>+G64+'[3]EVTOP-02'!$H$64</f>
        <v>16161563.560000002</v>
      </c>
      <c r="I64" s="153">
        <f t="shared" si="1"/>
        <v>1.594270686299684</v>
      </c>
      <c r="J64" s="152">
        <f>+(C64-H64)</f>
        <v>-6024286.560000002</v>
      </c>
      <c r="K64" s="80"/>
      <c r="L64" s="50" t="s">
        <v>150</v>
      </c>
    </row>
    <row r="65" spans="1:16" s="56" customFormat="1" ht="18" customHeight="1" hidden="1">
      <c r="A65" s="168">
        <v>3101</v>
      </c>
      <c r="B65" s="133" t="s">
        <v>102</v>
      </c>
      <c r="C65" s="90"/>
      <c r="D65" s="90">
        <v>0</v>
      </c>
      <c r="E65" s="90"/>
      <c r="F65" s="90">
        <f>+C65+D65</f>
        <v>0</v>
      </c>
      <c r="G65" s="90">
        <v>0</v>
      </c>
      <c r="H65" s="98">
        <f>+G65+'[3]EVTOP-02'!$H$65</f>
        <v>0</v>
      </c>
      <c r="I65" s="112" t="e">
        <f t="shared" si="1"/>
        <v>#DIV/0!</v>
      </c>
      <c r="J65" s="96">
        <f>+(C65-H65)</f>
        <v>0</v>
      </c>
      <c r="K65" s="81"/>
      <c r="L65" s="55"/>
      <c r="N65" s="129"/>
      <c r="P65" s="129"/>
    </row>
    <row r="66" spans="1:16" s="56" customFormat="1" ht="18" customHeight="1" hidden="1">
      <c r="A66" s="168">
        <v>3102</v>
      </c>
      <c r="B66" s="133" t="s">
        <v>184</v>
      </c>
      <c r="C66" s="90">
        <v>0</v>
      </c>
      <c r="D66" s="105"/>
      <c r="E66" s="90"/>
      <c r="F66" s="90">
        <f aca="true" t="shared" si="5" ref="F66:F129">+C66+D66</f>
        <v>0</v>
      </c>
      <c r="G66" s="90">
        <v>0</v>
      </c>
      <c r="H66" s="98">
        <f>+G66+'[3]EVTOP-02'!$H$66</f>
        <v>0</v>
      </c>
      <c r="I66" s="112" t="e">
        <f t="shared" si="1"/>
        <v>#DIV/0!</v>
      </c>
      <c r="J66" s="96">
        <f aca="true" t="shared" si="6" ref="J66:J146">+(C66-H66)</f>
        <v>0</v>
      </c>
      <c r="K66" s="81"/>
      <c r="L66" s="55"/>
      <c r="N66" s="129"/>
      <c r="P66" s="129"/>
    </row>
    <row r="67" spans="1:16" ht="18" customHeight="1">
      <c r="A67" s="169">
        <v>3103</v>
      </c>
      <c r="B67" s="133" t="s">
        <v>103</v>
      </c>
      <c r="C67" s="98">
        <v>372028</v>
      </c>
      <c r="D67" s="90">
        <v>0</v>
      </c>
      <c r="E67" s="90"/>
      <c r="F67" s="90">
        <f t="shared" si="5"/>
        <v>372028</v>
      </c>
      <c r="G67" s="90">
        <f>11882+51053.88+90590.45</f>
        <v>153526.33</v>
      </c>
      <c r="H67" s="98">
        <f>+G67+'[3]EVTOP-02'!$H$67</f>
        <v>533863.4</v>
      </c>
      <c r="I67" s="112">
        <f t="shared" si="1"/>
        <v>1.4350086552625072</v>
      </c>
      <c r="J67" s="96">
        <f t="shared" si="6"/>
        <v>-161835.40000000002</v>
      </c>
      <c r="K67" s="172" t="s">
        <v>150</v>
      </c>
      <c r="L67" s="171"/>
      <c r="M67" s="101"/>
      <c r="N67" s="127"/>
      <c r="P67" s="129"/>
    </row>
    <row r="68" spans="1:16" ht="18" customHeight="1">
      <c r="A68" s="169">
        <v>3104</v>
      </c>
      <c r="B68" s="133" t="s">
        <v>104</v>
      </c>
      <c r="C68" s="98">
        <v>577291</v>
      </c>
      <c r="D68" s="98">
        <v>0</v>
      </c>
      <c r="E68" s="98"/>
      <c r="F68" s="90">
        <f t="shared" si="5"/>
        <v>577291</v>
      </c>
      <c r="G68" s="98">
        <f>400915+284840+459748.38</f>
        <v>1145503.38</v>
      </c>
      <c r="H68" s="98">
        <f>+G68+'[3]EVTOP-02'!$H$68</f>
        <v>1991496.2799999998</v>
      </c>
      <c r="I68" s="112">
        <f t="shared" si="1"/>
        <v>3.4497268795113727</v>
      </c>
      <c r="J68" s="96">
        <f t="shared" si="6"/>
        <v>-1414205.2799999998</v>
      </c>
      <c r="K68" s="170"/>
      <c r="L68" s="171"/>
      <c r="N68" s="127"/>
      <c r="P68" s="129"/>
    </row>
    <row r="69" spans="1:16" ht="18" customHeight="1" hidden="1">
      <c r="A69" s="169">
        <v>3105</v>
      </c>
      <c r="B69" s="133" t="s">
        <v>281</v>
      </c>
      <c r="C69" s="98">
        <v>0</v>
      </c>
      <c r="D69" s="98"/>
      <c r="E69" s="98"/>
      <c r="F69" s="90">
        <f t="shared" si="5"/>
        <v>0</v>
      </c>
      <c r="G69" s="98">
        <v>0</v>
      </c>
      <c r="H69" s="98">
        <f>+G69+'[3]EVTOP-02'!$H$69</f>
        <v>0</v>
      </c>
      <c r="I69" s="112" t="e">
        <f t="shared" si="1"/>
        <v>#DIV/0!</v>
      </c>
      <c r="J69" s="96">
        <f t="shared" si="6"/>
        <v>0</v>
      </c>
      <c r="K69" s="82"/>
      <c r="L69" s="50"/>
      <c r="N69" s="127"/>
      <c r="P69" s="129"/>
    </row>
    <row r="70" spans="1:16" ht="18" customHeight="1" hidden="1">
      <c r="A70" s="169">
        <v>3106</v>
      </c>
      <c r="B70" s="133" t="s">
        <v>105</v>
      </c>
      <c r="C70" s="98">
        <v>0</v>
      </c>
      <c r="D70" s="98">
        <v>0</v>
      </c>
      <c r="E70" s="98"/>
      <c r="F70" s="90">
        <f t="shared" si="5"/>
        <v>0</v>
      </c>
      <c r="G70" s="98">
        <v>0</v>
      </c>
      <c r="H70" s="98">
        <f>+G70+'[3]EVTOP-02'!$H$70</f>
        <v>0</v>
      </c>
      <c r="I70" s="112" t="e">
        <f t="shared" si="1"/>
        <v>#DIV/0!</v>
      </c>
      <c r="J70" s="96">
        <f t="shared" si="6"/>
        <v>0</v>
      </c>
      <c r="K70" s="82"/>
      <c r="L70" s="50"/>
      <c r="N70" s="127"/>
      <c r="P70" s="129"/>
    </row>
    <row r="71" spans="1:16" ht="18" customHeight="1" hidden="1">
      <c r="A71" s="169">
        <v>3107</v>
      </c>
      <c r="B71" s="133" t="s">
        <v>282</v>
      </c>
      <c r="C71" s="98">
        <v>0</v>
      </c>
      <c r="D71" s="98"/>
      <c r="E71" s="98"/>
      <c r="F71" s="90">
        <f t="shared" si="5"/>
        <v>0</v>
      </c>
      <c r="G71" s="98">
        <v>0</v>
      </c>
      <c r="H71" s="98">
        <f>+G71+'[3]EVTOP-02'!$H$71</f>
        <v>0</v>
      </c>
      <c r="I71" s="112" t="e">
        <f t="shared" si="1"/>
        <v>#DIV/0!</v>
      </c>
      <c r="J71" s="96">
        <f t="shared" si="6"/>
        <v>0</v>
      </c>
      <c r="K71" s="82"/>
      <c r="L71" s="50"/>
      <c r="N71" s="127"/>
      <c r="P71" s="129"/>
    </row>
    <row r="72" spans="1:16" ht="22.5" customHeight="1" hidden="1">
      <c r="A72" s="169">
        <v>3108</v>
      </c>
      <c r="B72" s="162" t="s">
        <v>283</v>
      </c>
      <c r="C72" s="98">
        <v>0</v>
      </c>
      <c r="D72" s="98"/>
      <c r="E72" s="98"/>
      <c r="F72" s="90">
        <f t="shared" si="5"/>
        <v>0</v>
      </c>
      <c r="G72" s="98">
        <v>0</v>
      </c>
      <c r="H72" s="98">
        <f>+G72+'[3]EVTOP-02'!$H$72</f>
        <v>0</v>
      </c>
      <c r="I72" s="112" t="e">
        <f t="shared" si="1"/>
        <v>#DIV/0!</v>
      </c>
      <c r="J72" s="96">
        <f t="shared" si="6"/>
        <v>0</v>
      </c>
      <c r="K72" s="82"/>
      <c r="L72" s="50"/>
      <c r="N72" s="127"/>
      <c r="P72" s="129"/>
    </row>
    <row r="73" spans="1:16" ht="24.75" customHeight="1" hidden="1">
      <c r="A73" s="169">
        <v>3109</v>
      </c>
      <c r="B73" s="162" t="s">
        <v>284</v>
      </c>
      <c r="C73" s="98">
        <v>0</v>
      </c>
      <c r="D73" s="98"/>
      <c r="E73" s="98"/>
      <c r="F73" s="90">
        <f t="shared" si="5"/>
        <v>0</v>
      </c>
      <c r="G73" s="98">
        <v>0</v>
      </c>
      <c r="H73" s="98">
        <f>+G73+'[3]EVTOP-02'!$H$73</f>
        <v>0</v>
      </c>
      <c r="I73" s="112" t="e">
        <f t="shared" si="1"/>
        <v>#DIV/0!</v>
      </c>
      <c r="J73" s="96">
        <f t="shared" si="6"/>
        <v>0</v>
      </c>
      <c r="K73" s="82"/>
      <c r="L73" s="50"/>
      <c r="N73" s="127"/>
      <c r="P73" s="129"/>
    </row>
    <row r="74" spans="1:16" ht="18" customHeight="1">
      <c r="A74" s="169">
        <v>3201</v>
      </c>
      <c r="B74" s="133" t="s">
        <v>106</v>
      </c>
      <c r="C74" s="98">
        <v>7000</v>
      </c>
      <c r="D74" s="98">
        <v>0</v>
      </c>
      <c r="E74" s="98"/>
      <c r="F74" s="90">
        <f t="shared" si="5"/>
        <v>7000</v>
      </c>
      <c r="G74" s="173">
        <v>0</v>
      </c>
      <c r="H74" s="98">
        <f>+G74+'[3]EVTOP-02'!$H$74</f>
        <v>42155.2</v>
      </c>
      <c r="I74" s="112">
        <f t="shared" si="1"/>
        <v>6.022171428571428</v>
      </c>
      <c r="J74" s="96">
        <f t="shared" si="6"/>
        <v>-35155.2</v>
      </c>
      <c r="K74" s="82"/>
      <c r="L74" s="50"/>
      <c r="N74" s="127"/>
      <c r="P74" s="129"/>
    </row>
    <row r="75" spans="1:16" ht="18" customHeight="1">
      <c r="A75" s="169">
        <v>3202</v>
      </c>
      <c r="B75" s="133" t="s">
        <v>107</v>
      </c>
      <c r="C75" s="98">
        <v>92000</v>
      </c>
      <c r="D75" s="98">
        <v>0</v>
      </c>
      <c r="E75" s="98"/>
      <c r="F75" s="90">
        <f t="shared" si="5"/>
        <v>92000</v>
      </c>
      <c r="G75" s="98">
        <f>25702.32+3248+12992</f>
        <v>41942.32</v>
      </c>
      <c r="H75" s="98">
        <f>+G75+'[3]EVTOP-02'!$H$75</f>
        <v>145744.73</v>
      </c>
      <c r="I75" s="112">
        <f t="shared" si="1"/>
        <v>1.5841818478260872</v>
      </c>
      <c r="J75" s="96">
        <f t="shared" si="6"/>
        <v>-53744.73000000001</v>
      </c>
      <c r="K75" s="82"/>
      <c r="L75" s="50"/>
      <c r="N75" s="127"/>
      <c r="P75" s="129"/>
    </row>
    <row r="76" spans="1:16" ht="18" customHeight="1">
      <c r="A76" s="169">
        <v>3203</v>
      </c>
      <c r="B76" s="133" t="s">
        <v>108</v>
      </c>
      <c r="C76" s="98">
        <v>53000</v>
      </c>
      <c r="D76" s="98">
        <v>0</v>
      </c>
      <c r="E76" s="98"/>
      <c r="F76" s="90">
        <f t="shared" si="5"/>
        <v>53000</v>
      </c>
      <c r="G76" s="98">
        <v>0</v>
      </c>
      <c r="H76" s="98">
        <f>+G76+'[3]EVTOP-02'!$H$76</f>
        <v>2088</v>
      </c>
      <c r="I76" s="112">
        <f t="shared" si="1"/>
        <v>0.03939622641509434</v>
      </c>
      <c r="J76" s="96">
        <f t="shared" si="6"/>
        <v>50912</v>
      </c>
      <c r="K76" s="82"/>
      <c r="L76" s="50"/>
      <c r="N76" s="127"/>
      <c r="P76" s="129"/>
    </row>
    <row r="77" spans="1:16" ht="18" customHeight="1">
      <c r="A77" s="169">
        <v>3205</v>
      </c>
      <c r="B77" s="133" t="s">
        <v>109</v>
      </c>
      <c r="C77" s="98">
        <v>3500</v>
      </c>
      <c r="D77" s="98">
        <v>0</v>
      </c>
      <c r="E77" s="98"/>
      <c r="F77" s="90">
        <f t="shared" si="5"/>
        <v>3500</v>
      </c>
      <c r="G77" s="98">
        <v>0</v>
      </c>
      <c r="H77" s="98">
        <f>+G77+'[3]EVTOP-02'!$H$77</f>
        <v>0</v>
      </c>
      <c r="I77" s="112">
        <f t="shared" si="1"/>
        <v>0</v>
      </c>
      <c r="J77" s="96">
        <f t="shared" si="6"/>
        <v>3500</v>
      </c>
      <c r="K77" s="82"/>
      <c r="L77" s="50"/>
      <c r="N77" s="127"/>
      <c r="P77" s="129"/>
    </row>
    <row r="78" spans="1:16" ht="18" customHeight="1" hidden="1">
      <c r="A78" s="169">
        <v>3206</v>
      </c>
      <c r="B78" s="133" t="s">
        <v>285</v>
      </c>
      <c r="C78" s="98">
        <v>0</v>
      </c>
      <c r="D78" s="98"/>
      <c r="E78" s="98"/>
      <c r="F78" s="90">
        <f t="shared" si="5"/>
        <v>0</v>
      </c>
      <c r="G78" s="98">
        <v>0</v>
      </c>
      <c r="H78" s="98">
        <f>+G78+'[3]EVTOP-02'!$H$78</f>
        <v>0</v>
      </c>
      <c r="I78" s="112" t="e">
        <f t="shared" si="1"/>
        <v>#DIV/0!</v>
      </c>
      <c r="J78" s="96">
        <f t="shared" si="6"/>
        <v>0</v>
      </c>
      <c r="K78" s="82"/>
      <c r="L78" s="50"/>
      <c r="N78" s="127"/>
      <c r="P78" s="129"/>
    </row>
    <row r="79" spans="1:16" ht="22.5" customHeight="1" hidden="1">
      <c r="A79" s="169">
        <v>3207</v>
      </c>
      <c r="B79" s="162" t="s">
        <v>286</v>
      </c>
      <c r="C79" s="98">
        <v>0</v>
      </c>
      <c r="D79" s="98"/>
      <c r="E79" s="98"/>
      <c r="F79" s="90">
        <f t="shared" si="5"/>
        <v>0</v>
      </c>
      <c r="G79" s="98">
        <v>0</v>
      </c>
      <c r="H79" s="98">
        <f>+G79+'[3]EVTOP-02'!$H$79</f>
        <v>0</v>
      </c>
      <c r="I79" s="112" t="e">
        <f t="shared" si="1"/>
        <v>#DIV/0!</v>
      </c>
      <c r="J79" s="96">
        <f t="shared" si="6"/>
        <v>0</v>
      </c>
      <c r="K79" s="82"/>
      <c r="L79" s="50"/>
      <c r="N79" s="127"/>
      <c r="P79" s="129"/>
    </row>
    <row r="80" spans="1:16" ht="27.75" customHeight="1" hidden="1">
      <c r="A80" s="169">
        <v>3208</v>
      </c>
      <c r="B80" s="162" t="s">
        <v>488</v>
      </c>
      <c r="C80" s="98">
        <v>0</v>
      </c>
      <c r="D80" s="98"/>
      <c r="E80" s="98"/>
      <c r="F80" s="90">
        <f t="shared" si="5"/>
        <v>0</v>
      </c>
      <c r="G80" s="98">
        <v>0</v>
      </c>
      <c r="H80" s="98">
        <f>+G80+'[3]EVTOP-02'!$H$80</f>
        <v>0</v>
      </c>
      <c r="I80" s="112" t="e">
        <f t="shared" si="1"/>
        <v>#DIV/0!</v>
      </c>
      <c r="J80" s="96">
        <f t="shared" si="6"/>
        <v>0</v>
      </c>
      <c r="K80" s="82"/>
      <c r="L80" s="50"/>
      <c r="N80" s="127"/>
      <c r="P80" s="129"/>
    </row>
    <row r="81" spans="1:16" ht="18" customHeight="1" hidden="1">
      <c r="A81" s="169">
        <v>3209</v>
      </c>
      <c r="B81" s="133" t="s">
        <v>287</v>
      </c>
      <c r="C81" s="98">
        <v>0</v>
      </c>
      <c r="D81" s="98"/>
      <c r="E81" s="98"/>
      <c r="F81" s="90">
        <f t="shared" si="5"/>
        <v>0</v>
      </c>
      <c r="G81" s="98">
        <v>0</v>
      </c>
      <c r="H81" s="98">
        <f>+G81+'[3]EVTOP-02'!$H$81</f>
        <v>0</v>
      </c>
      <c r="I81" s="112" t="e">
        <f t="shared" si="1"/>
        <v>#DIV/0!</v>
      </c>
      <c r="J81" s="96">
        <f t="shared" si="6"/>
        <v>0</v>
      </c>
      <c r="K81" s="82"/>
      <c r="L81" s="50"/>
      <c r="N81" s="127"/>
      <c r="P81" s="129"/>
    </row>
    <row r="82" spans="1:16" ht="18" customHeight="1">
      <c r="A82" s="169">
        <v>3301</v>
      </c>
      <c r="B82" s="133" t="s">
        <v>110</v>
      </c>
      <c r="C82" s="98">
        <v>500000</v>
      </c>
      <c r="D82" s="98">
        <v>0</v>
      </c>
      <c r="E82" s="98"/>
      <c r="F82" s="90">
        <f t="shared" si="5"/>
        <v>500000</v>
      </c>
      <c r="G82" s="173">
        <f>199823.56+271904.22+454700.75</f>
        <v>926428.53</v>
      </c>
      <c r="H82" s="98">
        <f>+G82+'[3]EVTOP-02'!$H$82</f>
        <v>2328857.06</v>
      </c>
      <c r="I82" s="112">
        <f t="shared" si="1"/>
        <v>4.6577141200000005</v>
      </c>
      <c r="J82" s="96">
        <f t="shared" si="6"/>
        <v>-1828857.06</v>
      </c>
      <c r="K82" s="82"/>
      <c r="L82" s="50"/>
      <c r="N82" s="127"/>
      <c r="P82" s="129"/>
    </row>
    <row r="83" spans="1:16" ht="18" customHeight="1">
      <c r="A83" s="169">
        <v>3302</v>
      </c>
      <c r="B83" s="133" t="s">
        <v>151</v>
      </c>
      <c r="C83" s="98">
        <v>0</v>
      </c>
      <c r="D83" s="98"/>
      <c r="E83" s="98"/>
      <c r="F83" s="90">
        <f t="shared" si="5"/>
        <v>0</v>
      </c>
      <c r="G83" s="98">
        <v>3666.74</v>
      </c>
      <c r="H83" s="98">
        <f>+G83+'[3]EVTOP-02'!$H$83</f>
        <v>3666.74</v>
      </c>
      <c r="I83" s="112" t="e">
        <f t="shared" si="1"/>
        <v>#DIV/0!</v>
      </c>
      <c r="J83" s="96">
        <f t="shared" si="6"/>
        <v>-3666.74</v>
      </c>
      <c r="K83" s="82"/>
      <c r="L83" s="50"/>
      <c r="N83" s="127"/>
      <c r="P83" s="129"/>
    </row>
    <row r="84" spans="1:16" ht="18" customHeight="1">
      <c r="A84" s="169">
        <v>3303</v>
      </c>
      <c r="B84" s="133" t="s">
        <v>111</v>
      </c>
      <c r="C84" s="98">
        <v>21000</v>
      </c>
      <c r="D84" s="98">
        <v>0</v>
      </c>
      <c r="E84" s="98"/>
      <c r="F84" s="90">
        <f t="shared" si="5"/>
        <v>21000</v>
      </c>
      <c r="G84" s="98">
        <v>3666.75</v>
      </c>
      <c r="H84" s="98">
        <f>+G84+'[3]EVTOP-02'!$H$84</f>
        <v>7552.75</v>
      </c>
      <c r="I84" s="112">
        <f t="shared" si="1"/>
        <v>0.3596547619047619</v>
      </c>
      <c r="J84" s="96">
        <f t="shared" si="6"/>
        <v>13447.25</v>
      </c>
      <c r="K84" s="82"/>
      <c r="L84" s="50"/>
      <c r="N84" s="127"/>
      <c r="P84" s="129"/>
    </row>
    <row r="85" spans="1:16" ht="18" customHeight="1">
      <c r="A85" s="169">
        <v>3304</v>
      </c>
      <c r="B85" s="133" t="s">
        <v>288</v>
      </c>
      <c r="C85" s="98">
        <v>0</v>
      </c>
      <c r="D85" s="98"/>
      <c r="E85" s="98"/>
      <c r="F85" s="90">
        <f t="shared" si="5"/>
        <v>0</v>
      </c>
      <c r="G85" s="98">
        <v>103.37</v>
      </c>
      <c r="H85" s="98">
        <f>+G85+'[3]EVTOP-02'!$H$85</f>
        <v>103.37</v>
      </c>
      <c r="I85" s="112" t="e">
        <f t="shared" si="1"/>
        <v>#DIV/0!</v>
      </c>
      <c r="J85" s="96">
        <f t="shared" si="6"/>
        <v>-103.37</v>
      </c>
      <c r="K85" s="82"/>
      <c r="L85" s="50"/>
      <c r="N85" s="127"/>
      <c r="P85" s="129"/>
    </row>
    <row r="86" spans="1:16" ht="18" customHeight="1" hidden="1">
      <c r="A86" s="169">
        <v>3305</v>
      </c>
      <c r="B86" s="133" t="s">
        <v>289</v>
      </c>
      <c r="C86" s="98">
        <v>0</v>
      </c>
      <c r="D86" s="98"/>
      <c r="E86" s="98"/>
      <c r="F86" s="90">
        <f t="shared" si="5"/>
        <v>0</v>
      </c>
      <c r="G86" s="98">
        <v>0</v>
      </c>
      <c r="H86" s="98">
        <f>+G86+'[3]EVTOP-02'!$H$86</f>
        <v>0</v>
      </c>
      <c r="I86" s="112" t="e">
        <f t="shared" si="1"/>
        <v>#DIV/0!</v>
      </c>
      <c r="J86" s="96">
        <f t="shared" si="6"/>
        <v>0</v>
      </c>
      <c r="K86" s="82"/>
      <c r="L86" s="50"/>
      <c r="N86" s="127"/>
      <c r="P86" s="129"/>
    </row>
    <row r="87" spans="1:16" ht="18" customHeight="1" hidden="1">
      <c r="A87" s="169">
        <v>3306</v>
      </c>
      <c r="B87" s="133" t="s">
        <v>290</v>
      </c>
      <c r="C87" s="98">
        <v>0</v>
      </c>
      <c r="D87" s="98"/>
      <c r="E87" s="98"/>
      <c r="F87" s="90">
        <f t="shared" si="5"/>
        <v>0</v>
      </c>
      <c r="G87" s="98">
        <v>0</v>
      </c>
      <c r="H87" s="98">
        <f>+G87+'[3]EVTOP-02'!$H$87</f>
        <v>0</v>
      </c>
      <c r="I87" s="112" t="e">
        <f t="shared" si="1"/>
        <v>#DIV/0!</v>
      </c>
      <c r="J87" s="96">
        <f t="shared" si="6"/>
        <v>0</v>
      </c>
      <c r="K87" s="82"/>
      <c r="L87" s="50"/>
      <c r="N87" s="127"/>
      <c r="P87" s="129"/>
    </row>
    <row r="88" spans="1:16" ht="18" customHeight="1" hidden="1">
      <c r="A88" s="169">
        <v>3307</v>
      </c>
      <c r="B88" s="133" t="s">
        <v>291</v>
      </c>
      <c r="C88" s="98">
        <v>0</v>
      </c>
      <c r="D88" s="98"/>
      <c r="E88" s="98"/>
      <c r="F88" s="90">
        <f t="shared" si="5"/>
        <v>0</v>
      </c>
      <c r="G88" s="98">
        <v>0</v>
      </c>
      <c r="H88" s="98">
        <f>+G88+'[3]EVTOP-02'!$H$88</f>
        <v>0</v>
      </c>
      <c r="I88" s="112" t="e">
        <f t="shared" si="1"/>
        <v>#DIV/0!</v>
      </c>
      <c r="J88" s="96">
        <f t="shared" si="6"/>
        <v>0</v>
      </c>
      <c r="K88" s="82"/>
      <c r="L88" s="50"/>
      <c r="N88" s="127"/>
      <c r="P88" s="129"/>
    </row>
    <row r="89" spans="1:16" ht="18" customHeight="1">
      <c r="A89" s="169">
        <v>3401</v>
      </c>
      <c r="B89" s="133" t="s">
        <v>112</v>
      </c>
      <c r="C89" s="98">
        <v>32000</v>
      </c>
      <c r="D89" s="98">
        <v>0</v>
      </c>
      <c r="E89" s="98"/>
      <c r="F89" s="90">
        <f t="shared" si="5"/>
        <v>32000</v>
      </c>
      <c r="G89" s="98">
        <f>1820.39+17216.69+14197.4</f>
        <v>33234.479999999996</v>
      </c>
      <c r="H89" s="98">
        <f>+G89+'[3]EVTOP-02'!$H$89</f>
        <v>50377.189999999995</v>
      </c>
      <c r="I89" s="112">
        <f t="shared" si="1"/>
        <v>1.5742871874999997</v>
      </c>
      <c r="J89" s="96">
        <f t="shared" si="6"/>
        <v>-18377.189999999995</v>
      </c>
      <c r="K89" s="82"/>
      <c r="L89" s="50"/>
      <c r="N89" s="127"/>
      <c r="P89" s="129"/>
    </row>
    <row r="90" spans="1:16" ht="18" customHeight="1">
      <c r="A90" s="169">
        <v>3402</v>
      </c>
      <c r="B90" s="133" t="s">
        <v>113</v>
      </c>
      <c r="C90" s="173">
        <v>65000</v>
      </c>
      <c r="D90" s="98">
        <v>0</v>
      </c>
      <c r="E90" s="98"/>
      <c r="F90" s="90">
        <f t="shared" si="5"/>
        <v>65000</v>
      </c>
      <c r="G90" s="98">
        <f>17640.63+17113.33+40759.07</f>
        <v>75513.03</v>
      </c>
      <c r="H90" s="98">
        <f>+G90+'[3]EVTOP-02'!$H$90</f>
        <v>182354.72</v>
      </c>
      <c r="I90" s="112">
        <f t="shared" si="1"/>
        <v>2.805457230769231</v>
      </c>
      <c r="J90" s="96">
        <f t="shared" si="6"/>
        <v>-117354.72</v>
      </c>
      <c r="K90" s="82"/>
      <c r="L90" s="50"/>
      <c r="N90" s="127"/>
      <c r="P90" s="129"/>
    </row>
    <row r="91" spans="1:16" ht="18" customHeight="1">
      <c r="A91" s="169">
        <v>3403</v>
      </c>
      <c r="B91" s="133" t="s">
        <v>114</v>
      </c>
      <c r="C91" s="173">
        <v>709000</v>
      </c>
      <c r="D91" s="98">
        <v>0</v>
      </c>
      <c r="E91" s="98"/>
      <c r="F91" s="90">
        <f t="shared" si="5"/>
        <v>709000</v>
      </c>
      <c r="G91" s="98">
        <f>2152.79+253705.24</f>
        <v>255858.03</v>
      </c>
      <c r="H91" s="98">
        <f>+G91+'[3]EVTOP-02'!$H$91</f>
        <v>952496.31</v>
      </c>
      <c r="I91" s="112">
        <f t="shared" si="1"/>
        <v>1.3434362623413258</v>
      </c>
      <c r="J91" s="96">
        <f t="shared" si="6"/>
        <v>-243496.31000000006</v>
      </c>
      <c r="K91" s="82"/>
      <c r="L91" s="50"/>
      <c r="N91" s="127"/>
      <c r="P91" s="129"/>
    </row>
    <row r="92" spans="1:16" ht="18" customHeight="1">
      <c r="A92" s="169">
        <v>3404</v>
      </c>
      <c r="B92" s="133" t="s">
        <v>292</v>
      </c>
      <c r="C92" s="173">
        <v>0</v>
      </c>
      <c r="D92" s="98"/>
      <c r="E92" s="98"/>
      <c r="F92" s="90">
        <f t="shared" si="5"/>
        <v>0</v>
      </c>
      <c r="G92" s="98">
        <v>0</v>
      </c>
      <c r="H92" s="98">
        <f>+G92+'[3]EVTOP-02'!$H$92</f>
        <v>0</v>
      </c>
      <c r="I92" s="112" t="e">
        <f t="shared" si="1"/>
        <v>#DIV/0!</v>
      </c>
      <c r="J92" s="96">
        <f t="shared" si="6"/>
        <v>0</v>
      </c>
      <c r="K92" s="82"/>
      <c r="L92" s="50"/>
      <c r="N92" s="127"/>
      <c r="P92" s="129"/>
    </row>
    <row r="93" spans="1:16" ht="18" customHeight="1">
      <c r="A93" s="169">
        <v>3405</v>
      </c>
      <c r="B93" s="133" t="s">
        <v>293</v>
      </c>
      <c r="C93" s="173">
        <v>0</v>
      </c>
      <c r="D93" s="98"/>
      <c r="E93" s="98"/>
      <c r="F93" s="90">
        <f t="shared" si="5"/>
        <v>0</v>
      </c>
      <c r="G93" s="98">
        <v>0</v>
      </c>
      <c r="H93" s="98">
        <f>+G93+'[3]EVTOP-02'!$H$93</f>
        <v>0</v>
      </c>
      <c r="I93" s="112" t="e">
        <f t="shared" si="1"/>
        <v>#DIV/0!</v>
      </c>
      <c r="J93" s="96">
        <f t="shared" si="6"/>
        <v>0</v>
      </c>
      <c r="K93" s="82"/>
      <c r="L93" s="50"/>
      <c r="N93" s="127"/>
      <c r="P93" s="129"/>
    </row>
    <row r="94" spans="1:16" ht="18" customHeight="1">
      <c r="A94" s="169">
        <v>3406</v>
      </c>
      <c r="B94" s="133" t="s">
        <v>115</v>
      </c>
      <c r="C94" s="173">
        <v>0</v>
      </c>
      <c r="D94" s="98">
        <v>0</v>
      </c>
      <c r="E94" s="98"/>
      <c r="F94" s="90">
        <f t="shared" si="5"/>
        <v>0</v>
      </c>
      <c r="G94" s="98">
        <f>2152.79+35117</f>
        <v>37269.79</v>
      </c>
      <c r="H94" s="98">
        <f>+G94+'[3]EVTOP-02'!$H$94</f>
        <v>160046.79</v>
      </c>
      <c r="I94" s="318" t="e">
        <f t="shared" si="1"/>
        <v>#DIV/0!</v>
      </c>
      <c r="J94" s="96">
        <f t="shared" si="6"/>
        <v>-160046.79</v>
      </c>
      <c r="K94" s="82"/>
      <c r="L94" s="50"/>
      <c r="N94" s="127"/>
      <c r="P94" s="129"/>
    </row>
    <row r="95" spans="1:16" ht="18" customHeight="1">
      <c r="A95" s="169">
        <v>3407</v>
      </c>
      <c r="B95" s="133" t="s">
        <v>116</v>
      </c>
      <c r="C95" s="173">
        <v>1110000</v>
      </c>
      <c r="D95" s="98">
        <v>0</v>
      </c>
      <c r="E95" s="98"/>
      <c r="F95" s="90">
        <f t="shared" si="5"/>
        <v>1110000</v>
      </c>
      <c r="G95" s="98">
        <f>89088+89088+203046.72</f>
        <v>381222.72</v>
      </c>
      <c r="H95" s="98">
        <f>+G95+'[3]EVTOP-02'!$H$95</f>
        <v>574132.98</v>
      </c>
      <c r="I95" s="112">
        <f t="shared" si="1"/>
        <v>0.5172369189189189</v>
      </c>
      <c r="J95" s="96">
        <f t="shared" si="6"/>
        <v>535867.02</v>
      </c>
      <c r="K95" s="82"/>
      <c r="L95" s="50"/>
      <c r="N95" s="127"/>
      <c r="P95" s="129"/>
    </row>
    <row r="96" spans="1:16" ht="18" customHeight="1" hidden="1">
      <c r="A96" s="169">
        <v>3408</v>
      </c>
      <c r="B96" s="133" t="s">
        <v>294</v>
      </c>
      <c r="C96" s="173">
        <v>0</v>
      </c>
      <c r="D96" s="98"/>
      <c r="E96" s="98"/>
      <c r="F96" s="90">
        <f t="shared" si="5"/>
        <v>0</v>
      </c>
      <c r="G96" s="98">
        <v>0</v>
      </c>
      <c r="H96" s="98">
        <f>+G96+'[3]EVTOP-02'!$H$96</f>
        <v>0</v>
      </c>
      <c r="I96" s="112" t="e">
        <f t="shared" si="1"/>
        <v>#DIV/0!</v>
      </c>
      <c r="J96" s="96">
        <f t="shared" si="6"/>
        <v>0</v>
      </c>
      <c r="K96" s="82"/>
      <c r="L96" s="50"/>
      <c r="N96" s="127"/>
      <c r="P96" s="129"/>
    </row>
    <row r="97" spans="1:16" ht="18" customHeight="1" hidden="1">
      <c r="A97" s="169">
        <v>3409</v>
      </c>
      <c r="B97" s="133" t="s">
        <v>295</v>
      </c>
      <c r="C97" s="173">
        <v>0</v>
      </c>
      <c r="D97" s="98"/>
      <c r="E97" s="98"/>
      <c r="F97" s="90">
        <f t="shared" si="5"/>
        <v>0</v>
      </c>
      <c r="G97" s="98">
        <v>0</v>
      </c>
      <c r="H97" s="98">
        <f>+G97+'[3]EVTOP-02'!$H$97</f>
        <v>0</v>
      </c>
      <c r="I97" s="112" t="e">
        <f t="shared" si="1"/>
        <v>#DIV/0!</v>
      </c>
      <c r="J97" s="96">
        <f t="shared" si="6"/>
        <v>0</v>
      </c>
      <c r="K97" s="82"/>
      <c r="L97" s="50"/>
      <c r="N97" s="127"/>
      <c r="P97" s="129"/>
    </row>
    <row r="98" spans="1:16" ht="18" customHeight="1" hidden="1">
      <c r="A98" s="169">
        <v>3410</v>
      </c>
      <c r="B98" s="133" t="s">
        <v>296</v>
      </c>
      <c r="C98" s="173">
        <v>0</v>
      </c>
      <c r="D98" s="98"/>
      <c r="E98" s="98"/>
      <c r="F98" s="90">
        <f t="shared" si="5"/>
        <v>0</v>
      </c>
      <c r="G98" s="98">
        <v>0</v>
      </c>
      <c r="H98" s="98">
        <f>+G98+'[3]EVTOP-02'!$H$98</f>
        <v>0</v>
      </c>
      <c r="I98" s="112" t="e">
        <f t="shared" si="1"/>
        <v>#DIV/0!</v>
      </c>
      <c r="J98" s="96">
        <f t="shared" si="6"/>
        <v>0</v>
      </c>
      <c r="K98" s="82"/>
      <c r="L98" s="50"/>
      <c r="N98" s="127"/>
      <c r="P98" s="129"/>
    </row>
    <row r="99" spans="1:16" ht="18" customHeight="1" hidden="1">
      <c r="A99" s="169">
        <v>3411</v>
      </c>
      <c r="B99" s="133" t="s">
        <v>297</v>
      </c>
      <c r="C99" s="173">
        <v>0</v>
      </c>
      <c r="D99" s="98"/>
      <c r="E99" s="98"/>
      <c r="F99" s="90">
        <f t="shared" si="5"/>
        <v>0</v>
      </c>
      <c r="G99" s="98">
        <v>0</v>
      </c>
      <c r="H99" s="98">
        <f>+G99+'[3]EVTOP-02'!$H$99</f>
        <v>0</v>
      </c>
      <c r="I99" s="112" t="e">
        <f t="shared" si="1"/>
        <v>#DIV/0!</v>
      </c>
      <c r="J99" s="96">
        <f t="shared" si="6"/>
        <v>0</v>
      </c>
      <c r="K99" s="82"/>
      <c r="L99" s="50"/>
      <c r="N99" s="127"/>
      <c r="P99" s="129"/>
    </row>
    <row r="100" spans="1:16" ht="18" customHeight="1">
      <c r="A100" s="169">
        <v>3501</v>
      </c>
      <c r="B100" s="133" t="s">
        <v>117</v>
      </c>
      <c r="C100" s="173">
        <v>0</v>
      </c>
      <c r="D100" s="98">
        <v>0</v>
      </c>
      <c r="E100" s="98"/>
      <c r="F100" s="90">
        <f t="shared" si="5"/>
        <v>0</v>
      </c>
      <c r="G100" s="330">
        <v>124833.4</v>
      </c>
      <c r="H100" s="330">
        <f>+G100+'[3]EVTOP-02'!$H$100</f>
        <v>167683.8</v>
      </c>
      <c r="I100" s="318" t="e">
        <f aca="true" t="shared" si="7" ref="I100:I175">+(H100/C100)</f>
        <v>#DIV/0!</v>
      </c>
      <c r="J100" s="96">
        <f t="shared" si="6"/>
        <v>-167683.8</v>
      </c>
      <c r="K100" s="82"/>
      <c r="L100" s="50"/>
      <c r="N100" s="127"/>
      <c r="P100" s="129"/>
    </row>
    <row r="101" spans="1:16" ht="18" customHeight="1">
      <c r="A101" s="169">
        <v>3502</v>
      </c>
      <c r="B101" s="133" t="s">
        <v>118</v>
      </c>
      <c r="C101" s="173">
        <v>212000</v>
      </c>
      <c r="D101" s="98">
        <v>0</v>
      </c>
      <c r="E101" s="98"/>
      <c r="F101" s="90">
        <f t="shared" si="5"/>
        <v>212000</v>
      </c>
      <c r="G101" s="330">
        <f>33315.2+243988.6</f>
        <v>277303.8</v>
      </c>
      <c r="H101" s="330">
        <f>+G101+'[3]EVTOP-02'!$H$101</f>
        <v>330707.20999999996</v>
      </c>
      <c r="I101" s="112">
        <f t="shared" si="7"/>
        <v>1.5599396698113206</v>
      </c>
      <c r="J101" s="96">
        <f t="shared" si="6"/>
        <v>-118707.20999999996</v>
      </c>
      <c r="K101" s="82"/>
      <c r="L101" s="50"/>
      <c r="N101" s="127"/>
      <c r="P101" s="129"/>
    </row>
    <row r="102" spans="1:16" ht="18" customHeight="1">
      <c r="A102" s="169">
        <v>3503</v>
      </c>
      <c r="B102" s="133" t="s">
        <v>119</v>
      </c>
      <c r="C102" s="173">
        <v>0</v>
      </c>
      <c r="D102" s="98">
        <v>0</v>
      </c>
      <c r="E102" s="98"/>
      <c r="F102" s="90">
        <f t="shared" si="5"/>
        <v>0</v>
      </c>
      <c r="G102" s="98">
        <f>56729.8+87000+115855.91</f>
        <v>259585.71</v>
      </c>
      <c r="H102" s="98">
        <f>+G102+'[3]EVTOP-02'!$H$102</f>
        <v>813165.55</v>
      </c>
      <c r="I102" s="318" t="e">
        <f t="shared" si="7"/>
        <v>#DIV/0!</v>
      </c>
      <c r="J102" s="96">
        <f t="shared" si="6"/>
        <v>-813165.55</v>
      </c>
      <c r="K102" s="82"/>
      <c r="L102" s="50"/>
      <c r="N102" s="127"/>
      <c r="P102" s="129"/>
    </row>
    <row r="103" spans="1:16" ht="18" customHeight="1">
      <c r="A103" s="169">
        <v>3504</v>
      </c>
      <c r="B103" s="133" t="s">
        <v>120</v>
      </c>
      <c r="C103" s="173">
        <v>1970000</v>
      </c>
      <c r="D103" s="98">
        <v>0</v>
      </c>
      <c r="E103" s="98"/>
      <c r="F103" s="90">
        <f t="shared" si="5"/>
        <v>1970000</v>
      </c>
      <c r="G103" s="98">
        <f>186429.42+168844+232100.41</f>
        <v>587373.8300000001</v>
      </c>
      <c r="H103" s="98">
        <f>+G103+'[3]EVTOP-02'!$H$103</f>
        <v>1677284.9000000001</v>
      </c>
      <c r="I103" s="112">
        <f t="shared" si="7"/>
        <v>0.8514136548223351</v>
      </c>
      <c r="J103" s="96">
        <f t="shared" si="6"/>
        <v>292715.09999999986</v>
      </c>
      <c r="K103" s="82"/>
      <c r="L103" s="50"/>
      <c r="N103" s="127"/>
      <c r="P103" s="129"/>
    </row>
    <row r="104" spans="1:16" ht="18" customHeight="1">
      <c r="A104" s="169">
        <v>3505</v>
      </c>
      <c r="B104" s="133" t="s">
        <v>121</v>
      </c>
      <c r="C104" s="173">
        <v>440458</v>
      </c>
      <c r="D104" s="98">
        <v>0</v>
      </c>
      <c r="E104" s="98"/>
      <c r="F104" s="90">
        <f t="shared" si="5"/>
        <v>440458</v>
      </c>
      <c r="G104" s="98">
        <f>42995.78+2664.58+58194.06</f>
        <v>103854.42</v>
      </c>
      <c r="H104" s="98">
        <f>+G104+'[3]EVTOP-02'!$H$104</f>
        <v>377385.46</v>
      </c>
      <c r="I104" s="318">
        <f t="shared" si="7"/>
        <v>0.85680237389263</v>
      </c>
      <c r="J104" s="96">
        <f t="shared" si="6"/>
        <v>63072.53999999998</v>
      </c>
      <c r="K104" s="82"/>
      <c r="L104" s="50"/>
      <c r="N104" s="127"/>
      <c r="P104" s="129"/>
    </row>
    <row r="105" spans="1:16" ht="24.75" customHeight="1" hidden="1">
      <c r="A105" s="169">
        <v>3506</v>
      </c>
      <c r="B105" s="162" t="s">
        <v>487</v>
      </c>
      <c r="C105" s="173">
        <v>0</v>
      </c>
      <c r="D105" s="98"/>
      <c r="E105" s="98"/>
      <c r="F105" s="90">
        <f t="shared" si="5"/>
        <v>0</v>
      </c>
      <c r="G105" s="98">
        <v>0</v>
      </c>
      <c r="H105" s="98">
        <f>+G105+'[3]EVTOP-02'!$H$105</f>
        <v>0</v>
      </c>
      <c r="I105" s="112" t="e">
        <f t="shared" si="7"/>
        <v>#DIV/0!</v>
      </c>
      <c r="J105" s="96">
        <f t="shared" si="6"/>
        <v>0</v>
      </c>
      <c r="K105" s="82"/>
      <c r="L105" s="50"/>
      <c r="N105" s="127"/>
      <c r="P105" s="129"/>
    </row>
    <row r="106" spans="1:16" ht="18" customHeight="1" hidden="1">
      <c r="A106" s="169">
        <v>3507</v>
      </c>
      <c r="B106" s="133" t="s">
        <v>122</v>
      </c>
      <c r="C106" s="173">
        <v>0</v>
      </c>
      <c r="D106" s="98">
        <v>0</v>
      </c>
      <c r="E106" s="98"/>
      <c r="F106" s="90">
        <f t="shared" si="5"/>
        <v>0</v>
      </c>
      <c r="G106" s="98">
        <v>0</v>
      </c>
      <c r="H106" s="98">
        <f>+G106+'[3]EVTOP-02'!$H$106</f>
        <v>0</v>
      </c>
      <c r="I106" s="112" t="e">
        <f t="shared" si="7"/>
        <v>#DIV/0!</v>
      </c>
      <c r="J106" s="96">
        <f t="shared" si="6"/>
        <v>0</v>
      </c>
      <c r="K106" s="82"/>
      <c r="L106" s="50"/>
      <c r="N106" s="127"/>
      <c r="P106" s="129"/>
    </row>
    <row r="107" spans="1:16" ht="24.75" customHeight="1" hidden="1">
      <c r="A107" s="169">
        <v>3508</v>
      </c>
      <c r="B107" s="162" t="s">
        <v>298</v>
      </c>
      <c r="C107" s="173">
        <v>0</v>
      </c>
      <c r="D107" s="98"/>
      <c r="E107" s="98"/>
      <c r="F107" s="90">
        <f t="shared" si="5"/>
        <v>0</v>
      </c>
      <c r="G107" s="98">
        <v>0</v>
      </c>
      <c r="H107" s="98">
        <f>+G107+'[3]EVTOP-02'!$H$107</f>
        <v>0</v>
      </c>
      <c r="I107" s="112" t="e">
        <f t="shared" si="7"/>
        <v>#DIV/0!</v>
      </c>
      <c r="J107" s="96">
        <f t="shared" si="6"/>
        <v>0</v>
      </c>
      <c r="K107" s="82"/>
      <c r="L107" s="50"/>
      <c r="N107" s="127"/>
      <c r="P107" s="129"/>
    </row>
    <row r="108" spans="1:16" ht="18" customHeight="1">
      <c r="A108" s="169">
        <v>3509</v>
      </c>
      <c r="B108" s="133" t="s">
        <v>147</v>
      </c>
      <c r="C108" s="173">
        <v>700000</v>
      </c>
      <c r="D108" s="98">
        <v>0</v>
      </c>
      <c r="E108" s="98"/>
      <c r="F108" s="90">
        <f t="shared" si="5"/>
        <v>700000</v>
      </c>
      <c r="G108" s="98">
        <v>58000</v>
      </c>
      <c r="H108" s="98">
        <f>+G108+'[3]EVTOP-02'!$H$108</f>
        <v>147320</v>
      </c>
      <c r="I108" s="112">
        <f t="shared" si="7"/>
        <v>0.21045714285714287</v>
      </c>
      <c r="J108" s="96">
        <f t="shared" si="6"/>
        <v>552680</v>
      </c>
      <c r="K108" s="82"/>
      <c r="L108" s="50"/>
      <c r="N108" s="127"/>
      <c r="P108" s="129"/>
    </row>
    <row r="109" spans="1:16" ht="18" customHeight="1" hidden="1">
      <c r="A109" s="169">
        <v>3510</v>
      </c>
      <c r="B109" s="133" t="s">
        <v>299</v>
      </c>
      <c r="C109" s="173">
        <v>0</v>
      </c>
      <c r="D109" s="98"/>
      <c r="E109" s="98"/>
      <c r="F109" s="90">
        <f t="shared" si="5"/>
        <v>0</v>
      </c>
      <c r="G109" s="98">
        <v>0</v>
      </c>
      <c r="H109" s="98">
        <f>+G109+'[3]EVTOP-02'!$H$109</f>
        <v>0</v>
      </c>
      <c r="I109" s="112" t="e">
        <f t="shared" si="7"/>
        <v>#DIV/0!</v>
      </c>
      <c r="J109" s="96">
        <f t="shared" si="6"/>
        <v>0</v>
      </c>
      <c r="K109" s="82"/>
      <c r="L109" s="50"/>
      <c r="N109" s="127"/>
      <c r="P109" s="129"/>
    </row>
    <row r="110" spans="1:16" ht="18" customHeight="1" hidden="1">
      <c r="A110" s="169">
        <v>3511</v>
      </c>
      <c r="B110" s="133" t="s">
        <v>300</v>
      </c>
      <c r="C110" s="173">
        <v>0</v>
      </c>
      <c r="D110" s="98"/>
      <c r="E110" s="98"/>
      <c r="F110" s="90">
        <f t="shared" si="5"/>
        <v>0</v>
      </c>
      <c r="G110" s="98">
        <v>0</v>
      </c>
      <c r="H110" s="98">
        <f>+G110+'[3]EVTOP-02'!$H$110</f>
        <v>0</v>
      </c>
      <c r="I110" s="112" t="e">
        <f t="shared" si="7"/>
        <v>#DIV/0!</v>
      </c>
      <c r="J110" s="96">
        <f t="shared" si="6"/>
        <v>0</v>
      </c>
      <c r="K110" s="82"/>
      <c r="L110" s="50"/>
      <c r="N110" s="127"/>
      <c r="P110" s="129"/>
    </row>
    <row r="111" spans="1:16" ht="18" customHeight="1" hidden="1">
      <c r="A111" s="169">
        <v>3512</v>
      </c>
      <c r="B111" s="133" t="s">
        <v>301</v>
      </c>
      <c r="C111" s="173">
        <v>0</v>
      </c>
      <c r="D111" s="98"/>
      <c r="E111" s="98"/>
      <c r="F111" s="90">
        <f t="shared" si="5"/>
        <v>0</v>
      </c>
      <c r="G111" s="98">
        <v>0</v>
      </c>
      <c r="H111" s="98">
        <f>+G111+'[3]EVTOP-02'!$H$111</f>
        <v>0</v>
      </c>
      <c r="I111" s="112" t="e">
        <f t="shared" si="7"/>
        <v>#DIV/0!</v>
      </c>
      <c r="J111" s="96">
        <f t="shared" si="6"/>
        <v>0</v>
      </c>
      <c r="K111" s="82"/>
      <c r="L111" s="50"/>
      <c r="N111" s="127"/>
      <c r="P111" s="129"/>
    </row>
    <row r="112" spans="1:16" ht="18" customHeight="1" hidden="1">
      <c r="A112" s="169">
        <v>3513</v>
      </c>
      <c r="B112" s="133" t="s">
        <v>302</v>
      </c>
      <c r="C112" s="173">
        <v>0</v>
      </c>
      <c r="D112" s="98"/>
      <c r="E112" s="98"/>
      <c r="F112" s="90">
        <f t="shared" si="5"/>
        <v>0</v>
      </c>
      <c r="G112" s="98">
        <v>0</v>
      </c>
      <c r="H112" s="98">
        <f>+G112+'[3]EVTOP-02'!$H$112</f>
        <v>0</v>
      </c>
      <c r="I112" s="112" t="e">
        <f t="shared" si="7"/>
        <v>#DIV/0!</v>
      </c>
      <c r="J112" s="96">
        <f t="shared" si="6"/>
        <v>0</v>
      </c>
      <c r="K112" s="82"/>
      <c r="L112" s="50"/>
      <c r="N112" s="127"/>
      <c r="P112" s="129"/>
    </row>
    <row r="113" spans="1:16" ht="18" customHeight="1" hidden="1">
      <c r="A113" s="169">
        <v>3514</v>
      </c>
      <c r="B113" s="133" t="s">
        <v>123</v>
      </c>
      <c r="C113" s="173">
        <v>0</v>
      </c>
      <c r="D113" s="98"/>
      <c r="E113" s="98"/>
      <c r="F113" s="90">
        <f t="shared" si="5"/>
        <v>0</v>
      </c>
      <c r="G113" s="98">
        <v>0</v>
      </c>
      <c r="H113" s="98">
        <f>+G113+'[3]EVTOP-02'!$H$113</f>
        <v>0</v>
      </c>
      <c r="I113" s="112" t="e">
        <f t="shared" si="7"/>
        <v>#DIV/0!</v>
      </c>
      <c r="J113" s="96">
        <f t="shared" si="6"/>
        <v>0</v>
      </c>
      <c r="K113" s="82"/>
      <c r="L113" s="50"/>
      <c r="N113" s="127"/>
      <c r="P113" s="129"/>
    </row>
    <row r="114" spans="1:16" ht="18" customHeight="1">
      <c r="A114" s="169">
        <v>3515</v>
      </c>
      <c r="B114" s="133" t="s">
        <v>303</v>
      </c>
      <c r="C114" s="173">
        <v>0</v>
      </c>
      <c r="D114" s="98"/>
      <c r="E114" s="98"/>
      <c r="F114" s="90">
        <f t="shared" si="5"/>
        <v>0</v>
      </c>
      <c r="G114" s="98">
        <v>2726</v>
      </c>
      <c r="H114" s="98">
        <f>+G114+'[3]EVTOP-02'!$H$114</f>
        <v>2726</v>
      </c>
      <c r="I114" s="112" t="e">
        <f t="shared" si="7"/>
        <v>#DIV/0!</v>
      </c>
      <c r="J114" s="96">
        <f t="shared" si="6"/>
        <v>-2726</v>
      </c>
      <c r="K114" s="82"/>
      <c r="L114" s="50"/>
      <c r="N114" s="127"/>
      <c r="P114" s="129"/>
    </row>
    <row r="115" spans="1:16" ht="18" customHeight="1" hidden="1">
      <c r="A115" s="169">
        <v>3516</v>
      </c>
      <c r="B115" s="133" t="s">
        <v>304</v>
      </c>
      <c r="C115" s="173">
        <v>0</v>
      </c>
      <c r="D115" s="98"/>
      <c r="E115" s="98"/>
      <c r="F115" s="90">
        <f t="shared" si="5"/>
        <v>0</v>
      </c>
      <c r="G115" s="98">
        <v>0</v>
      </c>
      <c r="H115" s="98">
        <f>+G115+'[3]EVTOP-02'!$H$115</f>
        <v>0</v>
      </c>
      <c r="I115" s="112" t="e">
        <f t="shared" si="7"/>
        <v>#DIV/0!</v>
      </c>
      <c r="J115" s="96">
        <f t="shared" si="6"/>
        <v>0</v>
      </c>
      <c r="K115" s="82"/>
      <c r="L115" s="50"/>
      <c r="N115" s="127"/>
      <c r="P115" s="129"/>
    </row>
    <row r="116" spans="1:16" ht="18" customHeight="1">
      <c r="A116" s="169">
        <v>3601</v>
      </c>
      <c r="B116" s="133" t="s">
        <v>148</v>
      </c>
      <c r="C116" s="173">
        <v>60000</v>
      </c>
      <c r="D116" s="98">
        <v>0</v>
      </c>
      <c r="E116" s="98"/>
      <c r="F116" s="90">
        <f t="shared" si="5"/>
        <v>60000</v>
      </c>
      <c r="G116" s="98">
        <f>10770.6+9842.6+6965.8</f>
        <v>27579</v>
      </c>
      <c r="H116" s="98">
        <f>+G116+'[3]EVTOP-02'!$H$116</f>
        <v>144942</v>
      </c>
      <c r="I116" s="112">
        <f t="shared" si="7"/>
        <v>2.4157</v>
      </c>
      <c r="J116" s="96">
        <f t="shared" si="6"/>
        <v>-84942</v>
      </c>
      <c r="K116" s="82"/>
      <c r="L116" s="50"/>
      <c r="N116" s="127"/>
      <c r="P116" s="129"/>
    </row>
    <row r="117" spans="1:16" ht="18" customHeight="1">
      <c r="A117" s="169">
        <v>3602</v>
      </c>
      <c r="B117" s="133" t="s">
        <v>145</v>
      </c>
      <c r="C117" s="173">
        <v>120000</v>
      </c>
      <c r="D117" s="98">
        <v>0</v>
      </c>
      <c r="E117" s="98"/>
      <c r="F117" s="90">
        <f t="shared" si="5"/>
        <v>120000</v>
      </c>
      <c r="G117" s="330">
        <f>7116.8+58208.41</f>
        <v>65325.21000000001</v>
      </c>
      <c r="H117" s="330">
        <f>+G117+'[3]EVTOP-02'!$H$117</f>
        <v>445126.47000000003</v>
      </c>
      <c r="I117" s="112">
        <f t="shared" si="7"/>
        <v>3.7093872500000002</v>
      </c>
      <c r="J117" s="96">
        <f t="shared" si="6"/>
        <v>-325126.47000000003</v>
      </c>
      <c r="K117" s="82"/>
      <c r="L117" s="50">
        <f>+G1175</f>
        <v>0</v>
      </c>
      <c r="N117" s="127"/>
      <c r="P117" s="129"/>
    </row>
    <row r="118" spans="1:16" ht="18" customHeight="1">
      <c r="A118" s="169">
        <v>3603</v>
      </c>
      <c r="B118" s="133" t="s">
        <v>146</v>
      </c>
      <c r="C118" s="173">
        <v>30000</v>
      </c>
      <c r="D118" s="98">
        <v>0</v>
      </c>
      <c r="E118" s="98"/>
      <c r="F118" s="90">
        <f t="shared" si="5"/>
        <v>30000</v>
      </c>
      <c r="G118" s="98">
        <v>0</v>
      </c>
      <c r="H118" s="98">
        <f>+G118+'[3]EVTOP-02'!$H$118</f>
        <v>0</v>
      </c>
      <c r="I118" s="112">
        <f t="shared" si="7"/>
        <v>0</v>
      </c>
      <c r="J118" s="96">
        <f t="shared" si="6"/>
        <v>30000</v>
      </c>
      <c r="K118" s="82"/>
      <c r="L118" s="50"/>
      <c r="N118" s="127"/>
      <c r="P118" s="129"/>
    </row>
    <row r="119" spans="1:16" ht="18" customHeight="1">
      <c r="A119" s="169">
        <v>3604</v>
      </c>
      <c r="B119" s="133" t="s">
        <v>124</v>
      </c>
      <c r="C119" s="173">
        <v>40000</v>
      </c>
      <c r="D119" s="90">
        <v>0</v>
      </c>
      <c r="E119" s="90"/>
      <c r="F119" s="90">
        <f t="shared" si="5"/>
        <v>40000</v>
      </c>
      <c r="G119" s="90">
        <v>46263.12</v>
      </c>
      <c r="H119" s="98">
        <f>+G119+'[3]EVTOP-02'!$H$119</f>
        <v>92398.84</v>
      </c>
      <c r="I119" s="112">
        <f t="shared" si="7"/>
        <v>2.309971</v>
      </c>
      <c r="J119" s="96">
        <f t="shared" si="6"/>
        <v>-52398.84</v>
      </c>
      <c r="K119" s="82"/>
      <c r="L119" s="50"/>
      <c r="N119" s="127"/>
      <c r="P119" s="129"/>
    </row>
    <row r="120" spans="1:16" ht="18" customHeight="1">
      <c r="A120" s="169">
        <v>3605</v>
      </c>
      <c r="B120" s="133" t="s">
        <v>149</v>
      </c>
      <c r="C120" s="173">
        <v>60000</v>
      </c>
      <c r="D120" s="90">
        <v>0</v>
      </c>
      <c r="E120" s="90"/>
      <c r="F120" s="90">
        <f t="shared" si="5"/>
        <v>60000</v>
      </c>
      <c r="G120" s="90">
        <f>8120+104702.84</f>
        <v>112822.84</v>
      </c>
      <c r="H120" s="98">
        <f>+G120+'[3]EVTOP-02'!$H$120</f>
        <v>157822.84</v>
      </c>
      <c r="I120" s="112">
        <f t="shared" si="7"/>
        <v>2.6303806666666665</v>
      </c>
      <c r="J120" s="96">
        <f t="shared" si="6"/>
        <v>-97822.84</v>
      </c>
      <c r="K120" s="82"/>
      <c r="L120" s="50"/>
      <c r="N120" s="127"/>
      <c r="P120" s="129"/>
    </row>
    <row r="121" spans="1:16" ht="18" customHeight="1" hidden="1">
      <c r="A121" s="169">
        <v>3606</v>
      </c>
      <c r="B121" s="133" t="s">
        <v>305</v>
      </c>
      <c r="C121" s="173">
        <v>0</v>
      </c>
      <c r="D121" s="90"/>
      <c r="E121" s="90"/>
      <c r="F121" s="90">
        <f t="shared" si="5"/>
        <v>0</v>
      </c>
      <c r="G121" s="90">
        <v>0</v>
      </c>
      <c r="H121" s="98">
        <f>+G121+'[3]EVTOP-02'!$H$121</f>
        <v>0</v>
      </c>
      <c r="I121" s="112" t="e">
        <f t="shared" si="7"/>
        <v>#DIV/0!</v>
      </c>
      <c r="J121" s="96">
        <f t="shared" si="6"/>
        <v>0</v>
      </c>
      <c r="K121" s="82"/>
      <c r="L121" s="50"/>
      <c r="N121" s="127"/>
      <c r="P121" s="129"/>
    </row>
    <row r="122" spans="1:16" ht="18" customHeight="1" hidden="1">
      <c r="A122" s="169">
        <v>3607</v>
      </c>
      <c r="B122" s="133" t="s">
        <v>306</v>
      </c>
      <c r="C122" s="173">
        <v>0</v>
      </c>
      <c r="D122" s="90"/>
      <c r="E122" s="90"/>
      <c r="F122" s="90">
        <f t="shared" si="5"/>
        <v>0</v>
      </c>
      <c r="G122" s="90">
        <v>0</v>
      </c>
      <c r="H122" s="98">
        <f>+G122+'[3]EVTOP-02'!$H$122</f>
        <v>0</v>
      </c>
      <c r="I122" s="112" t="e">
        <f t="shared" si="7"/>
        <v>#DIV/0!</v>
      </c>
      <c r="J122" s="96">
        <f t="shared" si="6"/>
        <v>0</v>
      </c>
      <c r="K122" s="82"/>
      <c r="L122" s="50"/>
      <c r="N122" s="127"/>
      <c r="P122" s="129"/>
    </row>
    <row r="123" spans="1:16" ht="18" customHeight="1" hidden="1">
      <c r="A123" s="169">
        <v>3608</v>
      </c>
      <c r="B123" s="133" t="s">
        <v>307</v>
      </c>
      <c r="C123" s="173">
        <v>0</v>
      </c>
      <c r="D123" s="90"/>
      <c r="E123" s="90"/>
      <c r="F123" s="90">
        <f t="shared" si="5"/>
        <v>0</v>
      </c>
      <c r="G123" s="90">
        <v>0</v>
      </c>
      <c r="H123" s="98">
        <f>+G123+'[3]EVTOP-02'!$H$123</f>
        <v>0</v>
      </c>
      <c r="I123" s="112" t="e">
        <f t="shared" si="7"/>
        <v>#DIV/0!</v>
      </c>
      <c r="J123" s="96">
        <f t="shared" si="6"/>
        <v>0</v>
      </c>
      <c r="K123" s="82"/>
      <c r="L123" s="50"/>
      <c r="N123" s="127"/>
      <c r="P123" s="129"/>
    </row>
    <row r="124" spans="1:16" ht="18" customHeight="1" hidden="1">
      <c r="A124" s="169">
        <v>3609</v>
      </c>
      <c r="B124" s="133" t="s">
        <v>308</v>
      </c>
      <c r="C124" s="173">
        <v>0</v>
      </c>
      <c r="D124" s="90"/>
      <c r="E124" s="90"/>
      <c r="F124" s="90">
        <f t="shared" si="5"/>
        <v>0</v>
      </c>
      <c r="G124" s="90">
        <v>0</v>
      </c>
      <c r="H124" s="98">
        <f>+G124+'[3]EVTOP-02'!$H$124</f>
        <v>0</v>
      </c>
      <c r="I124" s="112" t="e">
        <f t="shared" si="7"/>
        <v>#DIV/0!</v>
      </c>
      <c r="J124" s="96">
        <f t="shared" si="6"/>
        <v>0</v>
      </c>
      <c r="K124" s="82"/>
      <c r="L124" s="50"/>
      <c r="N124" s="127"/>
      <c r="P124" s="129"/>
    </row>
    <row r="125" spans="1:16" ht="18" customHeight="1">
      <c r="A125" s="169">
        <v>3701</v>
      </c>
      <c r="B125" s="133" t="s">
        <v>125</v>
      </c>
      <c r="C125" s="173">
        <v>1131000</v>
      </c>
      <c r="D125" s="90">
        <v>0</v>
      </c>
      <c r="E125" s="90"/>
      <c r="F125" s="90">
        <f t="shared" si="5"/>
        <v>1131000</v>
      </c>
      <c r="G125" s="90">
        <f>225873.48+216726.36+47707.74</f>
        <v>490307.57999999996</v>
      </c>
      <c r="H125" s="98">
        <f>+G125+'[3]EVTOP-02'!$H$125</f>
        <v>1276157.3</v>
      </c>
      <c r="I125" s="112">
        <f t="shared" si="7"/>
        <v>1.1283442086648983</v>
      </c>
      <c r="J125" s="96">
        <f t="shared" si="6"/>
        <v>-145157.30000000005</v>
      </c>
      <c r="K125" s="82"/>
      <c r="L125" s="50"/>
      <c r="N125" s="127"/>
      <c r="P125" s="129"/>
    </row>
    <row r="126" spans="1:16" ht="18" customHeight="1">
      <c r="A126" s="169">
        <v>3702</v>
      </c>
      <c r="B126" s="133" t="s">
        <v>126</v>
      </c>
      <c r="C126" s="173">
        <v>900000</v>
      </c>
      <c r="D126" s="90">
        <v>0</v>
      </c>
      <c r="E126" s="90"/>
      <c r="F126" s="90">
        <f t="shared" si="5"/>
        <v>900000</v>
      </c>
      <c r="G126" s="90">
        <f>57374.29+84142+55906.85</f>
        <v>197423.14</v>
      </c>
      <c r="H126" s="98">
        <f>+G126+'[3]EVTOP-02'!$H$126</f>
        <v>548283.23</v>
      </c>
      <c r="I126" s="112">
        <f>+(H126/C126)</f>
        <v>0.6092035888888888</v>
      </c>
      <c r="J126" s="96">
        <f t="shared" si="6"/>
        <v>351716.77</v>
      </c>
      <c r="K126" s="82"/>
      <c r="L126" s="50"/>
      <c r="N126" s="127"/>
      <c r="P126" s="129"/>
    </row>
    <row r="127" spans="1:16" ht="18" customHeight="1">
      <c r="A127" s="169">
        <v>3703</v>
      </c>
      <c r="B127" s="133" t="s">
        <v>232</v>
      </c>
      <c r="C127" s="98">
        <v>160000</v>
      </c>
      <c r="D127" s="90"/>
      <c r="E127" s="90"/>
      <c r="F127" s="90">
        <f t="shared" si="5"/>
        <v>160000</v>
      </c>
      <c r="G127" s="90">
        <f>10988+17767.5+18734</f>
        <v>47489.5</v>
      </c>
      <c r="H127" s="98">
        <f>+G127+'[3]EVTOP-02'!$H$127</f>
        <v>132079</v>
      </c>
      <c r="I127" s="112">
        <f>+(H127/C127)</f>
        <v>0.82549375</v>
      </c>
      <c r="J127" s="96">
        <f t="shared" si="6"/>
        <v>27921</v>
      </c>
      <c r="K127" s="82"/>
      <c r="L127" s="50"/>
      <c r="N127" s="127"/>
      <c r="P127" s="129"/>
    </row>
    <row r="128" spans="1:16" ht="18" customHeight="1">
      <c r="A128" s="169">
        <v>3801</v>
      </c>
      <c r="B128" s="133" t="s">
        <v>127</v>
      </c>
      <c r="C128" s="98">
        <v>200000</v>
      </c>
      <c r="D128" s="90">
        <v>0</v>
      </c>
      <c r="E128" s="90"/>
      <c r="F128" s="90">
        <f t="shared" si="5"/>
        <v>200000</v>
      </c>
      <c r="G128" s="90">
        <f>20555+28965.2+18394.58</f>
        <v>67914.78</v>
      </c>
      <c r="H128" s="98">
        <f>+G128+'[3]EVTOP-02'!$H$128</f>
        <v>1058378.9500000002</v>
      </c>
      <c r="I128" s="112">
        <f t="shared" si="7"/>
        <v>5.291894750000001</v>
      </c>
      <c r="J128" s="96">
        <f t="shared" si="6"/>
        <v>-858378.9500000002</v>
      </c>
      <c r="K128" s="60"/>
      <c r="L128" s="50"/>
      <c r="N128" s="127"/>
      <c r="P128" s="129"/>
    </row>
    <row r="129" spans="1:16" ht="18" customHeight="1">
      <c r="A129" s="169">
        <v>3802</v>
      </c>
      <c r="B129" s="133" t="s">
        <v>128</v>
      </c>
      <c r="C129" s="98">
        <v>18000</v>
      </c>
      <c r="D129" s="90">
        <v>0</v>
      </c>
      <c r="E129" s="90"/>
      <c r="F129" s="90">
        <f t="shared" si="5"/>
        <v>18000</v>
      </c>
      <c r="G129" s="90">
        <v>0</v>
      </c>
      <c r="H129" s="98">
        <f>+G129+'[3]EVTOP-02'!$H$129</f>
        <v>20300</v>
      </c>
      <c r="I129" s="112">
        <f t="shared" si="7"/>
        <v>1.1277777777777778</v>
      </c>
      <c r="J129" s="96">
        <f t="shared" si="6"/>
        <v>-2300</v>
      </c>
      <c r="K129" s="60"/>
      <c r="L129" s="50"/>
      <c r="N129" s="127"/>
      <c r="P129" s="129"/>
    </row>
    <row r="130" spans="1:16" ht="18" customHeight="1" hidden="1">
      <c r="A130" s="169">
        <v>3803</v>
      </c>
      <c r="B130" s="133" t="s">
        <v>152</v>
      </c>
      <c r="C130" s="98">
        <v>0</v>
      </c>
      <c r="D130" s="90"/>
      <c r="E130" s="90"/>
      <c r="F130" s="90">
        <f aca="true" t="shared" si="8" ref="F130:F146">+C130+D130</f>
        <v>0</v>
      </c>
      <c r="G130" s="173">
        <v>0</v>
      </c>
      <c r="H130" s="98">
        <f>+G130+'[3]EVTOP-02'!$H$130</f>
        <v>0</v>
      </c>
      <c r="I130" s="112" t="e">
        <f t="shared" si="7"/>
        <v>#DIV/0!</v>
      </c>
      <c r="J130" s="96">
        <f t="shared" si="6"/>
        <v>0</v>
      </c>
      <c r="K130" s="60"/>
      <c r="L130" s="50"/>
      <c r="N130" s="127"/>
      <c r="P130" s="129"/>
    </row>
    <row r="131" spans="1:16" ht="18" customHeight="1" hidden="1">
      <c r="A131" s="169">
        <v>3901</v>
      </c>
      <c r="B131" s="133" t="s">
        <v>309</v>
      </c>
      <c r="C131" s="98">
        <v>0</v>
      </c>
      <c r="D131" s="90"/>
      <c r="E131" s="90"/>
      <c r="F131" s="90">
        <f t="shared" si="8"/>
        <v>0</v>
      </c>
      <c r="G131" s="90">
        <v>0</v>
      </c>
      <c r="H131" s="98">
        <f>+G131+'[3]EVTOP-02'!$H$131</f>
        <v>0</v>
      </c>
      <c r="I131" s="112" t="e">
        <f t="shared" si="7"/>
        <v>#DIV/0!</v>
      </c>
      <c r="J131" s="96">
        <f t="shared" si="6"/>
        <v>0</v>
      </c>
      <c r="K131" s="60"/>
      <c r="L131" s="50"/>
      <c r="N131" s="127"/>
      <c r="P131" s="129"/>
    </row>
    <row r="132" spans="1:16" s="185" customFormat="1" ht="18" customHeight="1" hidden="1">
      <c r="A132" s="276">
        <v>3902</v>
      </c>
      <c r="B132" s="277" t="s">
        <v>310</v>
      </c>
      <c r="C132" s="173">
        <v>0</v>
      </c>
      <c r="D132" s="173"/>
      <c r="E132" s="173"/>
      <c r="F132" s="173">
        <f t="shared" si="8"/>
        <v>0</v>
      </c>
      <c r="G132" s="173">
        <v>0</v>
      </c>
      <c r="H132" s="98">
        <f>+G132+'[3]EVTOP-02'!$H$132</f>
        <v>0</v>
      </c>
      <c r="I132" s="278" t="e">
        <f t="shared" si="7"/>
        <v>#DIV/0!</v>
      </c>
      <c r="J132" s="279">
        <f t="shared" si="6"/>
        <v>0</v>
      </c>
      <c r="K132" s="280"/>
      <c r="L132" s="281"/>
      <c r="N132" s="282"/>
      <c r="P132" s="283"/>
    </row>
    <row r="133" spans="1:16" ht="18" customHeight="1">
      <c r="A133" s="169">
        <v>3903</v>
      </c>
      <c r="B133" s="133" t="s">
        <v>129</v>
      </c>
      <c r="C133" s="98">
        <v>150000</v>
      </c>
      <c r="D133" s="90">
        <v>0</v>
      </c>
      <c r="E133" s="90"/>
      <c r="F133" s="90">
        <f t="shared" si="8"/>
        <v>150000</v>
      </c>
      <c r="G133" s="173">
        <f>140753.18+12893.45+212382.15</f>
        <v>366028.78</v>
      </c>
      <c r="H133" s="98">
        <f>+G133+'[3]EVTOP-02'!$H$133</f>
        <v>1553833.1700000002</v>
      </c>
      <c r="I133" s="112">
        <f t="shared" si="7"/>
        <v>10.358887800000002</v>
      </c>
      <c r="J133" s="96">
        <f t="shared" si="6"/>
        <v>-1403833.1700000002</v>
      </c>
      <c r="K133" s="60"/>
      <c r="L133" s="50"/>
      <c r="N133" s="127"/>
      <c r="P133" s="129"/>
    </row>
    <row r="134" spans="1:16" ht="18" customHeight="1" hidden="1">
      <c r="A134" s="169">
        <v>3904</v>
      </c>
      <c r="B134" s="133" t="s">
        <v>311</v>
      </c>
      <c r="C134" s="98">
        <v>0</v>
      </c>
      <c r="D134" s="90"/>
      <c r="E134" s="90"/>
      <c r="F134" s="90">
        <f t="shared" si="8"/>
        <v>0</v>
      </c>
      <c r="G134" s="90">
        <v>0</v>
      </c>
      <c r="H134" s="98">
        <f>+G134+'[3]EVTOP-02'!$H$134</f>
        <v>0</v>
      </c>
      <c r="I134" s="112" t="e">
        <f t="shared" si="7"/>
        <v>#DIV/0!</v>
      </c>
      <c r="J134" s="96">
        <f t="shared" si="6"/>
        <v>0</v>
      </c>
      <c r="K134" s="60"/>
      <c r="L134" s="50"/>
      <c r="N134" s="127"/>
      <c r="P134" s="129"/>
    </row>
    <row r="135" spans="1:16" ht="18" customHeight="1">
      <c r="A135" s="169">
        <v>3905</v>
      </c>
      <c r="B135" s="133" t="s">
        <v>130</v>
      </c>
      <c r="C135" s="98">
        <v>140000</v>
      </c>
      <c r="D135" s="90">
        <v>0</v>
      </c>
      <c r="E135" s="90"/>
      <c r="F135" s="90">
        <f t="shared" si="8"/>
        <v>140000</v>
      </c>
      <c r="G135" s="90">
        <v>0</v>
      </c>
      <c r="H135" s="98">
        <f>+G135+'[3]EVTOP-02'!$H$135</f>
        <v>-21666.67</v>
      </c>
      <c r="I135" s="112">
        <f t="shared" si="7"/>
        <v>-0.15476192857142856</v>
      </c>
      <c r="J135" s="96">
        <f t="shared" si="6"/>
        <v>161666.66999999998</v>
      </c>
      <c r="K135" s="82"/>
      <c r="L135" s="50"/>
      <c r="N135" s="127"/>
      <c r="P135" s="129"/>
    </row>
    <row r="136" spans="1:16" ht="18" customHeight="1" hidden="1">
      <c r="A136" s="169">
        <v>3906</v>
      </c>
      <c r="B136" s="133" t="s">
        <v>131</v>
      </c>
      <c r="C136" s="98">
        <v>0</v>
      </c>
      <c r="D136" s="90">
        <v>0</v>
      </c>
      <c r="E136" s="90"/>
      <c r="F136" s="90">
        <f t="shared" si="8"/>
        <v>0</v>
      </c>
      <c r="G136" s="90">
        <v>0</v>
      </c>
      <c r="H136" s="98">
        <f>+G136+'[3]EVTOP-02'!$H$136</f>
        <v>0</v>
      </c>
      <c r="I136" s="112" t="e">
        <f t="shared" si="7"/>
        <v>#DIV/0!</v>
      </c>
      <c r="J136" s="96">
        <f t="shared" si="6"/>
        <v>0</v>
      </c>
      <c r="K136" s="82"/>
      <c r="L136" s="50"/>
      <c r="M136" s="127"/>
      <c r="N136" s="127"/>
      <c r="O136" s="127"/>
      <c r="P136" s="129"/>
    </row>
    <row r="137" spans="1:16" ht="18" customHeight="1">
      <c r="A137" s="169">
        <v>3907</v>
      </c>
      <c r="B137" s="133" t="s">
        <v>230</v>
      </c>
      <c r="C137" s="98">
        <v>264000</v>
      </c>
      <c r="D137" s="90"/>
      <c r="E137" s="90"/>
      <c r="F137" s="90">
        <f t="shared" si="8"/>
        <v>264000</v>
      </c>
      <c r="G137" s="90">
        <f>23333.33+23333.33+33333.33</f>
        <v>79999.99</v>
      </c>
      <c r="H137" s="98">
        <f>+G137+'[3]EVTOP-02'!$H$137</f>
        <v>262699.99</v>
      </c>
      <c r="I137" s="112">
        <f t="shared" si="7"/>
        <v>0.9950757196969696</v>
      </c>
      <c r="J137" s="96">
        <f t="shared" si="6"/>
        <v>1300.0100000000093</v>
      </c>
      <c r="K137" s="82"/>
      <c r="L137" s="50"/>
      <c r="M137" s="127"/>
      <c r="N137" s="127"/>
      <c r="O137" s="127"/>
      <c r="P137" s="129"/>
    </row>
    <row r="138" spans="1:16" ht="18" customHeight="1" hidden="1">
      <c r="A138" s="169">
        <v>3908</v>
      </c>
      <c r="B138" s="133" t="s">
        <v>312</v>
      </c>
      <c r="C138" s="98">
        <v>0</v>
      </c>
      <c r="D138" s="90"/>
      <c r="E138" s="90"/>
      <c r="F138" s="90">
        <f t="shared" si="8"/>
        <v>0</v>
      </c>
      <c r="G138" s="159">
        <v>0</v>
      </c>
      <c r="H138" s="98">
        <f>+G138+'[3]EVTOP-02'!$H$138</f>
        <v>0</v>
      </c>
      <c r="I138" s="160" t="e">
        <f t="shared" si="7"/>
        <v>#DIV/0!</v>
      </c>
      <c r="J138" s="161">
        <f t="shared" si="6"/>
        <v>0</v>
      </c>
      <c r="K138" s="82"/>
      <c r="L138" s="50"/>
      <c r="M138" s="127"/>
      <c r="N138" s="127"/>
      <c r="O138" s="127"/>
      <c r="P138" s="129"/>
    </row>
    <row r="139" spans="1:16" ht="18" customHeight="1" hidden="1">
      <c r="A139" s="169">
        <v>3909</v>
      </c>
      <c r="B139" s="133" t="s">
        <v>313</v>
      </c>
      <c r="C139" s="98">
        <v>0</v>
      </c>
      <c r="D139" s="90"/>
      <c r="E139" s="90"/>
      <c r="F139" s="90">
        <f t="shared" si="8"/>
        <v>0</v>
      </c>
      <c r="G139" s="159">
        <v>0</v>
      </c>
      <c r="H139" s="98">
        <f>+G139+'[3]EVTOP-02'!$H$139</f>
        <v>0</v>
      </c>
      <c r="I139" s="160" t="e">
        <f t="shared" si="7"/>
        <v>#DIV/0!</v>
      </c>
      <c r="J139" s="161">
        <f t="shared" si="6"/>
        <v>0</v>
      </c>
      <c r="K139" s="82"/>
      <c r="L139" s="50"/>
      <c r="M139" s="127"/>
      <c r="N139" s="127"/>
      <c r="O139" s="127"/>
      <c r="P139" s="129"/>
    </row>
    <row r="140" spans="1:16" ht="18" customHeight="1" hidden="1">
      <c r="A140" s="169">
        <v>3910</v>
      </c>
      <c r="B140" s="133" t="s">
        <v>314</v>
      </c>
      <c r="C140" s="98">
        <v>0</v>
      </c>
      <c r="D140" s="90"/>
      <c r="E140" s="90"/>
      <c r="F140" s="90">
        <f t="shared" si="8"/>
        <v>0</v>
      </c>
      <c r="G140" s="159">
        <v>0</v>
      </c>
      <c r="H140" s="98">
        <f>+G140+'[3]EVTOP-02'!$H$140</f>
        <v>0</v>
      </c>
      <c r="I140" s="160" t="e">
        <f t="shared" si="7"/>
        <v>#DIV/0!</v>
      </c>
      <c r="J140" s="161">
        <f t="shared" si="6"/>
        <v>0</v>
      </c>
      <c r="K140" s="82"/>
      <c r="L140" s="50"/>
      <c r="M140" s="127"/>
      <c r="N140" s="127"/>
      <c r="O140" s="127"/>
      <c r="P140" s="129"/>
    </row>
    <row r="141" spans="1:16" ht="18" customHeight="1" hidden="1">
      <c r="A141" s="169">
        <v>3911</v>
      </c>
      <c r="B141" s="133" t="s">
        <v>315</v>
      </c>
      <c r="C141" s="98">
        <v>0</v>
      </c>
      <c r="D141" s="90"/>
      <c r="E141" s="90"/>
      <c r="F141" s="90">
        <f t="shared" si="8"/>
        <v>0</v>
      </c>
      <c r="G141" s="159">
        <v>0</v>
      </c>
      <c r="H141" s="98">
        <f>+G141+'[3]EVTOP-02'!$H$141</f>
        <v>0</v>
      </c>
      <c r="I141" s="160" t="e">
        <f t="shared" si="7"/>
        <v>#DIV/0!</v>
      </c>
      <c r="J141" s="161">
        <f t="shared" si="6"/>
        <v>0</v>
      </c>
      <c r="K141" s="82"/>
      <c r="L141" s="50"/>
      <c r="M141" s="127"/>
      <c r="N141" s="127"/>
      <c r="O141" s="127"/>
      <c r="P141" s="129"/>
    </row>
    <row r="142" spans="1:16" ht="18" customHeight="1" hidden="1">
      <c r="A142" s="169">
        <v>3913</v>
      </c>
      <c r="B142" s="133" t="s">
        <v>316</v>
      </c>
      <c r="C142" s="98">
        <v>0</v>
      </c>
      <c r="D142" s="90"/>
      <c r="E142" s="90"/>
      <c r="F142" s="90">
        <f t="shared" si="8"/>
        <v>0</v>
      </c>
      <c r="G142" s="159">
        <v>0</v>
      </c>
      <c r="H142" s="98">
        <f>+G142+'[3]EVTOP-02'!$H$142</f>
        <v>0</v>
      </c>
      <c r="I142" s="160" t="e">
        <f t="shared" si="7"/>
        <v>#DIV/0!</v>
      </c>
      <c r="J142" s="161">
        <f t="shared" si="6"/>
        <v>0</v>
      </c>
      <c r="K142" s="82"/>
      <c r="L142" s="50"/>
      <c r="M142" s="127"/>
      <c r="N142" s="127"/>
      <c r="O142" s="127"/>
      <c r="P142" s="129"/>
    </row>
    <row r="143" spans="1:16" ht="18" customHeight="1" hidden="1">
      <c r="A143" s="169">
        <v>3914</v>
      </c>
      <c r="B143" s="133" t="s">
        <v>317</v>
      </c>
      <c r="C143" s="98">
        <v>0</v>
      </c>
      <c r="D143" s="90"/>
      <c r="E143" s="90"/>
      <c r="F143" s="90">
        <f t="shared" si="8"/>
        <v>0</v>
      </c>
      <c r="G143" s="159">
        <v>0</v>
      </c>
      <c r="H143" s="98">
        <f>+G143+'[3]EVTOP-02'!$H$143</f>
        <v>0</v>
      </c>
      <c r="I143" s="160" t="e">
        <f t="shared" si="7"/>
        <v>#DIV/0!</v>
      </c>
      <c r="J143" s="161">
        <f t="shared" si="6"/>
        <v>0</v>
      </c>
      <c r="K143" s="82"/>
      <c r="L143" s="50"/>
      <c r="M143" s="127"/>
      <c r="N143" s="127"/>
      <c r="O143" s="127"/>
      <c r="P143" s="129"/>
    </row>
    <row r="144" spans="1:16" ht="18" customHeight="1" hidden="1">
      <c r="A144" s="169">
        <v>3917</v>
      </c>
      <c r="B144" s="133" t="s">
        <v>318</v>
      </c>
      <c r="C144" s="98">
        <v>0</v>
      </c>
      <c r="D144" s="90"/>
      <c r="E144" s="90"/>
      <c r="F144" s="90">
        <f t="shared" si="8"/>
        <v>0</v>
      </c>
      <c r="G144" s="159">
        <v>0</v>
      </c>
      <c r="H144" s="98">
        <f>+G144+'[3]EVTOP-02'!$H$144</f>
        <v>0</v>
      </c>
      <c r="I144" s="160" t="e">
        <f t="shared" si="7"/>
        <v>#DIV/0!</v>
      </c>
      <c r="J144" s="161">
        <f t="shared" si="6"/>
        <v>0</v>
      </c>
      <c r="K144" s="82"/>
      <c r="L144" s="50"/>
      <c r="M144" s="127"/>
      <c r="N144" s="127"/>
      <c r="O144" s="127"/>
      <c r="P144" s="129"/>
    </row>
    <row r="145" spans="1:16" ht="18" customHeight="1" hidden="1">
      <c r="A145" s="169">
        <v>3918</v>
      </c>
      <c r="B145" s="133" t="s">
        <v>319</v>
      </c>
      <c r="C145" s="98">
        <v>0</v>
      </c>
      <c r="D145" s="90"/>
      <c r="E145" s="90"/>
      <c r="F145" s="90">
        <f t="shared" si="8"/>
        <v>0</v>
      </c>
      <c r="G145" s="159">
        <v>0</v>
      </c>
      <c r="H145" s="98">
        <f>+G145+'[3]EVTOP-02'!$H$145</f>
        <v>0</v>
      </c>
      <c r="I145" s="160" t="e">
        <f t="shared" si="7"/>
        <v>#DIV/0!</v>
      </c>
      <c r="J145" s="161">
        <f t="shared" si="6"/>
        <v>0</v>
      </c>
      <c r="K145" s="82"/>
      <c r="L145" s="50"/>
      <c r="M145" s="127"/>
      <c r="N145" s="127"/>
      <c r="O145" s="127"/>
      <c r="P145" s="129"/>
    </row>
    <row r="146" spans="1:16" ht="18" customHeight="1" hidden="1">
      <c r="A146" s="169">
        <v>3919</v>
      </c>
      <c r="B146" s="133" t="s">
        <v>320</v>
      </c>
      <c r="C146" s="98">
        <v>0</v>
      </c>
      <c r="D146" s="90"/>
      <c r="E146" s="90"/>
      <c r="F146" s="90">
        <f t="shared" si="8"/>
        <v>0</v>
      </c>
      <c r="G146" s="159">
        <v>0</v>
      </c>
      <c r="H146" s="98">
        <f>+G146+'[3]EVTOP-02'!$H$146</f>
        <v>0</v>
      </c>
      <c r="I146" s="160" t="e">
        <f t="shared" si="7"/>
        <v>#DIV/0!</v>
      </c>
      <c r="J146" s="161">
        <f t="shared" si="6"/>
        <v>0</v>
      </c>
      <c r="K146" s="82"/>
      <c r="L146" s="50"/>
      <c r="M146" s="127"/>
      <c r="N146" s="127"/>
      <c r="O146" s="127"/>
      <c r="P146" s="129"/>
    </row>
    <row r="147" spans="1:13" ht="30" customHeight="1">
      <c r="A147" s="138">
        <v>5000</v>
      </c>
      <c r="B147" s="134" t="s">
        <v>132</v>
      </c>
      <c r="C147" s="92">
        <f>SUM(C148:C160)</f>
        <v>2984465</v>
      </c>
      <c r="D147" s="92">
        <f>SUM(D148:D160)</f>
        <v>4613720.62</v>
      </c>
      <c r="E147" s="92"/>
      <c r="F147" s="150">
        <f>SUM(F148:F160)</f>
        <v>7598185.62</v>
      </c>
      <c r="G147" s="151">
        <f>SUM(G148:G163)</f>
        <v>65505.56</v>
      </c>
      <c r="H147" s="91">
        <f>+G147+'[3]EVTOP-02'!$H$147</f>
        <v>294118.95000000007</v>
      </c>
      <c r="I147" s="148">
        <f t="shared" si="7"/>
        <v>0.0985499746185665</v>
      </c>
      <c r="J147" s="149">
        <f>+(C147-H147)</f>
        <v>2690346.05</v>
      </c>
      <c r="K147" s="68"/>
      <c r="L147" s="50"/>
      <c r="M147" s="58"/>
    </row>
    <row r="148" spans="1:16" ht="18" customHeight="1">
      <c r="A148" s="169">
        <v>5101</v>
      </c>
      <c r="B148" s="140" t="s">
        <v>133</v>
      </c>
      <c r="C148" s="90">
        <v>170000</v>
      </c>
      <c r="D148" s="90">
        <f>+'EVTOP-01'!C16</f>
        <v>4613720.62</v>
      </c>
      <c r="E148" s="90"/>
      <c r="F148" s="90">
        <f aca="true" t="shared" si="9" ref="F148:F164">+C148+D148</f>
        <v>4783720.62</v>
      </c>
      <c r="G148" s="90">
        <v>4395</v>
      </c>
      <c r="H148" s="98">
        <f>+G148+'[3]EVTOP-02'!$H$148</f>
        <v>4395</v>
      </c>
      <c r="I148" s="112">
        <f t="shared" si="7"/>
        <v>0.02585294117647059</v>
      </c>
      <c r="J148" s="96">
        <f>+(C148-H148)</f>
        <v>165605</v>
      </c>
      <c r="K148" s="69"/>
      <c r="L148" s="50"/>
      <c r="N148" s="127"/>
      <c r="P148" s="127"/>
    </row>
    <row r="149" spans="1:16" ht="18" customHeight="1">
      <c r="A149" s="169">
        <v>5102</v>
      </c>
      <c r="B149" s="140" t="s">
        <v>134</v>
      </c>
      <c r="C149" s="90">
        <v>135000</v>
      </c>
      <c r="D149" s="90">
        <v>0</v>
      </c>
      <c r="E149" s="90"/>
      <c r="F149" s="90">
        <f t="shared" si="9"/>
        <v>135000</v>
      </c>
      <c r="G149" s="90">
        <v>61110.56</v>
      </c>
      <c r="H149" s="98">
        <f>+G149+'[3]EVTOP-02'!$H$149</f>
        <v>61110.56</v>
      </c>
      <c r="I149" s="112">
        <f t="shared" si="7"/>
        <v>0.4526708148148148</v>
      </c>
      <c r="J149" s="96">
        <f aca="true" t="shared" si="10" ref="J149:J164">+(C149-H149)</f>
        <v>73889.44</v>
      </c>
      <c r="K149" s="69"/>
      <c r="L149" s="50"/>
      <c r="N149" s="127"/>
      <c r="P149" s="127"/>
    </row>
    <row r="150" spans="1:16" ht="18" customHeight="1">
      <c r="A150" s="169">
        <v>5103</v>
      </c>
      <c r="B150" s="140" t="s">
        <v>135</v>
      </c>
      <c r="C150" s="90">
        <v>85000</v>
      </c>
      <c r="D150" s="90">
        <v>0</v>
      </c>
      <c r="E150" s="90"/>
      <c r="F150" s="90">
        <f t="shared" si="9"/>
        <v>85000</v>
      </c>
      <c r="G150" s="90">
        <v>0</v>
      </c>
      <c r="H150" s="98">
        <f>+G150+'[3]EVTOP-02'!$H$150</f>
        <v>0</v>
      </c>
      <c r="I150" s="112">
        <f aca="true" t="shared" si="11" ref="I150:I155">+(H150/C150)</f>
        <v>0</v>
      </c>
      <c r="J150" s="96">
        <f t="shared" si="10"/>
        <v>85000</v>
      </c>
      <c r="K150" s="69"/>
      <c r="L150" s="50"/>
      <c r="N150" s="127"/>
      <c r="P150" s="127"/>
    </row>
    <row r="151" spans="1:16" ht="18" customHeight="1">
      <c r="A151" s="169">
        <v>5104</v>
      </c>
      <c r="B151" s="140" t="s">
        <v>136</v>
      </c>
      <c r="C151" s="90">
        <v>300000</v>
      </c>
      <c r="D151" s="90">
        <v>0</v>
      </c>
      <c r="E151" s="90"/>
      <c r="F151" s="90">
        <f t="shared" si="9"/>
        <v>300000</v>
      </c>
      <c r="G151" s="90">
        <v>0</v>
      </c>
      <c r="H151" s="98">
        <f>+G151+'[3]EVTOP-02'!$H$151</f>
        <v>0</v>
      </c>
      <c r="I151" s="112">
        <f t="shared" si="11"/>
        <v>0</v>
      </c>
      <c r="J151" s="96">
        <f t="shared" si="10"/>
        <v>300000</v>
      </c>
      <c r="K151" s="69"/>
      <c r="L151" s="50"/>
      <c r="N151" s="127"/>
      <c r="P151" s="127"/>
    </row>
    <row r="152" spans="1:16" ht="18" customHeight="1">
      <c r="A152" s="169">
        <v>5105</v>
      </c>
      <c r="B152" s="140" t="s">
        <v>137</v>
      </c>
      <c r="C152" s="90">
        <v>280000</v>
      </c>
      <c r="D152" s="90">
        <v>0</v>
      </c>
      <c r="E152" s="90"/>
      <c r="F152" s="90">
        <f t="shared" si="9"/>
        <v>280000</v>
      </c>
      <c r="G152" s="173">
        <v>0</v>
      </c>
      <c r="H152" s="98">
        <f>+G152+'[3]EVTOP-02'!$H$152</f>
        <v>1610434.93</v>
      </c>
      <c r="I152" s="112">
        <f t="shared" si="11"/>
        <v>5.751553321428571</v>
      </c>
      <c r="J152" s="96">
        <f t="shared" si="10"/>
        <v>-1330434.93</v>
      </c>
      <c r="K152" s="69"/>
      <c r="L152" s="50"/>
      <c r="N152" s="127"/>
      <c r="P152" s="127"/>
    </row>
    <row r="153" spans="1:16" ht="18" customHeight="1" hidden="1">
      <c r="A153" s="169">
        <v>5201</v>
      </c>
      <c r="B153" s="140" t="s">
        <v>321</v>
      </c>
      <c r="C153" s="90">
        <v>0</v>
      </c>
      <c r="D153" s="90">
        <v>0</v>
      </c>
      <c r="E153" s="90"/>
      <c r="F153" s="90">
        <f t="shared" si="9"/>
        <v>0</v>
      </c>
      <c r="G153" s="90">
        <v>0</v>
      </c>
      <c r="H153" s="98">
        <f>+G153+'[3]EVTOP-02'!$H$153</f>
        <v>0</v>
      </c>
      <c r="I153" s="112" t="e">
        <f t="shared" si="11"/>
        <v>#DIV/0!</v>
      </c>
      <c r="J153" s="96">
        <f t="shared" si="10"/>
        <v>0</v>
      </c>
      <c r="K153" s="69"/>
      <c r="L153" s="50"/>
      <c r="N153" s="127"/>
      <c r="P153" s="127"/>
    </row>
    <row r="154" spans="1:16" ht="18" customHeight="1" hidden="1">
      <c r="A154" s="169">
        <v>5202</v>
      </c>
      <c r="B154" s="140" t="s">
        <v>322</v>
      </c>
      <c r="C154" s="90">
        <v>0</v>
      </c>
      <c r="D154" s="90">
        <v>0</v>
      </c>
      <c r="E154" s="90"/>
      <c r="F154" s="90">
        <f t="shared" si="9"/>
        <v>0</v>
      </c>
      <c r="G154" s="90">
        <v>0</v>
      </c>
      <c r="H154" s="98">
        <f>+G154+'[3]EVTOP-02'!$H$154</f>
        <v>0</v>
      </c>
      <c r="I154" s="112" t="e">
        <f t="shared" si="11"/>
        <v>#DIV/0!</v>
      </c>
      <c r="J154" s="96">
        <f t="shared" si="10"/>
        <v>0</v>
      </c>
      <c r="K154" s="69"/>
      <c r="L154" s="50"/>
      <c r="N154" s="127"/>
      <c r="P154" s="127"/>
    </row>
    <row r="155" spans="1:16" ht="18" customHeight="1" hidden="1">
      <c r="A155" s="169">
        <v>5203</v>
      </c>
      <c r="B155" s="140" t="s">
        <v>323</v>
      </c>
      <c r="C155" s="90">
        <v>0</v>
      </c>
      <c r="D155" s="90">
        <v>0</v>
      </c>
      <c r="E155" s="90"/>
      <c r="F155" s="90">
        <f t="shared" si="9"/>
        <v>0</v>
      </c>
      <c r="G155" s="90">
        <v>0</v>
      </c>
      <c r="H155" s="98">
        <f>+G155+'[3]EVTOP-02'!$H$155</f>
        <v>0</v>
      </c>
      <c r="I155" s="112" t="e">
        <f t="shared" si="11"/>
        <v>#DIV/0!</v>
      </c>
      <c r="J155" s="96">
        <f t="shared" si="10"/>
        <v>0</v>
      </c>
      <c r="K155" s="69"/>
      <c r="L155" s="50"/>
      <c r="N155" s="127"/>
      <c r="P155" s="127"/>
    </row>
    <row r="156" spans="1:16" ht="18" customHeight="1">
      <c r="A156" s="169">
        <v>5204</v>
      </c>
      <c r="B156" s="140" t="s">
        <v>138</v>
      </c>
      <c r="C156" s="90">
        <v>399465</v>
      </c>
      <c r="D156" s="90">
        <v>0</v>
      </c>
      <c r="E156" s="90"/>
      <c r="F156" s="90">
        <f t="shared" si="9"/>
        <v>399465</v>
      </c>
      <c r="G156" s="90">
        <v>0</v>
      </c>
      <c r="H156" s="98">
        <f>+G156+'[3]EVTOP-02'!$H$156</f>
        <v>0</v>
      </c>
      <c r="I156" s="112">
        <f t="shared" si="7"/>
        <v>0</v>
      </c>
      <c r="J156" s="96">
        <f t="shared" si="10"/>
        <v>399465</v>
      </c>
      <c r="K156" s="69"/>
      <c r="L156" s="50"/>
      <c r="N156" s="127"/>
      <c r="P156" s="127"/>
    </row>
    <row r="157" spans="1:16" ht="18" customHeight="1">
      <c r="A157" s="169">
        <v>5205</v>
      </c>
      <c r="B157" s="140" t="s">
        <v>139</v>
      </c>
      <c r="C157" s="90">
        <v>15000</v>
      </c>
      <c r="D157" s="90">
        <v>0</v>
      </c>
      <c r="E157" s="90"/>
      <c r="F157" s="90">
        <f t="shared" si="9"/>
        <v>15000</v>
      </c>
      <c r="G157" s="90">
        <v>0</v>
      </c>
      <c r="H157" s="98">
        <f>+G157+'[3]EVTOP-02'!$H$157</f>
        <v>0</v>
      </c>
      <c r="I157" s="112">
        <f t="shared" si="7"/>
        <v>0</v>
      </c>
      <c r="J157" s="96">
        <f t="shared" si="10"/>
        <v>15000</v>
      </c>
      <c r="K157" s="69"/>
      <c r="L157" s="50"/>
      <c r="N157" s="127"/>
      <c r="P157" s="127"/>
    </row>
    <row r="158" spans="1:16" ht="18" customHeight="1">
      <c r="A158" s="169">
        <v>5206</v>
      </c>
      <c r="B158" s="140" t="s">
        <v>140</v>
      </c>
      <c r="C158" s="90">
        <v>1000000</v>
      </c>
      <c r="D158" s="90">
        <v>0</v>
      </c>
      <c r="E158" s="90"/>
      <c r="F158" s="90">
        <f t="shared" si="9"/>
        <v>1000000</v>
      </c>
      <c r="G158" s="173">
        <v>0</v>
      </c>
      <c r="H158" s="98">
        <f>+G158+'[3]EVTOP-02'!$H$158</f>
        <v>-1381821.5399999998</v>
      </c>
      <c r="I158" s="112">
        <f t="shared" si="7"/>
        <v>-1.3818215399999998</v>
      </c>
      <c r="J158" s="96">
        <f t="shared" si="10"/>
        <v>2381821.54</v>
      </c>
      <c r="K158" s="69"/>
      <c r="L158" s="50"/>
      <c r="N158" s="127"/>
      <c r="P158" s="127"/>
    </row>
    <row r="159" spans="1:16" ht="18" customHeight="1" hidden="1">
      <c r="A159" s="169">
        <v>5207</v>
      </c>
      <c r="B159" s="133" t="s">
        <v>489</v>
      </c>
      <c r="C159" s="90">
        <v>0</v>
      </c>
      <c r="D159" s="90">
        <v>0</v>
      </c>
      <c r="E159" s="90"/>
      <c r="F159" s="90">
        <f t="shared" si="9"/>
        <v>0</v>
      </c>
      <c r="G159" s="90">
        <v>0</v>
      </c>
      <c r="H159" s="98">
        <f>+G159+'[3]EVTOP-02'!$H$159</f>
        <v>0</v>
      </c>
      <c r="I159" s="112" t="e">
        <f t="shared" si="7"/>
        <v>#DIV/0!</v>
      </c>
      <c r="J159" s="96">
        <f t="shared" si="10"/>
        <v>0</v>
      </c>
      <c r="K159" s="69"/>
      <c r="L159" s="50"/>
      <c r="N159" s="127"/>
      <c r="P159" s="127"/>
    </row>
    <row r="160" spans="1:17" ht="18" customHeight="1">
      <c r="A160" s="169">
        <v>5301</v>
      </c>
      <c r="B160" s="140" t="s">
        <v>141</v>
      </c>
      <c r="C160" s="90">
        <v>600000</v>
      </c>
      <c r="D160" s="90">
        <v>0</v>
      </c>
      <c r="E160" s="90"/>
      <c r="F160" s="90">
        <f t="shared" si="9"/>
        <v>600000</v>
      </c>
      <c r="G160" s="90">
        <v>0</v>
      </c>
      <c r="H160" s="98">
        <f>+G160+'[3]EVTOP-02'!$H$160</f>
        <v>0</v>
      </c>
      <c r="I160" s="112">
        <f t="shared" si="7"/>
        <v>0</v>
      </c>
      <c r="J160" s="96">
        <f t="shared" si="10"/>
        <v>600000</v>
      </c>
      <c r="K160" s="69"/>
      <c r="L160" s="50"/>
      <c r="M160" s="127"/>
      <c r="O160" s="127"/>
      <c r="P160" s="127"/>
      <c r="Q160" s="127"/>
    </row>
    <row r="161" spans="1:17" ht="18" customHeight="1" hidden="1">
      <c r="A161" s="169">
        <v>5302</v>
      </c>
      <c r="B161" s="140" t="s">
        <v>324</v>
      </c>
      <c r="C161" s="90">
        <v>0</v>
      </c>
      <c r="D161" s="90"/>
      <c r="E161" s="90"/>
      <c r="F161" s="90">
        <f t="shared" si="9"/>
        <v>0</v>
      </c>
      <c r="G161" s="90"/>
      <c r="H161" s="98">
        <f>+G161+'[3]EVTOP-02'!$H$161</f>
        <v>0</v>
      </c>
      <c r="I161" s="112" t="e">
        <f t="shared" si="7"/>
        <v>#DIV/0!</v>
      </c>
      <c r="J161" s="96">
        <f t="shared" si="10"/>
        <v>0</v>
      </c>
      <c r="K161" s="69"/>
      <c r="L161" s="50"/>
      <c r="M161" s="127"/>
      <c r="O161" s="127"/>
      <c r="P161" s="127"/>
      <c r="Q161" s="127"/>
    </row>
    <row r="162" spans="1:17" ht="18" customHeight="1" hidden="1">
      <c r="A162" s="169">
        <v>5303</v>
      </c>
      <c r="B162" s="140" t="s">
        <v>325</v>
      </c>
      <c r="C162" s="90">
        <v>0</v>
      </c>
      <c r="D162" s="90"/>
      <c r="E162" s="90"/>
      <c r="F162" s="90">
        <f t="shared" si="9"/>
        <v>0</v>
      </c>
      <c r="G162" s="90"/>
      <c r="H162" s="98">
        <f>+G162+'[3]EVTOP-02'!$H$162</f>
        <v>0</v>
      </c>
      <c r="I162" s="112" t="e">
        <f t="shared" si="7"/>
        <v>#DIV/0!</v>
      </c>
      <c r="J162" s="96">
        <f t="shared" si="10"/>
        <v>0</v>
      </c>
      <c r="K162" s="69"/>
      <c r="L162" s="50"/>
      <c r="M162" s="127"/>
      <c r="O162" s="127"/>
      <c r="P162" s="127"/>
      <c r="Q162" s="127"/>
    </row>
    <row r="163" spans="1:17" ht="18" customHeight="1" hidden="1">
      <c r="A163" s="169">
        <v>5304</v>
      </c>
      <c r="B163" s="140" t="s">
        <v>326</v>
      </c>
      <c r="C163" s="90">
        <v>0</v>
      </c>
      <c r="D163" s="90"/>
      <c r="E163" s="90"/>
      <c r="F163" s="90">
        <f t="shared" si="9"/>
        <v>0</v>
      </c>
      <c r="G163" s="90"/>
      <c r="H163" s="98">
        <f>+G163+'[3]EVTOP-02'!$H$163</f>
        <v>0</v>
      </c>
      <c r="I163" s="112" t="e">
        <f t="shared" si="7"/>
        <v>#DIV/0!</v>
      </c>
      <c r="J163" s="96">
        <f t="shared" si="10"/>
        <v>0</v>
      </c>
      <c r="K163" s="69"/>
      <c r="L163" s="50"/>
      <c r="M163" s="127"/>
      <c r="O163" s="127"/>
      <c r="P163" s="127"/>
      <c r="Q163" s="127"/>
    </row>
    <row r="164" spans="1:12" ht="18" customHeight="1" hidden="1">
      <c r="A164" s="107" t="s">
        <v>150</v>
      </c>
      <c r="B164" s="141"/>
      <c r="C164" s="90">
        <v>0</v>
      </c>
      <c r="D164" s="90"/>
      <c r="E164" s="90"/>
      <c r="F164" s="90">
        <f t="shared" si="9"/>
        <v>0</v>
      </c>
      <c r="G164" s="93"/>
      <c r="H164" s="98">
        <f>+G164+'[3]EVTOP-02'!$H$164</f>
        <v>0</v>
      </c>
      <c r="I164" s="112" t="e">
        <f t="shared" si="7"/>
        <v>#DIV/0!</v>
      </c>
      <c r="J164" s="96">
        <f t="shared" si="10"/>
        <v>0</v>
      </c>
      <c r="K164" s="100"/>
      <c r="L164" s="50"/>
    </row>
    <row r="165" spans="1:16" ht="30" customHeight="1">
      <c r="A165" s="138">
        <v>6000</v>
      </c>
      <c r="B165" s="176" t="s">
        <v>331</v>
      </c>
      <c r="C165" s="177">
        <v>0</v>
      </c>
      <c r="D165" s="91">
        <v>0</v>
      </c>
      <c r="E165" s="91"/>
      <c r="F165" s="177">
        <v>0</v>
      </c>
      <c r="G165" s="91">
        <v>0</v>
      </c>
      <c r="H165" s="91">
        <f>+G165+'[3]EVTOP-02'!$H$165</f>
        <v>745727.6100000001</v>
      </c>
      <c r="I165" s="320" t="e">
        <f t="shared" si="7"/>
        <v>#DIV/0!</v>
      </c>
      <c r="J165" s="178">
        <f aca="true" t="shared" si="12" ref="J165:J174">+(C165-H165)</f>
        <v>-745727.6100000001</v>
      </c>
      <c r="K165" s="259"/>
      <c r="L165" s="50"/>
      <c r="P165" s="127"/>
    </row>
    <row r="166" spans="1:16" ht="15.75" customHeight="1">
      <c r="A166" s="138"/>
      <c r="B166" s="176" t="s">
        <v>490</v>
      </c>
      <c r="C166" s="177">
        <v>0</v>
      </c>
      <c r="D166" s="91"/>
      <c r="E166" s="91"/>
      <c r="F166" s="177">
        <v>110086</v>
      </c>
      <c r="G166" s="91">
        <v>0</v>
      </c>
      <c r="H166" s="177">
        <f>+G166+'[3]EVTOP-02'!$H$166</f>
        <v>0</v>
      </c>
      <c r="I166" s="320" t="e">
        <f t="shared" si="7"/>
        <v>#DIV/0!</v>
      </c>
      <c r="J166" s="178">
        <f t="shared" si="12"/>
        <v>0</v>
      </c>
      <c r="K166" s="259"/>
      <c r="L166" s="50"/>
      <c r="P166" s="127"/>
    </row>
    <row r="167" spans="1:16" ht="15" customHeight="1">
      <c r="A167" s="138"/>
      <c r="B167" s="176" t="s">
        <v>491</v>
      </c>
      <c r="C167" s="177">
        <v>0</v>
      </c>
      <c r="D167" s="91"/>
      <c r="E167" s="91"/>
      <c r="F167" s="177">
        <v>219914</v>
      </c>
      <c r="G167" s="91">
        <v>0</v>
      </c>
      <c r="H167" s="177">
        <f>+G167+'[3]EVTOP-02'!$H$167</f>
        <v>0</v>
      </c>
      <c r="I167" s="320" t="e">
        <f t="shared" si="7"/>
        <v>#DIV/0!</v>
      </c>
      <c r="J167" s="178">
        <f t="shared" si="12"/>
        <v>0</v>
      </c>
      <c r="K167" s="259"/>
      <c r="L167" s="50"/>
      <c r="P167" s="127"/>
    </row>
    <row r="168" spans="1:16" ht="15.75" customHeight="1">
      <c r="A168" s="138"/>
      <c r="B168" s="176" t="s">
        <v>492</v>
      </c>
      <c r="C168" s="177">
        <v>0</v>
      </c>
      <c r="D168" s="91"/>
      <c r="E168" s="91"/>
      <c r="F168" s="177">
        <v>533715</v>
      </c>
      <c r="G168" s="91">
        <v>0</v>
      </c>
      <c r="H168" s="177">
        <f>+G168+'[3]EVTOP-02'!$H$168</f>
        <v>0</v>
      </c>
      <c r="I168" s="320" t="e">
        <f t="shared" si="7"/>
        <v>#DIV/0!</v>
      </c>
      <c r="J168" s="178">
        <f t="shared" si="12"/>
        <v>0</v>
      </c>
      <c r="K168" s="259"/>
      <c r="L168" s="50"/>
      <c r="P168" s="127"/>
    </row>
    <row r="169" spans="1:16" ht="15.75" customHeight="1">
      <c r="A169" s="138"/>
      <c r="B169" s="176" t="s">
        <v>513</v>
      </c>
      <c r="C169" s="177">
        <v>0</v>
      </c>
      <c r="D169" s="91"/>
      <c r="E169" s="91"/>
      <c r="F169" s="177">
        <v>150000</v>
      </c>
      <c r="G169" s="91">
        <v>0</v>
      </c>
      <c r="H169" s="177">
        <v>0</v>
      </c>
      <c r="I169" s="320"/>
      <c r="J169" s="178">
        <f t="shared" si="12"/>
        <v>0</v>
      </c>
      <c r="K169" s="259"/>
      <c r="L169" s="50"/>
      <c r="P169" s="127"/>
    </row>
    <row r="170" spans="1:16" ht="15.75" customHeight="1">
      <c r="A170" s="138"/>
      <c r="B170" s="176" t="s">
        <v>515</v>
      </c>
      <c r="C170" s="177">
        <v>0</v>
      </c>
      <c r="D170" s="91"/>
      <c r="E170" s="91"/>
      <c r="F170" s="177">
        <v>3759691</v>
      </c>
      <c r="G170" s="91">
        <v>0</v>
      </c>
      <c r="H170" s="177">
        <v>0</v>
      </c>
      <c r="I170" s="320"/>
      <c r="J170" s="178">
        <f t="shared" si="12"/>
        <v>0</v>
      </c>
      <c r="K170" s="259"/>
      <c r="L170" s="50"/>
      <c r="P170" s="127"/>
    </row>
    <row r="171" spans="1:16" ht="15.75" customHeight="1">
      <c r="A171" s="138"/>
      <c r="B171" s="176" t="s">
        <v>511</v>
      </c>
      <c r="C171" s="177">
        <v>0</v>
      </c>
      <c r="D171" s="91"/>
      <c r="E171" s="91"/>
      <c r="F171" s="177">
        <v>328413</v>
      </c>
      <c r="G171" s="91">
        <v>0</v>
      </c>
      <c r="H171" s="177">
        <v>0</v>
      </c>
      <c r="I171" s="320"/>
      <c r="J171" s="178">
        <f t="shared" si="12"/>
        <v>0</v>
      </c>
      <c r="K171" s="259"/>
      <c r="L171" s="50"/>
      <c r="P171" s="127"/>
    </row>
    <row r="172" spans="1:16" ht="15.75" customHeight="1">
      <c r="A172" s="138"/>
      <c r="B172" s="176" t="s">
        <v>512</v>
      </c>
      <c r="C172" s="177">
        <v>0</v>
      </c>
      <c r="D172" s="91"/>
      <c r="E172" s="91"/>
      <c r="F172" s="177">
        <v>403307</v>
      </c>
      <c r="G172" s="91">
        <v>0</v>
      </c>
      <c r="H172" s="177">
        <v>0</v>
      </c>
      <c r="I172" s="320"/>
      <c r="J172" s="178">
        <f t="shared" si="12"/>
        <v>0</v>
      </c>
      <c r="K172" s="259"/>
      <c r="L172" s="50"/>
      <c r="P172" s="127"/>
    </row>
    <row r="173" spans="1:16" ht="15.75" customHeight="1">
      <c r="A173" s="138"/>
      <c r="B173" s="176"/>
      <c r="C173" s="177"/>
      <c r="D173" s="91"/>
      <c r="E173" s="91"/>
      <c r="F173" s="177"/>
      <c r="G173" s="91"/>
      <c r="H173" s="177"/>
      <c r="I173" s="320"/>
      <c r="J173" s="178">
        <f t="shared" si="12"/>
        <v>0</v>
      </c>
      <c r="K173" s="259"/>
      <c r="L173" s="50"/>
      <c r="P173" s="127"/>
    </row>
    <row r="174" spans="1:16" ht="16.5" customHeight="1">
      <c r="A174" s="85" t="s">
        <v>150</v>
      </c>
      <c r="B174" s="87" t="s">
        <v>150</v>
      </c>
      <c r="C174" s="91">
        <v>0</v>
      </c>
      <c r="D174" s="91"/>
      <c r="E174" s="91"/>
      <c r="F174" s="91">
        <v>0</v>
      </c>
      <c r="G174" s="91">
        <v>0</v>
      </c>
      <c r="H174" s="177">
        <f>+G174+'[3]EVTOP-02'!$H$169</f>
        <v>0</v>
      </c>
      <c r="I174" s="319" t="e">
        <f t="shared" si="7"/>
        <v>#DIV/0!</v>
      </c>
      <c r="J174" s="284">
        <f t="shared" si="12"/>
        <v>0</v>
      </c>
      <c r="L174" s="50"/>
      <c r="P174" s="127"/>
    </row>
    <row r="175" spans="1:12" ht="32.25" customHeight="1" thickBot="1">
      <c r="A175" s="88"/>
      <c r="B175" s="89" t="s">
        <v>142</v>
      </c>
      <c r="C175" s="95">
        <f>SUM(C12,C39,C64,C147,C165,C174)</f>
        <v>94501886</v>
      </c>
      <c r="D175" s="95">
        <f>+D147+D64+D39+D12+D165</f>
        <v>4613720.62</v>
      </c>
      <c r="E175" s="95">
        <v>0</v>
      </c>
      <c r="F175" s="154">
        <f>SUM(F12,F39,F64,F147,F165,F166,F167,F168,F174,F169,F170,F171,F172)</f>
        <v>104620732.62</v>
      </c>
      <c r="G175" s="155">
        <f>SUM(G12,G39,G64,G147,G165,G174)</f>
        <v>24249886.139999997</v>
      </c>
      <c r="H175" s="91">
        <f>+G175+'[3]EVTOP-02'!$H$170</f>
        <v>68417062.58</v>
      </c>
      <c r="I175" s="156">
        <f t="shared" si="7"/>
        <v>0.7239756313434845</v>
      </c>
      <c r="J175" s="157">
        <f>SUM(J12,J39,J64,J147,J165,J166,J167,J168,J174)</f>
        <v>26084823.420000013</v>
      </c>
      <c r="L175" s="50"/>
    </row>
    <row r="176" spans="1:10" ht="10.5" customHeight="1" thickTop="1">
      <c r="A176" s="8"/>
      <c r="B176" s="9"/>
      <c r="C176" s="52"/>
      <c r="D176" s="52"/>
      <c r="E176" s="53"/>
      <c r="F176" s="52"/>
      <c r="G176" s="9" t="s">
        <v>150</v>
      </c>
      <c r="H176" s="131"/>
      <c r="I176" s="52"/>
      <c r="J176" s="52"/>
    </row>
    <row r="177" spans="1:10" ht="10.5" customHeight="1">
      <c r="A177" s="8"/>
      <c r="B177" s="9"/>
      <c r="C177" s="52"/>
      <c r="D177" s="52"/>
      <c r="E177" s="53"/>
      <c r="F177" s="52"/>
      <c r="G177" s="9"/>
      <c r="H177" s="9"/>
      <c r="I177" s="52"/>
      <c r="J177" s="52"/>
    </row>
    <row r="178" spans="1:10" ht="10.5" customHeight="1">
      <c r="A178" s="8"/>
      <c r="B178" s="9"/>
      <c r="C178" s="52"/>
      <c r="D178" s="52"/>
      <c r="E178" s="53"/>
      <c r="F178" s="52"/>
      <c r="G178" s="9"/>
      <c r="H178" s="9"/>
      <c r="I178" s="52"/>
      <c r="J178" s="52"/>
    </row>
    <row r="179" spans="1:10" ht="12.75">
      <c r="A179" s="8"/>
      <c r="B179" s="9"/>
      <c r="C179" s="52"/>
      <c r="D179" s="52"/>
      <c r="E179" s="53"/>
      <c r="F179" s="52"/>
      <c r="G179" s="9"/>
      <c r="H179" s="9"/>
      <c r="I179" s="52" t="s">
        <v>150</v>
      </c>
      <c r="J179" s="14"/>
    </row>
    <row r="180" spans="1:10" ht="12.75">
      <c r="A180" s="8"/>
      <c r="B180" s="9"/>
      <c r="C180" s="52"/>
      <c r="D180" s="52"/>
      <c r="E180" s="53"/>
      <c r="F180" s="52"/>
      <c r="G180" s="9"/>
      <c r="H180" s="9"/>
      <c r="I180" s="52"/>
      <c r="J180" s="14"/>
    </row>
    <row r="181" spans="4:10" ht="12.75">
      <c r="D181" s="14"/>
      <c r="E181" s="54"/>
      <c r="H181" s="10"/>
      <c r="I181" s="57"/>
      <c r="J181" s="14"/>
    </row>
    <row r="182" spans="1:10" ht="12.75">
      <c r="A182" s="10"/>
      <c r="D182" s="14"/>
      <c r="E182" s="54"/>
      <c r="H182" s="11"/>
      <c r="I182" s="11"/>
      <c r="J182" s="14"/>
    </row>
    <row r="183" spans="4:10" ht="12.75">
      <c r="D183" s="14"/>
      <c r="E183" s="54"/>
      <c r="J183" s="14"/>
    </row>
    <row r="184" spans="4:10" ht="15" customHeight="1">
      <c r="D184" s="14"/>
      <c r="E184" s="54"/>
      <c r="J184" s="14"/>
    </row>
    <row r="185" spans="1:10" ht="12.75">
      <c r="A185" s="10"/>
      <c r="B185" s="10"/>
      <c r="C185" s="57"/>
      <c r="D185" s="57"/>
      <c r="E185" s="59"/>
      <c r="F185" s="57"/>
      <c r="G185" s="10"/>
      <c r="H185" s="10"/>
      <c r="I185" s="57"/>
      <c r="J185" s="14"/>
    </row>
    <row r="186" spans="1:10" ht="12.75">
      <c r="A186" s="10"/>
      <c r="B186" s="10"/>
      <c r="C186" s="57"/>
      <c r="D186" s="57"/>
      <c r="E186" s="59"/>
      <c r="F186" s="57"/>
      <c r="G186" s="10"/>
      <c r="H186" s="10"/>
      <c r="I186" s="57"/>
      <c r="J186" s="14"/>
    </row>
    <row r="187" spans="1:10" ht="12.75">
      <c r="A187" s="10"/>
      <c r="B187" s="10"/>
      <c r="C187" s="57"/>
      <c r="D187" s="57"/>
      <c r="E187" s="59"/>
      <c r="F187" s="57"/>
      <c r="G187" s="10"/>
      <c r="H187" s="10"/>
      <c r="I187" s="57"/>
      <c r="J187" s="14"/>
    </row>
    <row r="188" spans="1:10" ht="12.75">
      <c r="A188" s="10"/>
      <c r="B188" s="10"/>
      <c r="C188" s="57"/>
      <c r="D188" s="57"/>
      <c r="E188" s="59"/>
      <c r="F188" s="57"/>
      <c r="G188" s="10"/>
      <c r="H188" s="10"/>
      <c r="I188" s="57"/>
      <c r="J188" s="14"/>
    </row>
    <row r="189" spans="1:10" ht="12.75">
      <c r="A189" s="10"/>
      <c r="B189" s="10"/>
      <c r="C189" s="57"/>
      <c r="D189" s="57"/>
      <c r="E189" s="59"/>
      <c r="F189" s="57"/>
      <c r="G189" s="10"/>
      <c r="H189" s="10"/>
      <c r="I189" s="57"/>
      <c r="J189" s="14"/>
    </row>
    <row r="190" spans="1:10" ht="12.75">
      <c r="A190" s="10"/>
      <c r="B190" s="10"/>
      <c r="C190" s="57"/>
      <c r="D190" s="57"/>
      <c r="E190" s="59"/>
      <c r="F190" s="57"/>
      <c r="G190" s="10"/>
      <c r="H190" s="10"/>
      <c r="I190" s="57"/>
      <c r="J190" s="14"/>
    </row>
    <row r="191" spans="1:10" ht="12.75">
      <c r="A191" s="10"/>
      <c r="B191" s="10"/>
      <c r="C191" s="57"/>
      <c r="D191" s="57"/>
      <c r="E191" s="59"/>
      <c r="F191" s="57"/>
      <c r="G191" s="10"/>
      <c r="H191" s="10"/>
      <c r="I191" s="57"/>
      <c r="J191" s="14"/>
    </row>
    <row r="192" spans="1:10" ht="12.75">
      <c r="A192" s="10"/>
      <c r="B192" s="10"/>
      <c r="C192" s="99" t="s">
        <v>150</v>
      </c>
      <c r="D192" s="57"/>
      <c r="E192" s="59"/>
      <c r="F192" s="57"/>
      <c r="G192" s="10"/>
      <c r="H192" s="10"/>
      <c r="I192" s="57"/>
      <c r="J192" s="14"/>
    </row>
    <row r="193" spans="1:10" ht="12.75">
      <c r="A193" s="10"/>
      <c r="B193" s="10"/>
      <c r="C193" s="57" t="s">
        <v>150</v>
      </c>
      <c r="D193" s="57"/>
      <c r="E193" s="59"/>
      <c r="F193" s="57"/>
      <c r="G193" s="10"/>
      <c r="H193" s="10"/>
      <c r="I193" s="57"/>
      <c r="J193" s="14"/>
    </row>
    <row r="194" spans="1:10" ht="12.75">
      <c r="A194" s="10"/>
      <c r="B194" s="10"/>
      <c r="C194" s="57"/>
      <c r="D194" s="57"/>
      <c r="E194" s="59"/>
      <c r="F194" s="57"/>
      <c r="G194" s="10"/>
      <c r="H194" s="10"/>
      <c r="I194" s="57"/>
      <c r="J194" s="14"/>
    </row>
    <row r="195" spans="1:10" ht="12.75">
      <c r="A195" s="10"/>
      <c r="B195" s="10"/>
      <c r="C195" s="57"/>
      <c r="D195" s="57"/>
      <c r="E195" s="59"/>
      <c r="F195" s="57"/>
      <c r="G195" s="10"/>
      <c r="H195" s="10"/>
      <c r="I195" s="57"/>
      <c r="J195" s="14"/>
    </row>
    <row r="196" spans="1:10" ht="12.75">
      <c r="A196" s="10"/>
      <c r="B196" s="10"/>
      <c r="C196" s="57"/>
      <c r="D196" s="57"/>
      <c r="E196" s="59"/>
      <c r="F196" s="57"/>
      <c r="G196" s="10"/>
      <c r="H196" s="10"/>
      <c r="I196" s="57"/>
      <c r="J196" s="14"/>
    </row>
    <row r="197" spans="1:10" ht="12.75">
      <c r="A197" s="10"/>
      <c r="B197" s="10"/>
      <c r="C197" s="57"/>
      <c r="D197" s="57"/>
      <c r="E197" s="59"/>
      <c r="F197" s="57"/>
      <c r="G197" s="10"/>
      <c r="H197" s="10"/>
      <c r="I197" s="57"/>
      <c r="J197" s="14"/>
    </row>
    <row r="198" spans="1:10" ht="12.75">
      <c r="A198" s="10"/>
      <c r="B198" s="10"/>
      <c r="C198" s="57"/>
      <c r="D198" s="57"/>
      <c r="E198" s="59"/>
      <c r="F198" s="57"/>
      <c r="G198" s="10"/>
      <c r="H198" s="10"/>
      <c r="I198" s="57"/>
      <c r="J198" s="14"/>
    </row>
    <row r="199" spans="1:10" ht="12.75">
      <c r="A199" s="10"/>
      <c r="B199" s="10"/>
      <c r="C199" s="57"/>
      <c r="D199" s="57"/>
      <c r="E199" s="59"/>
      <c r="F199" s="57"/>
      <c r="G199" s="10"/>
      <c r="H199" s="10"/>
      <c r="I199" s="57"/>
      <c r="J199" s="14"/>
    </row>
    <row r="200" spans="1:10" ht="12.75">
      <c r="A200" s="10"/>
      <c r="B200" s="10"/>
      <c r="C200" s="57"/>
      <c r="D200" s="57"/>
      <c r="E200" s="59"/>
      <c r="F200" s="57"/>
      <c r="G200" s="10"/>
      <c r="H200" s="10"/>
      <c r="I200" s="57"/>
      <c r="J200" s="14"/>
    </row>
    <row r="201" spans="1:10" ht="12.75">
      <c r="A201" s="10"/>
      <c r="B201" s="10"/>
      <c r="C201" s="57"/>
      <c r="D201" s="57"/>
      <c r="E201" s="59"/>
      <c r="F201" s="57"/>
      <c r="G201" s="10"/>
      <c r="H201" s="10"/>
      <c r="I201" s="57"/>
      <c r="J201" s="14"/>
    </row>
    <row r="202" spans="1:10" ht="12.75">
      <c r="A202" s="10"/>
      <c r="B202" s="10"/>
      <c r="C202" s="57"/>
      <c r="D202" s="57"/>
      <c r="E202" s="59"/>
      <c r="F202" s="57"/>
      <c r="G202" s="10"/>
      <c r="H202" s="10"/>
      <c r="I202" s="57"/>
      <c r="J202" s="14"/>
    </row>
    <row r="203" spans="1:10" ht="12.75">
      <c r="A203" s="10"/>
      <c r="B203" s="10"/>
      <c r="C203" s="57"/>
      <c r="D203" s="57"/>
      <c r="E203" s="59"/>
      <c r="F203" s="57"/>
      <c r="G203" s="10"/>
      <c r="H203" s="10"/>
      <c r="I203" s="57"/>
      <c r="J203" s="14"/>
    </row>
    <row r="204" spans="1:10" ht="12.75">
      <c r="A204" s="10"/>
      <c r="B204" s="10"/>
      <c r="C204" s="57"/>
      <c r="D204" s="57"/>
      <c r="E204" s="59"/>
      <c r="F204" s="57"/>
      <c r="G204" s="10"/>
      <c r="H204" s="10"/>
      <c r="I204" s="57"/>
      <c r="J204" s="14"/>
    </row>
    <row r="205" spans="1:10" ht="12.75">
      <c r="A205" s="10"/>
      <c r="B205" s="10"/>
      <c r="C205" s="57"/>
      <c r="D205" s="57"/>
      <c r="E205" s="59"/>
      <c r="F205" s="57"/>
      <c r="G205" s="10"/>
      <c r="H205" s="10"/>
      <c r="I205" s="57"/>
      <c r="J205" s="14"/>
    </row>
    <row r="206" spans="4:10" ht="12.75">
      <c r="D206" s="14"/>
      <c r="E206" s="54"/>
      <c r="J206" s="14"/>
    </row>
    <row r="207" spans="4:10" ht="12.75">
      <c r="D207" s="14"/>
      <c r="E207" s="54"/>
      <c r="J207" s="14"/>
    </row>
    <row r="208" spans="4:10" ht="12.75">
      <c r="D208" s="14"/>
      <c r="E208" s="54"/>
      <c r="J208" s="14"/>
    </row>
    <row r="209" spans="4:10" ht="12.75">
      <c r="D209" s="14"/>
      <c r="E209" s="54"/>
      <c r="J209" s="14"/>
    </row>
    <row r="210" spans="4:10" ht="12.75">
      <c r="D210" s="14"/>
      <c r="E210" s="54"/>
      <c r="J210" s="14"/>
    </row>
    <row r="211" spans="4:10" ht="12.75">
      <c r="D211" s="14"/>
      <c r="E211" s="54"/>
      <c r="J211" s="14"/>
    </row>
    <row r="212" spans="4:10" ht="12.75">
      <c r="D212" s="14"/>
      <c r="E212" s="54"/>
      <c r="J212" s="14"/>
    </row>
    <row r="213" spans="4:10" ht="12.75">
      <c r="D213" s="14"/>
      <c r="E213" s="54"/>
      <c r="J213" s="14"/>
    </row>
    <row r="214" spans="4:10" ht="12.75">
      <c r="D214" s="14"/>
      <c r="E214" s="54"/>
      <c r="J214" s="14"/>
    </row>
    <row r="215" spans="4:10" ht="12.75">
      <c r="D215" s="14"/>
      <c r="E215" s="54"/>
      <c r="J215" s="14"/>
    </row>
    <row r="216" spans="4:10" ht="12.75">
      <c r="D216" s="14"/>
      <c r="E216" s="54"/>
      <c r="J216" s="14"/>
    </row>
    <row r="217" spans="4:10" ht="12.75">
      <c r="D217" s="14"/>
      <c r="E217" s="54"/>
      <c r="J217" s="14"/>
    </row>
    <row r="218" spans="4:10" ht="12.75">
      <c r="D218" s="14"/>
      <c r="E218" s="54"/>
      <c r="J218" s="14"/>
    </row>
    <row r="219" spans="4:10" ht="12.75">
      <c r="D219" s="14"/>
      <c r="E219" s="54"/>
      <c r="J219" s="14"/>
    </row>
    <row r="220" spans="4:10" ht="12.75">
      <c r="D220" s="14"/>
      <c r="E220" s="54"/>
      <c r="J220" s="14"/>
    </row>
    <row r="221" ht="12.75">
      <c r="J221" s="14"/>
    </row>
    <row r="222" ht="12.75">
      <c r="J222" s="14"/>
    </row>
    <row r="223" ht="12.75">
      <c r="J223" s="14"/>
    </row>
    <row r="224" ht="12.75">
      <c r="J224" s="14"/>
    </row>
    <row r="225" ht="12.75">
      <c r="J225" s="14"/>
    </row>
    <row r="226" ht="12.75">
      <c r="J226" s="14"/>
    </row>
    <row r="227" ht="12.75">
      <c r="J227" s="14"/>
    </row>
    <row r="228" ht="12.75">
      <c r="J228" s="14"/>
    </row>
    <row r="229" ht="12.75">
      <c r="J229" s="14"/>
    </row>
    <row r="230" ht="12.75">
      <c r="J230" s="14"/>
    </row>
    <row r="231" ht="12.75">
      <c r="J231" s="14"/>
    </row>
    <row r="232" ht="12.75">
      <c r="J232" s="14"/>
    </row>
    <row r="233" ht="12.75">
      <c r="J233" s="14"/>
    </row>
    <row r="234" ht="12.75">
      <c r="J234" s="14"/>
    </row>
    <row r="235" ht="12.75">
      <c r="J235" s="14"/>
    </row>
  </sheetData>
  <sheetProtection/>
  <mergeCells count="10">
    <mergeCell ref="I1:J1"/>
    <mergeCell ref="H6:J6"/>
    <mergeCell ref="F10:F11"/>
    <mergeCell ref="G10:G11"/>
    <mergeCell ref="H10:I10"/>
    <mergeCell ref="A8:J8"/>
    <mergeCell ref="A10:A11"/>
    <mergeCell ref="B10:B11"/>
    <mergeCell ref="C10:C11"/>
    <mergeCell ref="J10:J11"/>
  </mergeCells>
  <printOptions horizontalCentered="1"/>
  <pageMargins left="0.3937007874015748" right="0.35433070866141736" top="1.2598425196850394" bottom="0.9448818897637796" header="0.31496062992125984" footer="0.2755905511811024"/>
  <pageSetup fitToHeight="4"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H209"/>
  <sheetViews>
    <sheetView zoomScale="85" zoomScaleNormal="85" zoomScalePageLayoutView="0" workbookViewId="0" topLeftCell="A193">
      <selection activeCell="C237" sqref="C237"/>
    </sheetView>
  </sheetViews>
  <sheetFormatPr defaultColWidth="11.421875" defaultRowHeight="12.75"/>
  <cols>
    <col min="1" max="1" width="7.8515625" style="0" customWidth="1"/>
    <col min="2" max="3" width="4.00390625" style="0" customWidth="1"/>
    <col min="4" max="4" width="5.421875" style="0" customWidth="1"/>
    <col min="5" max="5" width="3.140625" style="0" bestFit="1" customWidth="1"/>
    <col min="6" max="6" width="6.140625" style="0" bestFit="1" customWidth="1"/>
    <col min="7" max="7" width="7.140625" style="0" customWidth="1"/>
    <col min="8" max="8" width="6.140625" style="0" customWidth="1"/>
    <col min="9" max="9" width="48.00390625" style="181" customWidth="1"/>
    <col min="10" max="10" width="5.8515625" style="179" customWidth="1"/>
    <col min="11" max="11" width="10.00390625" style="181" customWidth="1"/>
    <col min="12" max="13" width="7.140625" style="181" customWidth="1"/>
    <col min="14" max="14" width="6.140625" style="181" customWidth="1"/>
    <col min="15" max="15" width="7.140625" style="181" customWidth="1"/>
    <col min="16" max="16" width="7.421875" style="181" customWidth="1"/>
    <col min="17" max="17" width="7.28125" style="184" customWidth="1"/>
    <col min="18" max="18" width="6.00390625" style="181" customWidth="1"/>
    <col min="19" max="19" width="7.57421875" style="0" customWidth="1"/>
    <col min="20" max="20" width="7.421875" style="0" customWidth="1"/>
    <col min="21" max="21" width="5.28125" style="0" customWidth="1"/>
    <col min="22" max="22" width="7.00390625" style="0" customWidth="1"/>
    <col min="23" max="23" width="6.57421875" style="0" customWidth="1"/>
    <col min="24" max="164" width="11.421875" style="110" customWidth="1"/>
  </cols>
  <sheetData>
    <row r="1" spans="15:23" ht="15" customHeight="1">
      <c r="O1" s="400" t="s">
        <v>150</v>
      </c>
      <c r="P1" s="400"/>
      <c r="Q1" s="400"/>
      <c r="R1"/>
      <c r="S1" s="399" t="s">
        <v>481</v>
      </c>
      <c r="T1" s="399"/>
      <c r="U1" s="399"/>
      <c r="V1" s="399"/>
      <c r="W1" s="399"/>
    </row>
    <row r="2" spans="1:21" ht="12.75" customHeight="1">
      <c r="A2" s="387" t="s">
        <v>229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12.75">
      <c r="A3" s="388" t="s">
        <v>36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</row>
    <row r="4" spans="1:21" ht="15" customHeight="1">
      <c r="A4" s="388" t="s">
        <v>37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</row>
    <row r="5" spans="1:23" ht="17.25" customHeight="1" thickBot="1">
      <c r="A5" s="180"/>
      <c r="B5" s="180"/>
      <c r="C5" s="180"/>
      <c r="D5" s="180"/>
      <c r="E5" s="180"/>
      <c r="F5" s="180"/>
      <c r="G5" s="180"/>
      <c r="H5" s="180"/>
      <c r="K5" s="413"/>
      <c r="L5" s="413"/>
      <c r="M5" s="188"/>
      <c r="N5" s="179"/>
      <c r="O5" s="179"/>
      <c r="P5" s="179"/>
      <c r="Q5" s="407" t="s">
        <v>480</v>
      </c>
      <c r="R5" s="407"/>
      <c r="S5" s="407" t="s">
        <v>503</v>
      </c>
      <c r="T5" s="407"/>
      <c r="U5" s="407"/>
      <c r="V5" s="407"/>
      <c r="W5" s="407"/>
    </row>
    <row r="6" spans="1:23" ht="13.5" customHeight="1" thickBot="1">
      <c r="A6" s="408" t="s">
        <v>485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10"/>
    </row>
    <row r="7" spans="1:23" ht="13.5" thickBot="1">
      <c r="A7" s="417" t="s">
        <v>469</v>
      </c>
      <c r="B7" s="418"/>
      <c r="C7" s="418"/>
      <c r="D7" s="418"/>
      <c r="E7" s="418"/>
      <c r="F7" s="418"/>
      <c r="G7" s="418"/>
      <c r="H7" s="418"/>
      <c r="I7" s="411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412"/>
    </row>
    <row r="8" spans="1:23" ht="48" customHeight="1" thickBot="1">
      <c r="A8" s="182" t="s">
        <v>468</v>
      </c>
      <c r="B8" s="419" t="s">
        <v>467</v>
      </c>
      <c r="C8" s="420"/>
      <c r="D8" s="420"/>
      <c r="E8" s="420"/>
      <c r="F8" s="420"/>
      <c r="G8" s="421"/>
      <c r="H8" s="187" t="s">
        <v>466</v>
      </c>
      <c r="I8" s="411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412"/>
    </row>
    <row r="9" spans="1:23" ht="13.5" thickBot="1">
      <c r="A9" s="182"/>
      <c r="B9" s="394" t="s">
        <v>465</v>
      </c>
      <c r="C9" s="395"/>
      <c r="D9" s="396"/>
      <c r="E9" s="394" t="s">
        <v>464</v>
      </c>
      <c r="F9" s="395"/>
      <c r="G9" s="396"/>
      <c r="H9" s="183"/>
      <c r="I9" s="392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</row>
    <row r="10" spans="1:23" ht="13.5" thickBot="1">
      <c r="A10" s="432" t="s">
        <v>39</v>
      </c>
      <c r="B10" s="433"/>
      <c r="C10" s="433"/>
      <c r="D10" s="433"/>
      <c r="E10" s="434"/>
      <c r="F10" s="434"/>
      <c r="G10" s="434"/>
      <c r="H10" s="434"/>
      <c r="I10" s="401" t="s">
        <v>11</v>
      </c>
      <c r="J10" s="414" t="s">
        <v>47</v>
      </c>
      <c r="K10" s="404" t="s">
        <v>40</v>
      </c>
      <c r="L10" s="426" t="s">
        <v>41</v>
      </c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8"/>
    </row>
    <row r="11" spans="1:23" ht="20.25" customHeight="1">
      <c r="A11" s="186"/>
      <c r="B11" s="397" t="s">
        <v>463</v>
      </c>
      <c r="C11" s="397" t="s">
        <v>462</v>
      </c>
      <c r="D11" s="397" t="s">
        <v>461</v>
      </c>
      <c r="E11" s="397" t="s">
        <v>470</v>
      </c>
      <c r="F11" s="397" t="s">
        <v>172</v>
      </c>
      <c r="G11" s="397" t="s">
        <v>460</v>
      </c>
      <c r="H11" s="422" t="s">
        <v>459</v>
      </c>
      <c r="I11" s="402"/>
      <c r="J11" s="415"/>
      <c r="K11" s="402"/>
      <c r="L11" s="402" t="s">
        <v>42</v>
      </c>
      <c r="M11" s="429" t="s">
        <v>7</v>
      </c>
      <c r="N11" s="405" t="s">
        <v>43</v>
      </c>
      <c r="O11" s="405"/>
      <c r="P11" s="405"/>
      <c r="Q11" s="406"/>
      <c r="R11" s="424" t="s">
        <v>44</v>
      </c>
      <c r="S11" s="425"/>
      <c r="T11" s="425"/>
      <c r="U11" s="425"/>
      <c r="V11" s="425"/>
      <c r="W11" s="435" t="s">
        <v>45</v>
      </c>
    </row>
    <row r="12" spans="1:23" ht="40.5" customHeight="1" thickBot="1">
      <c r="A12" s="186" t="s">
        <v>46</v>
      </c>
      <c r="B12" s="398"/>
      <c r="C12" s="398"/>
      <c r="D12" s="398"/>
      <c r="E12" s="437"/>
      <c r="F12" s="431"/>
      <c r="G12" s="431"/>
      <c r="H12" s="423"/>
      <c r="I12" s="403"/>
      <c r="J12" s="416"/>
      <c r="K12" s="403"/>
      <c r="L12" s="403"/>
      <c r="M12" s="430"/>
      <c r="N12" s="189" t="s">
        <v>48</v>
      </c>
      <c r="O12" s="190" t="s">
        <v>49</v>
      </c>
      <c r="P12" s="190" t="s">
        <v>50</v>
      </c>
      <c r="Q12" s="191" t="s">
        <v>51</v>
      </c>
      <c r="R12" s="248" t="s">
        <v>477</v>
      </c>
      <c r="S12" s="249" t="s">
        <v>178</v>
      </c>
      <c r="T12" s="249" t="s">
        <v>478</v>
      </c>
      <c r="U12" s="249" t="s">
        <v>479</v>
      </c>
      <c r="V12" s="191" t="s">
        <v>179</v>
      </c>
      <c r="W12" s="436"/>
    </row>
    <row r="13" spans="1:23" ht="12.75">
      <c r="A13" s="192">
        <v>56</v>
      </c>
      <c r="B13" s="193"/>
      <c r="C13" s="193"/>
      <c r="D13" s="193"/>
      <c r="E13" s="193"/>
      <c r="F13" s="193"/>
      <c r="G13" s="193"/>
      <c r="H13" s="193"/>
      <c r="I13" s="194" t="s">
        <v>52</v>
      </c>
      <c r="J13" s="195" t="s">
        <v>38</v>
      </c>
      <c r="K13" s="196"/>
      <c r="L13" s="197"/>
      <c r="M13" s="197"/>
      <c r="N13" s="198"/>
      <c r="O13" s="199"/>
      <c r="P13" s="199"/>
      <c r="Q13" s="196"/>
      <c r="R13" s="236"/>
      <c r="S13" s="237"/>
      <c r="T13" s="237"/>
      <c r="U13" s="237"/>
      <c r="V13" s="206" t="s">
        <v>150</v>
      </c>
      <c r="W13" s="233"/>
    </row>
    <row r="14" spans="1:23" ht="12.75">
      <c r="A14" s="200"/>
      <c r="B14" s="201">
        <v>2</v>
      </c>
      <c r="C14" s="201"/>
      <c r="D14" s="201"/>
      <c r="E14" s="201"/>
      <c r="F14" s="201"/>
      <c r="G14" s="201"/>
      <c r="H14" s="201"/>
      <c r="I14" s="194" t="s">
        <v>458</v>
      </c>
      <c r="J14" s="195"/>
      <c r="K14" s="196"/>
      <c r="L14" s="197"/>
      <c r="M14" s="197"/>
      <c r="N14" s="198"/>
      <c r="O14" s="199"/>
      <c r="P14" s="199"/>
      <c r="Q14" s="196"/>
      <c r="R14" s="236"/>
      <c r="S14" s="237"/>
      <c r="T14" s="237"/>
      <c r="U14" s="237"/>
      <c r="V14" s="238"/>
      <c r="W14" s="234"/>
    </row>
    <row r="15" spans="1:23" ht="12.75">
      <c r="A15" s="200"/>
      <c r="B15" s="201"/>
      <c r="C15" s="201">
        <v>2.5</v>
      </c>
      <c r="D15" s="201"/>
      <c r="E15" s="201"/>
      <c r="F15" s="201"/>
      <c r="G15" s="201"/>
      <c r="H15" s="201"/>
      <c r="I15" s="194" t="s">
        <v>457</v>
      </c>
      <c r="J15" s="195" t="s">
        <v>38</v>
      </c>
      <c r="K15" s="196"/>
      <c r="L15" s="197"/>
      <c r="M15" s="197"/>
      <c r="N15" s="198"/>
      <c r="O15" s="199"/>
      <c r="P15" s="199"/>
      <c r="Q15" s="196"/>
      <c r="R15" s="236"/>
      <c r="S15" s="237"/>
      <c r="T15" s="237"/>
      <c r="U15" s="237"/>
      <c r="V15" s="238"/>
      <c r="W15" s="234"/>
    </row>
    <row r="16" spans="1:23" ht="22.5">
      <c r="A16" s="200"/>
      <c r="B16" s="201"/>
      <c r="C16" s="201"/>
      <c r="D16" s="201" t="s">
        <v>456</v>
      </c>
      <c r="E16" s="201"/>
      <c r="F16" s="201"/>
      <c r="G16" s="201"/>
      <c r="H16" s="201"/>
      <c r="I16" s="202" t="s">
        <v>455</v>
      </c>
      <c r="J16" s="195" t="s">
        <v>38</v>
      </c>
      <c r="K16" s="196"/>
      <c r="L16" s="197"/>
      <c r="M16" s="197"/>
      <c r="N16" s="198"/>
      <c r="O16" s="199"/>
      <c r="P16" s="199"/>
      <c r="Q16" s="196"/>
      <c r="R16" s="236"/>
      <c r="S16" s="237"/>
      <c r="T16" s="237"/>
      <c r="U16" s="237"/>
      <c r="V16" s="238"/>
      <c r="W16" s="234"/>
    </row>
    <row r="17" spans="1:23" ht="12.75">
      <c r="A17" s="200"/>
      <c r="B17" s="201"/>
      <c r="C17" s="201"/>
      <c r="D17" s="245"/>
      <c r="E17" s="201" t="s">
        <v>454</v>
      </c>
      <c r="F17" s="201"/>
      <c r="G17" s="201"/>
      <c r="H17" s="201"/>
      <c r="I17" s="194" t="s">
        <v>453</v>
      </c>
      <c r="J17" s="195"/>
      <c r="K17" s="196"/>
      <c r="L17" s="197"/>
      <c r="M17" s="197"/>
      <c r="N17" s="198"/>
      <c r="O17" s="199"/>
      <c r="P17" s="199"/>
      <c r="Q17" s="196"/>
      <c r="R17" s="239"/>
      <c r="S17" s="237"/>
      <c r="T17" s="237"/>
      <c r="U17" s="237"/>
      <c r="V17" s="238"/>
      <c r="W17" s="234"/>
    </row>
    <row r="18" spans="1:23" ht="12.75">
      <c r="A18" s="200"/>
      <c r="B18" s="201"/>
      <c r="C18" s="201"/>
      <c r="D18" s="245"/>
      <c r="E18" s="201"/>
      <c r="F18" s="201">
        <v>35</v>
      </c>
      <c r="G18" s="201"/>
      <c r="H18" s="201"/>
      <c r="I18" s="194" t="s">
        <v>452</v>
      </c>
      <c r="J18" s="195"/>
      <c r="K18" s="196"/>
      <c r="L18" s="197"/>
      <c r="M18" s="197"/>
      <c r="N18" s="198"/>
      <c r="O18" s="199"/>
      <c r="P18" s="199"/>
      <c r="Q18" s="196"/>
      <c r="R18" s="239"/>
      <c r="S18" s="237"/>
      <c r="T18" s="237"/>
      <c r="U18" s="237"/>
      <c r="V18" s="238"/>
      <c r="W18" s="234"/>
    </row>
    <row r="19" spans="1:23" ht="12.75">
      <c r="A19" s="200"/>
      <c r="B19" s="201"/>
      <c r="C19" s="201"/>
      <c r="D19" s="245"/>
      <c r="E19" s="201"/>
      <c r="F19" s="201"/>
      <c r="G19" s="201">
        <v>3504</v>
      </c>
      <c r="H19" s="201"/>
      <c r="I19" s="194" t="s">
        <v>451</v>
      </c>
      <c r="J19" s="195"/>
      <c r="K19" s="196"/>
      <c r="L19" s="197"/>
      <c r="M19" s="197"/>
      <c r="N19" s="198"/>
      <c r="O19" s="199"/>
      <c r="P19" s="199"/>
      <c r="Q19" s="196"/>
      <c r="R19" s="239"/>
      <c r="S19" s="237"/>
      <c r="T19" s="237"/>
      <c r="U19" s="237"/>
      <c r="V19" s="238"/>
      <c r="W19" s="234"/>
    </row>
    <row r="20" spans="1:23" ht="12.75">
      <c r="A20" s="200"/>
      <c r="B20" s="201"/>
      <c r="C20" s="201"/>
      <c r="D20" s="245"/>
      <c r="E20" s="201"/>
      <c r="F20" s="201"/>
      <c r="G20" s="201"/>
      <c r="H20" s="201">
        <v>398</v>
      </c>
      <c r="I20" s="194" t="s">
        <v>450</v>
      </c>
      <c r="J20" s="195"/>
      <c r="K20" s="196"/>
      <c r="L20" s="197"/>
      <c r="M20" s="197"/>
      <c r="N20" s="198"/>
      <c r="O20" s="199"/>
      <c r="P20" s="199"/>
      <c r="Q20" s="196"/>
      <c r="R20" s="239"/>
      <c r="S20" s="237"/>
      <c r="T20" s="237"/>
      <c r="U20" s="237"/>
      <c r="V20" s="238"/>
      <c r="W20" s="234"/>
    </row>
    <row r="21" spans="1:23" ht="30" customHeight="1">
      <c r="A21" s="214"/>
      <c r="B21" s="213"/>
      <c r="C21" s="213"/>
      <c r="D21" s="213"/>
      <c r="E21" s="213"/>
      <c r="F21" s="213"/>
      <c r="G21" s="213"/>
      <c r="H21" s="213"/>
      <c r="I21" s="215" t="s">
        <v>449</v>
      </c>
      <c r="J21" s="216"/>
      <c r="K21" s="217"/>
      <c r="L21" s="218"/>
      <c r="M21" s="218"/>
      <c r="N21" s="198"/>
      <c r="O21" s="219"/>
      <c r="P21" s="219"/>
      <c r="Q21" s="217"/>
      <c r="R21" s="240"/>
      <c r="S21" s="241"/>
      <c r="T21" s="241"/>
      <c r="U21" s="241"/>
      <c r="V21" s="242"/>
      <c r="W21" s="235"/>
    </row>
    <row r="22" spans="1:23" ht="21.75" customHeight="1">
      <c r="A22" s="214"/>
      <c r="B22" s="213"/>
      <c r="C22" s="213"/>
      <c r="D22" s="213"/>
      <c r="E22" s="213"/>
      <c r="F22" s="213"/>
      <c r="G22" s="213"/>
      <c r="H22" s="213"/>
      <c r="I22" s="215" t="s">
        <v>516</v>
      </c>
      <c r="J22" s="338" t="s">
        <v>54</v>
      </c>
      <c r="K22" s="217" t="s">
        <v>517</v>
      </c>
      <c r="L22" s="339">
        <v>1</v>
      </c>
      <c r="M22" s="339">
        <v>1</v>
      </c>
      <c r="N22" s="340">
        <v>1</v>
      </c>
      <c r="O22" s="341">
        <v>0</v>
      </c>
      <c r="P22" s="341">
        <v>0</v>
      </c>
      <c r="Q22" s="342">
        <v>0</v>
      </c>
      <c r="R22" s="207">
        <v>1</v>
      </c>
      <c r="S22" s="223">
        <v>0</v>
      </c>
      <c r="T22" s="223">
        <v>0</v>
      </c>
      <c r="U22" s="223"/>
      <c r="V22" s="224">
        <f>+R22+S22+T22+U22</f>
        <v>1</v>
      </c>
      <c r="W22" s="244">
        <f>+V22/L22</f>
        <v>1</v>
      </c>
    </row>
    <row r="23" spans="1:23" ht="15" customHeight="1">
      <c r="A23" s="214"/>
      <c r="B23" s="213"/>
      <c r="C23" s="213"/>
      <c r="D23" s="213"/>
      <c r="E23" s="213"/>
      <c r="F23" s="213"/>
      <c r="G23" s="213"/>
      <c r="H23" s="213"/>
      <c r="I23" s="215" t="s">
        <v>518</v>
      </c>
      <c r="J23" s="338" t="s">
        <v>55</v>
      </c>
      <c r="K23" s="217" t="s">
        <v>175</v>
      </c>
      <c r="L23" s="339">
        <v>1</v>
      </c>
      <c r="M23" s="339">
        <v>1</v>
      </c>
      <c r="N23" s="340">
        <v>0</v>
      </c>
      <c r="O23" s="341">
        <v>0</v>
      </c>
      <c r="P23" s="341">
        <v>0</v>
      </c>
      <c r="Q23" s="342">
        <v>1</v>
      </c>
      <c r="R23" s="207">
        <v>1</v>
      </c>
      <c r="S23" s="223">
        <v>0</v>
      </c>
      <c r="T23" s="223">
        <v>0</v>
      </c>
      <c r="U23" s="223"/>
      <c r="V23" s="224">
        <f>+R23+S23+T23+U23</f>
        <v>1</v>
      </c>
      <c r="W23" s="244">
        <f>+V23/L23</f>
        <v>1</v>
      </c>
    </row>
    <row r="24" spans="1:23" ht="18.75" customHeight="1">
      <c r="A24" s="214"/>
      <c r="B24" s="213"/>
      <c r="C24" s="213"/>
      <c r="D24" s="213"/>
      <c r="E24" s="213"/>
      <c r="F24" s="213"/>
      <c r="G24" s="213"/>
      <c r="H24" s="213"/>
      <c r="I24" s="215" t="s">
        <v>521</v>
      </c>
      <c r="J24" s="338" t="s">
        <v>53</v>
      </c>
      <c r="K24" s="217" t="s">
        <v>175</v>
      </c>
      <c r="L24" s="339">
        <v>3</v>
      </c>
      <c r="M24" s="339">
        <v>3</v>
      </c>
      <c r="N24" s="340">
        <v>1</v>
      </c>
      <c r="O24" s="341">
        <v>1</v>
      </c>
      <c r="P24" s="341">
        <v>0</v>
      </c>
      <c r="Q24" s="342">
        <v>1</v>
      </c>
      <c r="R24" s="207">
        <v>1</v>
      </c>
      <c r="S24" s="223">
        <v>1</v>
      </c>
      <c r="T24" s="223">
        <v>0</v>
      </c>
      <c r="U24" s="223"/>
      <c r="V24" s="224">
        <f>+R24+S24+T24+U24</f>
        <v>2</v>
      </c>
      <c r="W24" s="244">
        <f>+V24/L24</f>
        <v>0.6666666666666666</v>
      </c>
    </row>
    <row r="25" spans="1:23" ht="34.5" customHeight="1">
      <c r="A25" s="214"/>
      <c r="B25" s="213"/>
      <c r="C25" s="213"/>
      <c r="D25" s="213"/>
      <c r="E25" s="213"/>
      <c r="F25" s="213"/>
      <c r="G25" s="213"/>
      <c r="H25" s="213"/>
      <c r="I25" s="215" t="s">
        <v>519</v>
      </c>
      <c r="J25" s="338" t="s">
        <v>56</v>
      </c>
      <c r="K25" s="217" t="s">
        <v>520</v>
      </c>
      <c r="L25" s="339">
        <v>3</v>
      </c>
      <c r="M25" s="339">
        <v>3</v>
      </c>
      <c r="N25" s="340">
        <v>1</v>
      </c>
      <c r="O25" s="341">
        <v>1</v>
      </c>
      <c r="P25" s="341">
        <v>1</v>
      </c>
      <c r="Q25" s="342">
        <v>0</v>
      </c>
      <c r="R25" s="207">
        <v>1</v>
      </c>
      <c r="S25" s="223">
        <v>1</v>
      </c>
      <c r="T25" s="223">
        <v>1</v>
      </c>
      <c r="U25" s="223"/>
      <c r="V25" s="224">
        <f>+R25+S25+T25+U25</f>
        <v>3</v>
      </c>
      <c r="W25" s="244">
        <f>+V25/L25</f>
        <v>1</v>
      </c>
    </row>
    <row r="26" spans="1:164" s="185" customFormat="1" ht="21.75" customHeight="1">
      <c r="A26" s="214"/>
      <c r="B26" s="213"/>
      <c r="C26" s="213"/>
      <c r="D26" s="213"/>
      <c r="E26" s="213"/>
      <c r="F26" s="213"/>
      <c r="G26" s="213"/>
      <c r="H26" s="213"/>
      <c r="I26" s="297" t="s">
        <v>160</v>
      </c>
      <c r="J26" s="298"/>
      <c r="K26" s="299"/>
      <c r="L26" s="300"/>
      <c r="M26" s="300"/>
      <c r="N26" s="301"/>
      <c r="O26" s="302"/>
      <c r="P26" s="302"/>
      <c r="Q26" s="299"/>
      <c r="R26" s="303"/>
      <c r="S26" s="304"/>
      <c r="T26" s="304"/>
      <c r="U26" s="304"/>
      <c r="V26" s="305"/>
      <c r="W26" s="306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</row>
    <row r="27" spans="1:23" ht="24.75" customHeight="1">
      <c r="A27" s="214"/>
      <c r="B27" s="213"/>
      <c r="C27" s="213"/>
      <c r="D27" s="213"/>
      <c r="E27" s="213"/>
      <c r="F27" s="213"/>
      <c r="G27" s="213"/>
      <c r="H27" s="213"/>
      <c r="I27" s="220" t="s">
        <v>233</v>
      </c>
      <c r="J27" s="250" t="s">
        <v>54</v>
      </c>
      <c r="K27" s="203" t="s">
        <v>175</v>
      </c>
      <c r="L27" s="210">
        <f aca="true" t="shared" si="0" ref="L27:L32">SUM(N27:Q27)</f>
        <v>3</v>
      </c>
      <c r="M27" s="210">
        <f aca="true" t="shared" si="1" ref="M27:M32">+L27</f>
        <v>3</v>
      </c>
      <c r="N27" s="207">
        <v>0</v>
      </c>
      <c r="O27" s="208">
        <v>1</v>
      </c>
      <c r="P27" s="208">
        <v>0</v>
      </c>
      <c r="Q27" s="209">
        <v>2</v>
      </c>
      <c r="R27" s="207">
        <v>0</v>
      </c>
      <c r="S27" s="314">
        <v>1</v>
      </c>
      <c r="T27" s="223">
        <v>0</v>
      </c>
      <c r="U27" s="223">
        <v>0</v>
      </c>
      <c r="V27" s="224">
        <f aca="true" t="shared" si="2" ref="V27:V32">+R27+S27+T27+U27</f>
        <v>1</v>
      </c>
      <c r="W27" s="244">
        <f aca="true" t="shared" si="3" ref="W27:W32">+V27/L27</f>
        <v>0.3333333333333333</v>
      </c>
    </row>
    <row r="28" spans="1:23" ht="21.75" customHeight="1">
      <c r="A28" s="214"/>
      <c r="B28" s="213"/>
      <c r="C28" s="213"/>
      <c r="D28" s="213"/>
      <c r="E28" s="213"/>
      <c r="F28" s="213"/>
      <c r="G28" s="213"/>
      <c r="H28" s="213"/>
      <c r="I28" s="204" t="s">
        <v>187</v>
      </c>
      <c r="J28" s="250" t="s">
        <v>55</v>
      </c>
      <c r="K28" s="203" t="s">
        <v>234</v>
      </c>
      <c r="L28" s="210">
        <f t="shared" si="0"/>
        <v>1</v>
      </c>
      <c r="M28" s="210">
        <f t="shared" si="1"/>
        <v>1</v>
      </c>
      <c r="N28" s="207">
        <v>0</v>
      </c>
      <c r="O28" s="208">
        <v>0</v>
      </c>
      <c r="P28" s="208">
        <v>1</v>
      </c>
      <c r="Q28" s="209">
        <v>0</v>
      </c>
      <c r="R28" s="207">
        <v>0</v>
      </c>
      <c r="S28" s="314">
        <v>0</v>
      </c>
      <c r="T28" s="223">
        <v>0</v>
      </c>
      <c r="U28" s="223"/>
      <c r="V28" s="224">
        <f t="shared" si="2"/>
        <v>0</v>
      </c>
      <c r="W28" s="244">
        <f t="shared" si="3"/>
        <v>0</v>
      </c>
    </row>
    <row r="29" spans="1:23" ht="18" customHeight="1">
      <c r="A29" s="214"/>
      <c r="B29" s="213"/>
      <c r="C29" s="213"/>
      <c r="D29" s="213"/>
      <c r="E29" s="213"/>
      <c r="F29" s="213"/>
      <c r="G29" s="213"/>
      <c r="H29" s="213"/>
      <c r="I29" s="204" t="s">
        <v>188</v>
      </c>
      <c r="J29" s="250" t="s">
        <v>53</v>
      </c>
      <c r="K29" s="203" t="s">
        <v>235</v>
      </c>
      <c r="L29" s="210">
        <f t="shared" si="0"/>
        <v>3</v>
      </c>
      <c r="M29" s="210">
        <f t="shared" si="1"/>
        <v>3</v>
      </c>
      <c r="N29" s="207">
        <v>1</v>
      </c>
      <c r="O29" s="208">
        <v>1</v>
      </c>
      <c r="P29" s="208">
        <v>0</v>
      </c>
      <c r="Q29" s="209">
        <v>1</v>
      </c>
      <c r="R29" s="207">
        <v>1</v>
      </c>
      <c r="S29" s="317">
        <v>0</v>
      </c>
      <c r="T29" s="223">
        <v>1</v>
      </c>
      <c r="U29" s="223"/>
      <c r="V29" s="224">
        <f t="shared" si="2"/>
        <v>2</v>
      </c>
      <c r="W29" s="244">
        <f t="shared" si="3"/>
        <v>0.6666666666666666</v>
      </c>
    </row>
    <row r="30" spans="1:23" ht="22.5" customHeight="1">
      <c r="A30" s="214"/>
      <c r="B30" s="213"/>
      <c r="C30" s="213"/>
      <c r="D30" s="213"/>
      <c r="E30" s="213"/>
      <c r="F30" s="213"/>
      <c r="G30" s="213"/>
      <c r="H30" s="213"/>
      <c r="I30" s="204" t="s">
        <v>236</v>
      </c>
      <c r="J30" s="250" t="s">
        <v>56</v>
      </c>
      <c r="K30" s="203" t="s">
        <v>189</v>
      </c>
      <c r="L30" s="210">
        <f t="shared" si="0"/>
        <v>2</v>
      </c>
      <c r="M30" s="210">
        <f t="shared" si="1"/>
        <v>2</v>
      </c>
      <c r="N30" s="207">
        <v>0</v>
      </c>
      <c r="O30" s="208">
        <v>1</v>
      </c>
      <c r="P30" s="208">
        <v>0</v>
      </c>
      <c r="Q30" s="209">
        <v>1</v>
      </c>
      <c r="R30" s="207">
        <v>0</v>
      </c>
      <c r="S30" s="314">
        <v>1</v>
      </c>
      <c r="T30" s="223">
        <v>0</v>
      </c>
      <c r="U30" s="223"/>
      <c r="V30" s="224">
        <f t="shared" si="2"/>
        <v>1</v>
      </c>
      <c r="W30" s="244">
        <f t="shared" si="3"/>
        <v>0.5</v>
      </c>
    </row>
    <row r="31" spans="1:23" ht="12.75">
      <c r="A31" s="214"/>
      <c r="B31" s="213"/>
      <c r="C31" s="213"/>
      <c r="D31" s="213"/>
      <c r="E31" s="213"/>
      <c r="F31" s="213"/>
      <c r="G31" s="213"/>
      <c r="H31" s="213"/>
      <c r="I31" s="204" t="s">
        <v>385</v>
      </c>
      <c r="J31" s="250" t="s">
        <v>57</v>
      </c>
      <c r="K31" s="203" t="s">
        <v>190</v>
      </c>
      <c r="L31" s="210">
        <f t="shared" si="0"/>
        <v>1</v>
      </c>
      <c r="M31" s="210">
        <f t="shared" si="1"/>
        <v>1</v>
      </c>
      <c r="N31" s="207">
        <v>0</v>
      </c>
      <c r="O31" s="208">
        <v>1</v>
      </c>
      <c r="P31" s="208">
        <v>0</v>
      </c>
      <c r="Q31" s="209">
        <v>0</v>
      </c>
      <c r="R31" s="207">
        <v>0</v>
      </c>
      <c r="S31" s="317">
        <v>0</v>
      </c>
      <c r="T31" s="223">
        <v>1</v>
      </c>
      <c r="U31" s="223"/>
      <c r="V31" s="224">
        <f t="shared" si="2"/>
        <v>1</v>
      </c>
      <c r="W31" s="244">
        <f t="shared" si="3"/>
        <v>1</v>
      </c>
    </row>
    <row r="32" spans="1:23" ht="12.75">
      <c r="A32" s="214"/>
      <c r="B32" s="213"/>
      <c r="C32" s="213"/>
      <c r="D32" s="213"/>
      <c r="E32" s="213"/>
      <c r="F32" s="213"/>
      <c r="G32" s="213"/>
      <c r="H32" s="213"/>
      <c r="I32" s="204" t="s">
        <v>191</v>
      </c>
      <c r="J32" s="250" t="s">
        <v>58</v>
      </c>
      <c r="K32" s="203" t="s">
        <v>395</v>
      </c>
      <c r="L32" s="210">
        <f t="shared" si="0"/>
        <v>2</v>
      </c>
      <c r="M32" s="210">
        <f t="shared" si="1"/>
        <v>2</v>
      </c>
      <c r="N32" s="207">
        <v>1</v>
      </c>
      <c r="O32" s="208">
        <v>0</v>
      </c>
      <c r="P32" s="208">
        <v>1</v>
      </c>
      <c r="Q32" s="209">
        <v>0</v>
      </c>
      <c r="R32" s="207">
        <v>0</v>
      </c>
      <c r="S32" s="314">
        <v>0</v>
      </c>
      <c r="T32" s="223">
        <v>1</v>
      </c>
      <c r="U32" s="223"/>
      <c r="V32" s="224">
        <f t="shared" si="2"/>
        <v>1</v>
      </c>
      <c r="W32" s="244">
        <f t="shared" si="3"/>
        <v>0.5</v>
      </c>
    </row>
    <row r="33" spans="1:23" ht="24" customHeight="1">
      <c r="A33" s="214"/>
      <c r="B33" s="213"/>
      <c r="C33" s="213"/>
      <c r="D33" s="213"/>
      <c r="E33" s="213"/>
      <c r="F33" s="213"/>
      <c r="G33" s="213"/>
      <c r="H33" s="213"/>
      <c r="I33" s="286" t="s">
        <v>448</v>
      </c>
      <c r="J33" s="287"/>
      <c r="K33" s="288"/>
      <c r="L33" s="289"/>
      <c r="M33" s="289"/>
      <c r="N33" s="290"/>
      <c r="O33" s="291"/>
      <c r="P33" s="291"/>
      <c r="Q33" s="292"/>
      <c r="R33" s="290"/>
      <c r="S33" s="294"/>
      <c r="T33" s="294"/>
      <c r="U33" s="294"/>
      <c r="V33" s="295"/>
      <c r="W33" s="296"/>
    </row>
    <row r="34" spans="1:23" ht="15" customHeight="1">
      <c r="A34" s="214"/>
      <c r="B34" s="213"/>
      <c r="C34" s="213"/>
      <c r="D34" s="213"/>
      <c r="E34" s="213"/>
      <c r="F34" s="213"/>
      <c r="G34" s="213"/>
      <c r="H34" s="213"/>
      <c r="I34" s="204" t="s">
        <v>237</v>
      </c>
      <c r="J34" s="251" t="s">
        <v>54</v>
      </c>
      <c r="K34" s="203" t="s">
        <v>238</v>
      </c>
      <c r="L34" s="210">
        <f aca="true" t="shared" si="4" ref="L34:L97">SUM(N34:Q34)</f>
        <v>7527</v>
      </c>
      <c r="M34" s="210">
        <f aca="true" t="shared" si="5" ref="M34:M97">+L34</f>
        <v>7527</v>
      </c>
      <c r="N34" s="207">
        <v>2481</v>
      </c>
      <c r="O34" s="208">
        <v>2146</v>
      </c>
      <c r="P34" s="208">
        <v>2900</v>
      </c>
      <c r="Q34" s="209">
        <v>0</v>
      </c>
      <c r="R34" s="207">
        <v>2476</v>
      </c>
      <c r="S34" s="317">
        <v>2217</v>
      </c>
      <c r="T34" s="223">
        <v>2792</v>
      </c>
      <c r="U34" s="223"/>
      <c r="V34" s="224">
        <f aca="true" t="shared" si="6" ref="V34:V97">+R34+S34+T34+U34</f>
        <v>7485</v>
      </c>
      <c r="W34" s="244">
        <f aca="true" t="shared" si="7" ref="W34:W97">+V34/L34</f>
        <v>0.9944200876843364</v>
      </c>
    </row>
    <row r="35" spans="1:23" ht="15" customHeight="1">
      <c r="A35" s="214"/>
      <c r="B35" s="213"/>
      <c r="C35" s="213"/>
      <c r="D35" s="213"/>
      <c r="E35" s="213"/>
      <c r="F35" s="213"/>
      <c r="G35" s="213"/>
      <c r="H35" s="213"/>
      <c r="I35" s="204" t="s">
        <v>384</v>
      </c>
      <c r="J35" s="251" t="s">
        <v>55</v>
      </c>
      <c r="K35" s="203" t="s">
        <v>238</v>
      </c>
      <c r="L35" s="210">
        <f t="shared" si="4"/>
        <v>2315</v>
      </c>
      <c r="M35" s="210">
        <f t="shared" si="5"/>
        <v>2315</v>
      </c>
      <c r="N35" s="207">
        <v>875</v>
      </c>
      <c r="O35" s="208">
        <v>431</v>
      </c>
      <c r="P35" s="208">
        <v>1009</v>
      </c>
      <c r="Q35" s="209">
        <v>0</v>
      </c>
      <c r="R35" s="207">
        <v>875</v>
      </c>
      <c r="S35" s="317">
        <v>459</v>
      </c>
      <c r="T35" s="223">
        <v>838</v>
      </c>
      <c r="U35" s="223"/>
      <c r="V35" s="224">
        <f t="shared" si="6"/>
        <v>2172</v>
      </c>
      <c r="W35" s="244">
        <f t="shared" si="7"/>
        <v>0.9382289416846652</v>
      </c>
    </row>
    <row r="36" spans="1:23" ht="15.75" customHeight="1">
      <c r="A36" s="214"/>
      <c r="B36" s="213"/>
      <c r="C36" s="213"/>
      <c r="D36" s="213"/>
      <c r="E36" s="213"/>
      <c r="F36" s="213"/>
      <c r="G36" s="213"/>
      <c r="H36" s="213"/>
      <c r="I36" s="204" t="s">
        <v>192</v>
      </c>
      <c r="J36" s="251" t="s">
        <v>53</v>
      </c>
      <c r="K36" s="203" t="s">
        <v>238</v>
      </c>
      <c r="L36" s="210">
        <f t="shared" si="4"/>
        <v>2900</v>
      </c>
      <c r="M36" s="210">
        <f t="shared" si="5"/>
        <v>2900</v>
      </c>
      <c r="N36" s="207">
        <v>0</v>
      </c>
      <c r="O36" s="208">
        <v>0</v>
      </c>
      <c r="P36" s="208">
        <v>2900</v>
      </c>
      <c r="Q36" s="209">
        <v>0</v>
      </c>
      <c r="R36" s="222">
        <v>0</v>
      </c>
      <c r="S36" s="314">
        <v>0</v>
      </c>
      <c r="T36" s="223">
        <v>2792</v>
      </c>
      <c r="U36" s="223"/>
      <c r="V36" s="224">
        <f t="shared" si="6"/>
        <v>2792</v>
      </c>
      <c r="W36" s="244">
        <f t="shared" si="7"/>
        <v>0.9627586206896551</v>
      </c>
    </row>
    <row r="37" spans="1:23" ht="15" customHeight="1">
      <c r="A37" s="214"/>
      <c r="B37" s="213"/>
      <c r="C37" s="213"/>
      <c r="D37" s="213"/>
      <c r="E37" s="213"/>
      <c r="F37" s="213"/>
      <c r="G37" s="213"/>
      <c r="H37" s="213"/>
      <c r="I37" s="204" t="s">
        <v>447</v>
      </c>
      <c r="J37" s="251" t="s">
        <v>56</v>
      </c>
      <c r="K37" s="203" t="s">
        <v>238</v>
      </c>
      <c r="L37" s="210">
        <f t="shared" si="4"/>
        <v>1009</v>
      </c>
      <c r="M37" s="210">
        <f t="shared" si="5"/>
        <v>1009</v>
      </c>
      <c r="N37" s="207">
        <v>0</v>
      </c>
      <c r="O37" s="208">
        <v>0</v>
      </c>
      <c r="P37" s="208">
        <v>1009</v>
      </c>
      <c r="Q37" s="209">
        <v>0</v>
      </c>
      <c r="R37" s="222">
        <v>0</v>
      </c>
      <c r="S37" s="314">
        <v>0</v>
      </c>
      <c r="T37" s="223">
        <v>838</v>
      </c>
      <c r="U37" s="223"/>
      <c r="V37" s="224">
        <f t="shared" si="6"/>
        <v>838</v>
      </c>
      <c r="W37" s="244">
        <f t="shared" si="7"/>
        <v>0.8305252725470763</v>
      </c>
    </row>
    <row r="38" spans="1:23" ht="22.5" customHeight="1">
      <c r="A38" s="214"/>
      <c r="B38" s="213"/>
      <c r="C38" s="213"/>
      <c r="D38" s="213"/>
      <c r="E38" s="213"/>
      <c r="F38" s="213"/>
      <c r="G38" s="213"/>
      <c r="H38" s="213"/>
      <c r="I38" s="204" t="s">
        <v>193</v>
      </c>
      <c r="J38" s="251" t="s">
        <v>57</v>
      </c>
      <c r="K38" s="203" t="s">
        <v>175</v>
      </c>
      <c r="L38" s="210">
        <f t="shared" si="4"/>
        <v>3</v>
      </c>
      <c r="M38" s="210">
        <f t="shared" si="5"/>
        <v>3</v>
      </c>
      <c r="N38" s="207">
        <v>0</v>
      </c>
      <c r="O38" s="208">
        <v>1</v>
      </c>
      <c r="P38" s="208">
        <v>1</v>
      </c>
      <c r="Q38" s="209">
        <v>1</v>
      </c>
      <c r="R38" s="222">
        <v>0</v>
      </c>
      <c r="S38" s="314">
        <v>1</v>
      </c>
      <c r="T38" s="223">
        <v>1</v>
      </c>
      <c r="U38" s="223"/>
      <c r="V38" s="224">
        <f t="shared" si="6"/>
        <v>2</v>
      </c>
      <c r="W38" s="244">
        <f t="shared" si="7"/>
        <v>0.6666666666666666</v>
      </c>
    </row>
    <row r="39" spans="1:23" ht="21.75" customHeight="1">
      <c r="A39" s="214"/>
      <c r="B39" s="213"/>
      <c r="C39" s="213"/>
      <c r="D39" s="213"/>
      <c r="E39" s="213"/>
      <c r="F39" s="213"/>
      <c r="G39" s="213"/>
      <c r="H39" s="213"/>
      <c r="I39" s="204" t="s">
        <v>194</v>
      </c>
      <c r="J39" s="251" t="s">
        <v>58</v>
      </c>
      <c r="K39" s="203" t="s">
        <v>175</v>
      </c>
      <c r="L39" s="210">
        <f t="shared" si="4"/>
        <v>3</v>
      </c>
      <c r="M39" s="210">
        <f t="shared" si="5"/>
        <v>3</v>
      </c>
      <c r="N39" s="207">
        <v>0</v>
      </c>
      <c r="O39" s="208">
        <v>1</v>
      </c>
      <c r="P39" s="208">
        <v>1</v>
      </c>
      <c r="Q39" s="209">
        <v>1</v>
      </c>
      <c r="R39" s="222">
        <v>0</v>
      </c>
      <c r="S39" s="314">
        <v>1</v>
      </c>
      <c r="T39" s="223">
        <v>1</v>
      </c>
      <c r="U39" s="223"/>
      <c r="V39" s="224">
        <f t="shared" si="6"/>
        <v>2</v>
      </c>
      <c r="W39" s="244">
        <f t="shared" si="7"/>
        <v>0.6666666666666666</v>
      </c>
    </row>
    <row r="40" spans="1:23" ht="12.75">
      <c r="A40" s="214"/>
      <c r="B40" s="213"/>
      <c r="C40" s="213"/>
      <c r="D40" s="213"/>
      <c r="E40" s="213"/>
      <c r="F40" s="213"/>
      <c r="G40" s="213"/>
      <c r="H40" s="213"/>
      <c r="I40" s="204" t="s">
        <v>239</v>
      </c>
      <c r="J40" s="251" t="s">
        <v>59</v>
      </c>
      <c r="K40" s="203" t="s">
        <v>175</v>
      </c>
      <c r="L40" s="210">
        <f t="shared" si="4"/>
        <v>3</v>
      </c>
      <c r="M40" s="210">
        <f t="shared" si="5"/>
        <v>3</v>
      </c>
      <c r="N40" s="207">
        <v>0</v>
      </c>
      <c r="O40" s="208">
        <v>1</v>
      </c>
      <c r="P40" s="208">
        <v>1</v>
      </c>
      <c r="Q40" s="209">
        <v>1</v>
      </c>
      <c r="R40" s="222">
        <v>0</v>
      </c>
      <c r="S40" s="314">
        <v>1</v>
      </c>
      <c r="T40" s="223">
        <v>1</v>
      </c>
      <c r="U40" s="223"/>
      <c r="V40" s="224">
        <f t="shared" si="6"/>
        <v>2</v>
      </c>
      <c r="W40" s="244">
        <f t="shared" si="7"/>
        <v>0.6666666666666666</v>
      </c>
    </row>
    <row r="41" spans="1:23" ht="12.75">
      <c r="A41" s="214"/>
      <c r="B41" s="213"/>
      <c r="C41" s="213"/>
      <c r="D41" s="213"/>
      <c r="E41" s="213"/>
      <c r="F41" s="213"/>
      <c r="G41" s="213"/>
      <c r="H41" s="213"/>
      <c r="I41" s="204" t="s">
        <v>195</v>
      </c>
      <c r="J41" s="251" t="s">
        <v>164</v>
      </c>
      <c r="K41" s="203" t="s">
        <v>175</v>
      </c>
      <c r="L41" s="210">
        <f t="shared" si="4"/>
        <v>3</v>
      </c>
      <c r="M41" s="210">
        <f t="shared" si="5"/>
        <v>3</v>
      </c>
      <c r="N41" s="207">
        <v>0</v>
      </c>
      <c r="O41" s="208">
        <v>1</v>
      </c>
      <c r="P41" s="208">
        <v>1</v>
      </c>
      <c r="Q41" s="209">
        <v>1</v>
      </c>
      <c r="R41" s="222">
        <v>0</v>
      </c>
      <c r="S41" s="314">
        <v>1</v>
      </c>
      <c r="T41" s="223">
        <v>1</v>
      </c>
      <c r="U41" s="223"/>
      <c r="V41" s="224">
        <f t="shared" si="6"/>
        <v>2</v>
      </c>
      <c r="W41" s="244">
        <f t="shared" si="7"/>
        <v>0.6666666666666666</v>
      </c>
    </row>
    <row r="42" spans="1:23" ht="23.25" customHeight="1">
      <c r="A42" s="214"/>
      <c r="B42" s="213"/>
      <c r="C42" s="213"/>
      <c r="D42" s="213"/>
      <c r="E42" s="213"/>
      <c r="F42" s="213"/>
      <c r="G42" s="213"/>
      <c r="H42" s="213"/>
      <c r="I42" s="204" t="s">
        <v>446</v>
      </c>
      <c r="J42" s="251" t="s">
        <v>165</v>
      </c>
      <c r="K42" s="203" t="s">
        <v>175</v>
      </c>
      <c r="L42" s="210">
        <f t="shared" si="4"/>
        <v>3</v>
      </c>
      <c r="M42" s="210">
        <f t="shared" si="5"/>
        <v>3</v>
      </c>
      <c r="N42" s="207">
        <v>0</v>
      </c>
      <c r="O42" s="208">
        <v>1</v>
      </c>
      <c r="P42" s="208">
        <v>1</v>
      </c>
      <c r="Q42" s="209">
        <v>1</v>
      </c>
      <c r="R42" s="222">
        <v>0</v>
      </c>
      <c r="S42" s="314">
        <v>1</v>
      </c>
      <c r="T42" s="223">
        <v>1</v>
      </c>
      <c r="U42" s="223"/>
      <c r="V42" s="224">
        <f t="shared" si="6"/>
        <v>2</v>
      </c>
      <c r="W42" s="244">
        <f t="shared" si="7"/>
        <v>0.6666666666666666</v>
      </c>
    </row>
    <row r="43" spans="1:23" ht="16.5" customHeight="1">
      <c r="A43" s="214"/>
      <c r="B43" s="213"/>
      <c r="C43" s="213"/>
      <c r="D43" s="213"/>
      <c r="E43" s="213"/>
      <c r="F43" s="213"/>
      <c r="G43" s="213"/>
      <c r="H43" s="213"/>
      <c r="I43" s="204" t="s">
        <v>445</v>
      </c>
      <c r="J43" s="251" t="s">
        <v>166</v>
      </c>
      <c r="K43" s="203" t="s">
        <v>196</v>
      </c>
      <c r="L43" s="210">
        <f t="shared" si="4"/>
        <v>1</v>
      </c>
      <c r="M43" s="210">
        <f t="shared" si="5"/>
        <v>1</v>
      </c>
      <c r="N43" s="207">
        <v>0</v>
      </c>
      <c r="O43" s="208">
        <v>0</v>
      </c>
      <c r="P43" s="208">
        <v>0</v>
      </c>
      <c r="Q43" s="209">
        <v>1</v>
      </c>
      <c r="R43" s="222">
        <v>0</v>
      </c>
      <c r="S43" s="314">
        <v>0</v>
      </c>
      <c r="T43" s="223">
        <v>0</v>
      </c>
      <c r="U43" s="223"/>
      <c r="V43" s="224">
        <f t="shared" si="6"/>
        <v>0</v>
      </c>
      <c r="W43" s="244">
        <f t="shared" si="7"/>
        <v>0</v>
      </c>
    </row>
    <row r="44" spans="1:23" ht="21.75" customHeight="1">
      <c r="A44" s="214"/>
      <c r="B44" s="213"/>
      <c r="C44" s="213"/>
      <c r="D44" s="213"/>
      <c r="E44" s="213"/>
      <c r="F44" s="213"/>
      <c r="G44" s="213"/>
      <c r="H44" s="213"/>
      <c r="I44" s="204" t="s">
        <v>383</v>
      </c>
      <c r="J44" s="251" t="s">
        <v>167</v>
      </c>
      <c r="K44" s="203" t="s">
        <v>389</v>
      </c>
      <c r="L44" s="210">
        <f t="shared" si="4"/>
        <v>1</v>
      </c>
      <c r="M44" s="210">
        <f t="shared" si="5"/>
        <v>1</v>
      </c>
      <c r="N44" s="207">
        <v>0</v>
      </c>
      <c r="O44" s="208">
        <v>0</v>
      </c>
      <c r="P44" s="208">
        <v>1</v>
      </c>
      <c r="Q44" s="209">
        <v>0</v>
      </c>
      <c r="R44" s="222">
        <v>0</v>
      </c>
      <c r="S44" s="314">
        <v>0</v>
      </c>
      <c r="T44" s="223">
        <v>1</v>
      </c>
      <c r="U44" s="223"/>
      <c r="V44" s="224">
        <f t="shared" si="6"/>
        <v>1</v>
      </c>
      <c r="W44" s="244">
        <f t="shared" si="7"/>
        <v>1</v>
      </c>
    </row>
    <row r="45" spans="1:23" ht="16.5" customHeight="1">
      <c r="A45" s="214"/>
      <c r="B45" s="213"/>
      <c r="C45" s="213"/>
      <c r="D45" s="213"/>
      <c r="E45" s="213"/>
      <c r="F45" s="213"/>
      <c r="G45" s="213"/>
      <c r="H45" s="213"/>
      <c r="I45" s="204" t="s">
        <v>382</v>
      </c>
      <c r="J45" s="251" t="s">
        <v>168</v>
      </c>
      <c r="K45" s="203" t="s">
        <v>394</v>
      </c>
      <c r="L45" s="210">
        <f t="shared" si="4"/>
        <v>3</v>
      </c>
      <c r="M45" s="210">
        <f t="shared" si="5"/>
        <v>3</v>
      </c>
      <c r="N45" s="207">
        <v>0</v>
      </c>
      <c r="O45" s="208">
        <v>1</v>
      </c>
      <c r="P45" s="208">
        <v>1</v>
      </c>
      <c r="Q45" s="209">
        <v>1</v>
      </c>
      <c r="R45" s="222">
        <v>0</v>
      </c>
      <c r="S45" s="314">
        <v>1</v>
      </c>
      <c r="T45" s="223">
        <v>1</v>
      </c>
      <c r="U45" s="223"/>
      <c r="V45" s="224">
        <f t="shared" si="6"/>
        <v>2</v>
      </c>
      <c r="W45" s="244">
        <f t="shared" si="7"/>
        <v>0.6666666666666666</v>
      </c>
    </row>
    <row r="46" spans="1:23" ht="24.75" customHeight="1">
      <c r="A46" s="214"/>
      <c r="B46" s="213"/>
      <c r="C46" s="213"/>
      <c r="D46" s="213"/>
      <c r="E46" s="213"/>
      <c r="F46" s="213"/>
      <c r="G46" s="213"/>
      <c r="H46" s="213"/>
      <c r="I46" s="204" t="s">
        <v>197</v>
      </c>
      <c r="J46" s="251" t="s">
        <v>169</v>
      </c>
      <c r="K46" s="203" t="s">
        <v>175</v>
      </c>
      <c r="L46" s="210">
        <f t="shared" si="4"/>
        <v>3</v>
      </c>
      <c r="M46" s="210">
        <f t="shared" si="5"/>
        <v>3</v>
      </c>
      <c r="N46" s="207">
        <v>0</v>
      </c>
      <c r="O46" s="208">
        <v>1</v>
      </c>
      <c r="P46" s="208">
        <v>1</v>
      </c>
      <c r="Q46" s="209">
        <v>1</v>
      </c>
      <c r="R46" s="222">
        <v>0</v>
      </c>
      <c r="S46" s="314">
        <v>1</v>
      </c>
      <c r="T46" s="223">
        <v>1</v>
      </c>
      <c r="U46" s="223"/>
      <c r="V46" s="224">
        <f t="shared" si="6"/>
        <v>2</v>
      </c>
      <c r="W46" s="244">
        <f t="shared" si="7"/>
        <v>0.6666666666666666</v>
      </c>
    </row>
    <row r="47" spans="1:23" ht="20.25" customHeight="1">
      <c r="A47" s="214"/>
      <c r="B47" s="213"/>
      <c r="C47" s="213"/>
      <c r="D47" s="213"/>
      <c r="E47" s="213"/>
      <c r="F47" s="213"/>
      <c r="G47" s="213"/>
      <c r="H47" s="213"/>
      <c r="I47" s="204" t="s">
        <v>381</v>
      </c>
      <c r="J47" s="251" t="s">
        <v>170</v>
      </c>
      <c r="K47" s="203" t="s">
        <v>393</v>
      </c>
      <c r="L47" s="210">
        <f t="shared" si="4"/>
        <v>1</v>
      </c>
      <c r="M47" s="210">
        <f t="shared" si="5"/>
        <v>1</v>
      </c>
      <c r="N47" s="207">
        <v>0</v>
      </c>
      <c r="O47" s="208">
        <v>1</v>
      </c>
      <c r="P47" s="208">
        <v>0</v>
      </c>
      <c r="Q47" s="209">
        <v>0</v>
      </c>
      <c r="R47" s="222">
        <v>0</v>
      </c>
      <c r="S47" s="314">
        <v>1</v>
      </c>
      <c r="T47" s="223">
        <v>0</v>
      </c>
      <c r="U47" s="223"/>
      <c r="V47" s="224">
        <f t="shared" si="6"/>
        <v>1</v>
      </c>
      <c r="W47" s="244">
        <f t="shared" si="7"/>
        <v>1</v>
      </c>
    </row>
    <row r="48" spans="1:23" ht="22.5" customHeight="1">
      <c r="A48" s="214"/>
      <c r="B48" s="213"/>
      <c r="C48" s="213"/>
      <c r="D48" s="213"/>
      <c r="E48" s="213"/>
      <c r="F48" s="213"/>
      <c r="G48" s="213"/>
      <c r="H48" s="213"/>
      <c r="I48" s="204" t="s">
        <v>380</v>
      </c>
      <c r="J48" s="251" t="s">
        <v>171</v>
      </c>
      <c r="K48" s="203" t="s">
        <v>175</v>
      </c>
      <c r="L48" s="210">
        <f t="shared" si="4"/>
        <v>3</v>
      </c>
      <c r="M48" s="210">
        <f t="shared" si="5"/>
        <v>3</v>
      </c>
      <c r="N48" s="207">
        <v>0</v>
      </c>
      <c r="O48" s="208">
        <v>1</v>
      </c>
      <c r="P48" s="208">
        <v>1</v>
      </c>
      <c r="Q48" s="209">
        <v>1</v>
      </c>
      <c r="R48" s="222">
        <v>0</v>
      </c>
      <c r="S48" s="314">
        <v>1</v>
      </c>
      <c r="T48" s="223">
        <v>1</v>
      </c>
      <c r="U48" s="223"/>
      <c r="V48" s="224">
        <f t="shared" si="6"/>
        <v>2</v>
      </c>
      <c r="W48" s="244">
        <f t="shared" si="7"/>
        <v>0.6666666666666666</v>
      </c>
    </row>
    <row r="49" spans="1:23" ht="16.5" customHeight="1">
      <c r="A49" s="214"/>
      <c r="B49" s="213"/>
      <c r="C49" s="213"/>
      <c r="D49" s="213"/>
      <c r="E49" s="213"/>
      <c r="F49" s="213"/>
      <c r="G49" s="213"/>
      <c r="H49" s="213"/>
      <c r="I49" s="204" t="s">
        <v>444</v>
      </c>
      <c r="J49" s="251">
        <v>16</v>
      </c>
      <c r="K49" s="203" t="s">
        <v>472</v>
      </c>
      <c r="L49" s="210">
        <f t="shared" si="4"/>
        <v>1</v>
      </c>
      <c r="M49" s="210">
        <f t="shared" si="5"/>
        <v>1</v>
      </c>
      <c r="N49" s="207">
        <v>0</v>
      </c>
      <c r="O49" s="208">
        <v>1</v>
      </c>
      <c r="P49" s="208">
        <v>0</v>
      </c>
      <c r="Q49" s="209">
        <v>0</v>
      </c>
      <c r="R49" s="222">
        <v>0</v>
      </c>
      <c r="S49" s="314">
        <v>0</v>
      </c>
      <c r="T49" s="223">
        <v>0</v>
      </c>
      <c r="U49" s="223"/>
      <c r="V49" s="224">
        <f t="shared" si="6"/>
        <v>0</v>
      </c>
      <c r="W49" s="244">
        <f t="shared" si="7"/>
        <v>0</v>
      </c>
    </row>
    <row r="50" spans="1:23" ht="18">
      <c r="A50" s="214"/>
      <c r="B50" s="213"/>
      <c r="C50" s="213"/>
      <c r="D50" s="213"/>
      <c r="E50" s="213"/>
      <c r="F50" s="213"/>
      <c r="G50" s="213"/>
      <c r="H50" s="213"/>
      <c r="I50" s="204" t="s">
        <v>484</v>
      </c>
      <c r="J50" s="251">
        <v>17</v>
      </c>
      <c r="K50" s="203" t="s">
        <v>473</v>
      </c>
      <c r="L50" s="210">
        <f t="shared" si="4"/>
        <v>2</v>
      </c>
      <c r="M50" s="210">
        <f t="shared" si="5"/>
        <v>2</v>
      </c>
      <c r="N50" s="207">
        <v>0</v>
      </c>
      <c r="O50" s="208">
        <v>1</v>
      </c>
      <c r="P50" s="208">
        <v>1</v>
      </c>
      <c r="Q50" s="209">
        <v>0</v>
      </c>
      <c r="R50" s="222">
        <v>0</v>
      </c>
      <c r="S50" s="314">
        <v>1</v>
      </c>
      <c r="T50" s="223">
        <v>0</v>
      </c>
      <c r="U50" s="223"/>
      <c r="V50" s="224">
        <f t="shared" si="6"/>
        <v>1</v>
      </c>
      <c r="W50" s="244">
        <f t="shared" si="7"/>
        <v>0.5</v>
      </c>
    </row>
    <row r="51" spans="1:23" ht="16.5" customHeight="1">
      <c r="A51" s="214"/>
      <c r="B51" s="213"/>
      <c r="C51" s="213"/>
      <c r="D51" s="213"/>
      <c r="E51" s="213"/>
      <c r="F51" s="213"/>
      <c r="G51" s="213"/>
      <c r="H51" s="213"/>
      <c r="I51" s="204" t="s">
        <v>240</v>
      </c>
      <c r="J51" s="251">
        <v>18</v>
      </c>
      <c r="K51" s="203" t="s">
        <v>176</v>
      </c>
      <c r="L51" s="210">
        <f t="shared" si="4"/>
        <v>1</v>
      </c>
      <c r="M51" s="210">
        <f t="shared" si="5"/>
        <v>1</v>
      </c>
      <c r="N51" s="207">
        <v>0</v>
      </c>
      <c r="O51" s="208">
        <v>1</v>
      </c>
      <c r="P51" s="208">
        <v>0</v>
      </c>
      <c r="Q51" s="209">
        <v>0</v>
      </c>
      <c r="R51" s="222">
        <v>0</v>
      </c>
      <c r="S51" s="314">
        <v>1</v>
      </c>
      <c r="T51" s="223">
        <v>0</v>
      </c>
      <c r="U51" s="223"/>
      <c r="V51" s="224">
        <f t="shared" si="6"/>
        <v>1</v>
      </c>
      <c r="W51" s="244">
        <f t="shared" si="7"/>
        <v>1</v>
      </c>
    </row>
    <row r="52" spans="1:23" ht="24" customHeight="1">
      <c r="A52" s="214"/>
      <c r="B52" s="213"/>
      <c r="C52" s="213"/>
      <c r="D52" s="213"/>
      <c r="E52" s="213"/>
      <c r="F52" s="213"/>
      <c r="G52" s="213"/>
      <c r="H52" s="213"/>
      <c r="I52" s="204" t="s">
        <v>443</v>
      </c>
      <c r="J52" s="251">
        <v>19</v>
      </c>
      <c r="K52" s="203" t="s">
        <v>175</v>
      </c>
      <c r="L52" s="210">
        <f t="shared" si="4"/>
        <v>3</v>
      </c>
      <c r="M52" s="210">
        <f t="shared" si="5"/>
        <v>3</v>
      </c>
      <c r="N52" s="207">
        <v>0</v>
      </c>
      <c r="O52" s="208">
        <v>1</v>
      </c>
      <c r="P52" s="208">
        <v>2</v>
      </c>
      <c r="Q52" s="209">
        <v>0</v>
      </c>
      <c r="R52" s="222">
        <v>0</v>
      </c>
      <c r="S52" s="314">
        <v>1</v>
      </c>
      <c r="T52" s="223">
        <v>1</v>
      </c>
      <c r="U52" s="223"/>
      <c r="V52" s="224">
        <f t="shared" si="6"/>
        <v>2</v>
      </c>
      <c r="W52" s="244">
        <f t="shared" si="7"/>
        <v>0.6666666666666666</v>
      </c>
    </row>
    <row r="53" spans="1:23" ht="23.25" customHeight="1">
      <c r="A53" s="214"/>
      <c r="B53" s="213"/>
      <c r="C53" s="213"/>
      <c r="D53" s="213"/>
      <c r="E53" s="213"/>
      <c r="F53" s="213"/>
      <c r="G53" s="213"/>
      <c r="H53" s="213"/>
      <c r="I53" s="204" t="s">
        <v>442</v>
      </c>
      <c r="J53" s="251">
        <v>20</v>
      </c>
      <c r="K53" s="203" t="s">
        <v>175</v>
      </c>
      <c r="L53" s="210">
        <f t="shared" si="4"/>
        <v>2</v>
      </c>
      <c r="M53" s="210">
        <f t="shared" si="5"/>
        <v>2</v>
      </c>
      <c r="N53" s="207">
        <v>0</v>
      </c>
      <c r="O53" s="208">
        <v>0</v>
      </c>
      <c r="P53" s="208">
        <v>2</v>
      </c>
      <c r="Q53" s="209">
        <v>0</v>
      </c>
      <c r="R53" s="222">
        <v>0</v>
      </c>
      <c r="S53" s="314">
        <v>0</v>
      </c>
      <c r="T53" s="223">
        <v>0</v>
      </c>
      <c r="U53" s="223"/>
      <c r="V53" s="224">
        <f t="shared" si="6"/>
        <v>0</v>
      </c>
      <c r="W53" s="244">
        <f t="shared" si="7"/>
        <v>0</v>
      </c>
    </row>
    <row r="54" spans="1:23" ht="24" customHeight="1">
      <c r="A54" s="214"/>
      <c r="B54" s="213"/>
      <c r="C54" s="213"/>
      <c r="D54" s="213"/>
      <c r="E54" s="213"/>
      <c r="F54" s="213"/>
      <c r="G54" s="213"/>
      <c r="H54" s="213"/>
      <c r="I54" s="204" t="s">
        <v>241</v>
      </c>
      <c r="J54" s="251" t="s">
        <v>198</v>
      </c>
      <c r="K54" s="203" t="s">
        <v>176</v>
      </c>
      <c r="L54" s="210">
        <f t="shared" si="4"/>
        <v>3</v>
      </c>
      <c r="M54" s="210">
        <f t="shared" si="5"/>
        <v>3</v>
      </c>
      <c r="N54" s="207">
        <v>0</v>
      </c>
      <c r="O54" s="208">
        <v>1</v>
      </c>
      <c r="P54" s="208">
        <v>1</v>
      </c>
      <c r="Q54" s="209">
        <v>1</v>
      </c>
      <c r="R54" s="222">
        <v>0</v>
      </c>
      <c r="S54" s="314">
        <v>1</v>
      </c>
      <c r="T54" s="223">
        <v>1</v>
      </c>
      <c r="U54" s="223"/>
      <c r="V54" s="224">
        <f t="shared" si="6"/>
        <v>2</v>
      </c>
      <c r="W54" s="244">
        <f t="shared" si="7"/>
        <v>0.6666666666666666</v>
      </c>
    </row>
    <row r="55" spans="1:23" ht="23.25" customHeight="1">
      <c r="A55" s="214"/>
      <c r="B55" s="213"/>
      <c r="C55" s="213"/>
      <c r="D55" s="213"/>
      <c r="E55" s="213"/>
      <c r="F55" s="213"/>
      <c r="G55" s="213"/>
      <c r="H55" s="213"/>
      <c r="I55" s="204" t="s">
        <v>379</v>
      </c>
      <c r="J55" s="251" t="s">
        <v>199</v>
      </c>
      <c r="K55" s="203" t="s">
        <v>176</v>
      </c>
      <c r="L55" s="210">
        <f t="shared" si="4"/>
        <v>3</v>
      </c>
      <c r="M55" s="210">
        <f t="shared" si="5"/>
        <v>3</v>
      </c>
      <c r="N55" s="207">
        <v>0</v>
      </c>
      <c r="O55" s="208">
        <v>1</v>
      </c>
      <c r="P55" s="208">
        <v>1</v>
      </c>
      <c r="Q55" s="209">
        <v>1</v>
      </c>
      <c r="R55" s="222">
        <v>0</v>
      </c>
      <c r="S55" s="314">
        <v>1</v>
      </c>
      <c r="T55" s="223">
        <v>1</v>
      </c>
      <c r="U55" s="223"/>
      <c r="V55" s="224">
        <f t="shared" si="6"/>
        <v>2</v>
      </c>
      <c r="W55" s="244">
        <f t="shared" si="7"/>
        <v>0.6666666666666666</v>
      </c>
    </row>
    <row r="56" spans="1:23" ht="22.5" customHeight="1">
      <c r="A56" s="214"/>
      <c r="B56" s="213"/>
      <c r="C56" s="213"/>
      <c r="D56" s="213"/>
      <c r="E56" s="213"/>
      <c r="F56" s="213"/>
      <c r="G56" s="213"/>
      <c r="H56" s="213"/>
      <c r="I56" s="204" t="s">
        <v>441</v>
      </c>
      <c r="J56" s="251" t="s">
        <v>200</v>
      </c>
      <c r="K56" s="203" t="s">
        <v>175</v>
      </c>
      <c r="L56" s="210">
        <f t="shared" si="4"/>
        <v>1</v>
      </c>
      <c r="M56" s="210">
        <f t="shared" si="5"/>
        <v>1</v>
      </c>
      <c r="N56" s="207">
        <v>0</v>
      </c>
      <c r="O56" s="208">
        <v>0</v>
      </c>
      <c r="P56" s="208">
        <v>0</v>
      </c>
      <c r="Q56" s="209">
        <v>1</v>
      </c>
      <c r="R56" s="222">
        <v>0</v>
      </c>
      <c r="S56" s="314">
        <v>0</v>
      </c>
      <c r="T56" s="223">
        <v>0</v>
      </c>
      <c r="U56" s="223"/>
      <c r="V56" s="224">
        <f t="shared" si="6"/>
        <v>0</v>
      </c>
      <c r="W56" s="244">
        <f t="shared" si="7"/>
        <v>0</v>
      </c>
    </row>
    <row r="57" spans="1:23" ht="22.5" customHeight="1">
      <c r="A57" s="214"/>
      <c r="B57" s="213"/>
      <c r="C57" s="213"/>
      <c r="D57" s="213"/>
      <c r="E57" s="213"/>
      <c r="F57" s="213"/>
      <c r="G57" s="213"/>
      <c r="H57" s="213"/>
      <c r="I57" s="204" t="s">
        <v>378</v>
      </c>
      <c r="J57" s="251" t="s">
        <v>201</v>
      </c>
      <c r="K57" s="203" t="s">
        <v>175</v>
      </c>
      <c r="L57" s="210">
        <f t="shared" si="4"/>
        <v>3</v>
      </c>
      <c r="M57" s="210">
        <f t="shared" si="5"/>
        <v>3</v>
      </c>
      <c r="N57" s="207">
        <v>0</v>
      </c>
      <c r="O57" s="208">
        <v>1</v>
      </c>
      <c r="P57" s="208">
        <v>1</v>
      </c>
      <c r="Q57" s="209">
        <v>1</v>
      </c>
      <c r="R57" s="222">
        <v>0</v>
      </c>
      <c r="S57" s="314">
        <v>1</v>
      </c>
      <c r="T57" s="223">
        <v>1</v>
      </c>
      <c r="U57" s="223"/>
      <c r="V57" s="224">
        <f t="shared" si="6"/>
        <v>2</v>
      </c>
      <c r="W57" s="244">
        <f t="shared" si="7"/>
        <v>0.6666666666666666</v>
      </c>
    </row>
    <row r="58" spans="1:23" ht="15.75" customHeight="1">
      <c r="A58" s="214"/>
      <c r="B58" s="213"/>
      <c r="C58" s="213"/>
      <c r="D58" s="213"/>
      <c r="E58" s="213"/>
      <c r="F58" s="213"/>
      <c r="G58" s="213"/>
      <c r="H58" s="213"/>
      <c r="I58" s="204" t="s">
        <v>377</v>
      </c>
      <c r="J58" s="251" t="s">
        <v>202</v>
      </c>
      <c r="K58" s="203" t="s">
        <v>175</v>
      </c>
      <c r="L58" s="210">
        <f t="shared" si="4"/>
        <v>1</v>
      </c>
      <c r="M58" s="210">
        <f t="shared" si="5"/>
        <v>1</v>
      </c>
      <c r="N58" s="207">
        <v>0</v>
      </c>
      <c r="O58" s="208">
        <v>0</v>
      </c>
      <c r="P58" s="208">
        <v>0</v>
      </c>
      <c r="Q58" s="209">
        <v>1</v>
      </c>
      <c r="R58" s="222">
        <v>0</v>
      </c>
      <c r="S58" s="314">
        <v>0</v>
      </c>
      <c r="T58" s="223">
        <v>0</v>
      </c>
      <c r="U58" s="223"/>
      <c r="V58" s="224">
        <f t="shared" si="6"/>
        <v>0</v>
      </c>
      <c r="W58" s="244">
        <f t="shared" si="7"/>
        <v>0</v>
      </c>
    </row>
    <row r="59" spans="1:23" ht="16.5" customHeight="1">
      <c r="A59" s="214"/>
      <c r="B59" s="213"/>
      <c r="C59" s="213"/>
      <c r="D59" s="213"/>
      <c r="E59" s="213"/>
      <c r="F59" s="213"/>
      <c r="G59" s="213"/>
      <c r="H59" s="213"/>
      <c r="I59" s="204" t="s">
        <v>440</v>
      </c>
      <c r="J59" s="251">
        <v>26</v>
      </c>
      <c r="K59" s="203" t="s">
        <v>472</v>
      </c>
      <c r="L59" s="210">
        <f t="shared" si="4"/>
        <v>1</v>
      </c>
      <c r="M59" s="210">
        <f t="shared" si="5"/>
        <v>1</v>
      </c>
      <c r="N59" s="207">
        <v>1</v>
      </c>
      <c r="O59" s="208">
        <v>0</v>
      </c>
      <c r="P59" s="208">
        <v>0</v>
      </c>
      <c r="Q59" s="209">
        <v>0</v>
      </c>
      <c r="R59" s="222">
        <v>1</v>
      </c>
      <c r="S59" s="314">
        <v>0</v>
      </c>
      <c r="T59" s="223">
        <v>0</v>
      </c>
      <c r="U59" s="223"/>
      <c r="V59" s="224">
        <f t="shared" si="6"/>
        <v>1</v>
      </c>
      <c r="W59" s="244">
        <f t="shared" si="7"/>
        <v>1</v>
      </c>
    </row>
    <row r="60" spans="1:23" ht="16.5" customHeight="1">
      <c r="A60" s="214"/>
      <c r="B60" s="213"/>
      <c r="C60" s="213"/>
      <c r="D60" s="213"/>
      <c r="E60" s="213"/>
      <c r="F60" s="213"/>
      <c r="G60" s="213"/>
      <c r="H60" s="213"/>
      <c r="I60" s="204" t="s">
        <v>376</v>
      </c>
      <c r="J60" s="251">
        <v>27</v>
      </c>
      <c r="K60" s="203" t="s">
        <v>163</v>
      </c>
      <c r="L60" s="210">
        <f t="shared" si="4"/>
        <v>1929</v>
      </c>
      <c r="M60" s="210">
        <f t="shared" si="5"/>
        <v>1929</v>
      </c>
      <c r="N60" s="207">
        <v>76</v>
      </c>
      <c r="O60" s="208">
        <v>0</v>
      </c>
      <c r="P60" s="208">
        <v>1853</v>
      </c>
      <c r="Q60" s="209">
        <v>0</v>
      </c>
      <c r="R60" s="222">
        <v>76</v>
      </c>
      <c r="S60" s="314">
        <v>0</v>
      </c>
      <c r="T60" s="223">
        <v>1668</v>
      </c>
      <c r="U60" s="223"/>
      <c r="V60" s="224">
        <f t="shared" si="6"/>
        <v>1744</v>
      </c>
      <c r="W60" s="244">
        <f t="shared" si="7"/>
        <v>0.9040953862104717</v>
      </c>
    </row>
    <row r="61" spans="1:23" ht="12.75">
      <c r="A61" s="214"/>
      <c r="B61" s="213"/>
      <c r="C61" s="213"/>
      <c r="D61" s="213"/>
      <c r="E61" s="213"/>
      <c r="F61" s="213"/>
      <c r="G61" s="213"/>
      <c r="H61" s="213"/>
      <c r="I61" s="204" t="s">
        <v>375</v>
      </c>
      <c r="J61" s="251">
        <v>28</v>
      </c>
      <c r="K61" s="203" t="s">
        <v>163</v>
      </c>
      <c r="L61" s="210">
        <f t="shared" si="4"/>
        <v>5588</v>
      </c>
      <c r="M61" s="210">
        <f t="shared" si="5"/>
        <v>5588</v>
      </c>
      <c r="N61" s="207">
        <v>2405</v>
      </c>
      <c r="O61" s="208">
        <v>2136</v>
      </c>
      <c r="P61" s="208">
        <v>1047</v>
      </c>
      <c r="Q61" s="209">
        <v>0</v>
      </c>
      <c r="R61" s="222">
        <v>2400</v>
      </c>
      <c r="S61" s="317">
        <v>2217</v>
      </c>
      <c r="T61" s="223">
        <v>1124</v>
      </c>
      <c r="U61" s="223"/>
      <c r="V61" s="224">
        <f t="shared" si="6"/>
        <v>5741</v>
      </c>
      <c r="W61" s="244">
        <f t="shared" si="7"/>
        <v>1.0273801002147458</v>
      </c>
    </row>
    <row r="62" spans="1:23" ht="15.75" customHeight="1">
      <c r="A62" s="214"/>
      <c r="B62" s="213"/>
      <c r="C62" s="213"/>
      <c r="D62" s="213"/>
      <c r="E62" s="213"/>
      <c r="F62" s="213"/>
      <c r="G62" s="213"/>
      <c r="H62" s="213"/>
      <c r="I62" s="204" t="s">
        <v>374</v>
      </c>
      <c r="J62" s="251">
        <v>29</v>
      </c>
      <c r="K62" s="203" t="s">
        <v>163</v>
      </c>
      <c r="L62" s="210">
        <f t="shared" si="4"/>
        <v>663</v>
      </c>
      <c r="M62" s="210">
        <f t="shared" si="5"/>
        <v>663</v>
      </c>
      <c r="N62" s="207">
        <v>63</v>
      </c>
      <c r="O62" s="208">
        <v>0</v>
      </c>
      <c r="P62" s="208">
        <v>600</v>
      </c>
      <c r="Q62" s="209">
        <v>0</v>
      </c>
      <c r="R62" s="222">
        <v>63</v>
      </c>
      <c r="S62" s="314">
        <v>0</v>
      </c>
      <c r="T62" s="223">
        <v>522</v>
      </c>
      <c r="U62" s="223"/>
      <c r="V62" s="224">
        <f t="shared" si="6"/>
        <v>585</v>
      </c>
      <c r="W62" s="244">
        <f t="shared" si="7"/>
        <v>0.8823529411764706</v>
      </c>
    </row>
    <row r="63" spans="1:23" ht="17.25" customHeight="1">
      <c r="A63" s="214"/>
      <c r="B63" s="213"/>
      <c r="C63" s="213"/>
      <c r="D63" s="213"/>
      <c r="E63" s="213"/>
      <c r="F63" s="213"/>
      <c r="G63" s="213"/>
      <c r="H63" s="213"/>
      <c r="I63" s="204" t="s">
        <v>373</v>
      </c>
      <c r="J63" s="251">
        <v>30</v>
      </c>
      <c r="K63" s="203" t="s">
        <v>163</v>
      </c>
      <c r="L63" s="210">
        <f t="shared" si="4"/>
        <v>1652</v>
      </c>
      <c r="M63" s="210">
        <f t="shared" si="5"/>
        <v>1652</v>
      </c>
      <c r="N63" s="207">
        <v>812</v>
      </c>
      <c r="O63" s="208">
        <v>431</v>
      </c>
      <c r="P63" s="208">
        <v>409</v>
      </c>
      <c r="Q63" s="209">
        <v>0</v>
      </c>
      <c r="R63" s="222">
        <v>812</v>
      </c>
      <c r="S63" s="317">
        <v>459</v>
      </c>
      <c r="T63" s="223">
        <v>316</v>
      </c>
      <c r="U63" s="223"/>
      <c r="V63" s="224">
        <f t="shared" si="6"/>
        <v>1587</v>
      </c>
      <c r="W63" s="244">
        <f t="shared" si="7"/>
        <v>0.9606537530266344</v>
      </c>
    </row>
    <row r="64" spans="1:23" ht="18" customHeight="1">
      <c r="A64" s="214"/>
      <c r="B64" s="213"/>
      <c r="C64" s="213"/>
      <c r="D64" s="213"/>
      <c r="E64" s="213"/>
      <c r="F64" s="213"/>
      <c r="G64" s="213"/>
      <c r="H64" s="213"/>
      <c r="I64" s="204" t="s">
        <v>242</v>
      </c>
      <c r="J64" s="251">
        <v>31</v>
      </c>
      <c r="K64" s="203" t="s">
        <v>243</v>
      </c>
      <c r="L64" s="210">
        <f t="shared" si="4"/>
        <v>3</v>
      </c>
      <c r="M64" s="210">
        <f t="shared" si="5"/>
        <v>3</v>
      </c>
      <c r="N64" s="207">
        <v>1</v>
      </c>
      <c r="O64" s="208">
        <v>0</v>
      </c>
      <c r="P64" s="208">
        <v>1</v>
      </c>
      <c r="Q64" s="209">
        <v>1</v>
      </c>
      <c r="R64" s="222">
        <v>1</v>
      </c>
      <c r="S64" s="314">
        <v>0</v>
      </c>
      <c r="T64" s="223">
        <v>1</v>
      </c>
      <c r="U64" s="223"/>
      <c r="V64" s="224">
        <f t="shared" si="6"/>
        <v>2</v>
      </c>
      <c r="W64" s="244">
        <f t="shared" si="7"/>
        <v>0.6666666666666666</v>
      </c>
    </row>
    <row r="65" spans="1:23" ht="15.75" customHeight="1">
      <c r="A65" s="214"/>
      <c r="B65" s="213"/>
      <c r="C65" s="213"/>
      <c r="D65" s="213"/>
      <c r="E65" s="213"/>
      <c r="F65" s="213"/>
      <c r="G65" s="213"/>
      <c r="H65" s="213"/>
      <c r="I65" s="204" t="s">
        <v>244</v>
      </c>
      <c r="J65" s="251">
        <v>32</v>
      </c>
      <c r="K65" s="203" t="s">
        <v>439</v>
      </c>
      <c r="L65" s="210">
        <f t="shared" si="4"/>
        <v>2</v>
      </c>
      <c r="M65" s="210">
        <f t="shared" si="5"/>
        <v>2</v>
      </c>
      <c r="N65" s="207">
        <v>1</v>
      </c>
      <c r="O65" s="208">
        <v>0</v>
      </c>
      <c r="P65" s="208">
        <v>0</v>
      </c>
      <c r="Q65" s="209">
        <v>1</v>
      </c>
      <c r="R65" s="222">
        <v>1</v>
      </c>
      <c r="S65" s="314">
        <v>0</v>
      </c>
      <c r="T65" s="223">
        <v>0</v>
      </c>
      <c r="U65" s="223"/>
      <c r="V65" s="224">
        <f t="shared" si="6"/>
        <v>1</v>
      </c>
      <c r="W65" s="244">
        <f t="shared" si="7"/>
        <v>0.5</v>
      </c>
    </row>
    <row r="66" spans="1:23" ht="15.75" customHeight="1">
      <c r="A66" s="214"/>
      <c r="B66" s="213"/>
      <c r="C66" s="213"/>
      <c r="D66" s="213"/>
      <c r="E66" s="213"/>
      <c r="F66" s="213"/>
      <c r="G66" s="213"/>
      <c r="H66" s="213"/>
      <c r="I66" s="204" t="s">
        <v>245</v>
      </c>
      <c r="J66" s="251">
        <v>33</v>
      </c>
      <c r="K66" s="203" t="s">
        <v>176</v>
      </c>
      <c r="L66" s="210">
        <f t="shared" si="4"/>
        <v>12</v>
      </c>
      <c r="M66" s="210">
        <f t="shared" si="5"/>
        <v>12</v>
      </c>
      <c r="N66" s="207">
        <v>3</v>
      </c>
      <c r="O66" s="208">
        <v>3</v>
      </c>
      <c r="P66" s="208">
        <v>3</v>
      </c>
      <c r="Q66" s="209">
        <v>3</v>
      </c>
      <c r="R66" s="222">
        <v>3</v>
      </c>
      <c r="S66" s="314">
        <v>3</v>
      </c>
      <c r="T66" s="223">
        <v>3</v>
      </c>
      <c r="U66" s="223"/>
      <c r="V66" s="224">
        <f t="shared" si="6"/>
        <v>9</v>
      </c>
      <c r="W66" s="244">
        <f t="shared" si="7"/>
        <v>0.75</v>
      </c>
    </row>
    <row r="67" spans="1:23" ht="14.25" customHeight="1">
      <c r="A67" s="214"/>
      <c r="B67" s="213"/>
      <c r="C67" s="213"/>
      <c r="D67" s="213"/>
      <c r="E67" s="213"/>
      <c r="F67" s="213"/>
      <c r="G67" s="213"/>
      <c r="H67" s="213"/>
      <c r="I67" s="204" t="s">
        <v>246</v>
      </c>
      <c r="J67" s="251">
        <v>34</v>
      </c>
      <c r="K67" s="203" t="s">
        <v>176</v>
      </c>
      <c r="L67" s="210">
        <f t="shared" si="4"/>
        <v>3</v>
      </c>
      <c r="M67" s="210">
        <f t="shared" si="5"/>
        <v>3</v>
      </c>
      <c r="N67" s="207">
        <v>1</v>
      </c>
      <c r="O67" s="208">
        <v>1</v>
      </c>
      <c r="P67" s="208">
        <v>1</v>
      </c>
      <c r="Q67" s="209">
        <v>0</v>
      </c>
      <c r="R67" s="222">
        <v>1</v>
      </c>
      <c r="S67" s="314">
        <v>1</v>
      </c>
      <c r="T67" s="223">
        <v>1</v>
      </c>
      <c r="U67" s="223"/>
      <c r="V67" s="224">
        <f t="shared" si="6"/>
        <v>3</v>
      </c>
      <c r="W67" s="244">
        <f t="shared" si="7"/>
        <v>1</v>
      </c>
    </row>
    <row r="68" spans="1:23" ht="17.25" customHeight="1">
      <c r="A68" s="214"/>
      <c r="B68" s="213"/>
      <c r="C68" s="213"/>
      <c r="D68" s="213"/>
      <c r="E68" s="213"/>
      <c r="F68" s="213"/>
      <c r="G68" s="213"/>
      <c r="H68" s="213"/>
      <c r="I68" s="204" t="s">
        <v>247</v>
      </c>
      <c r="J68" s="251">
        <v>35</v>
      </c>
      <c r="K68" s="203" t="s">
        <v>176</v>
      </c>
      <c r="L68" s="210">
        <f t="shared" si="4"/>
        <v>2</v>
      </c>
      <c r="M68" s="210">
        <f t="shared" si="5"/>
        <v>2</v>
      </c>
      <c r="N68" s="207">
        <v>1</v>
      </c>
      <c r="O68" s="208">
        <v>0</v>
      </c>
      <c r="P68" s="208">
        <v>0</v>
      </c>
      <c r="Q68" s="209">
        <v>1</v>
      </c>
      <c r="R68" s="222">
        <v>1</v>
      </c>
      <c r="S68" s="314">
        <v>0</v>
      </c>
      <c r="T68" s="223">
        <v>0</v>
      </c>
      <c r="U68" s="223"/>
      <c r="V68" s="224">
        <f t="shared" si="6"/>
        <v>1</v>
      </c>
      <c r="W68" s="244">
        <f t="shared" si="7"/>
        <v>0.5</v>
      </c>
    </row>
    <row r="69" spans="1:23" ht="24.75" customHeight="1">
      <c r="A69" s="214"/>
      <c r="B69" s="213"/>
      <c r="C69" s="213"/>
      <c r="D69" s="213"/>
      <c r="E69" s="213"/>
      <c r="F69" s="213"/>
      <c r="G69" s="213"/>
      <c r="H69" s="213"/>
      <c r="I69" s="204" t="s">
        <v>248</v>
      </c>
      <c r="J69" s="251">
        <v>36</v>
      </c>
      <c r="K69" s="203" t="s">
        <v>249</v>
      </c>
      <c r="L69" s="210">
        <f t="shared" si="4"/>
        <v>3</v>
      </c>
      <c r="M69" s="210">
        <f t="shared" si="5"/>
        <v>3</v>
      </c>
      <c r="N69" s="207">
        <v>1</v>
      </c>
      <c r="O69" s="208">
        <v>1</v>
      </c>
      <c r="P69" s="208">
        <v>0</v>
      </c>
      <c r="Q69" s="209">
        <v>1</v>
      </c>
      <c r="R69" s="222">
        <v>1</v>
      </c>
      <c r="S69" s="314">
        <v>1</v>
      </c>
      <c r="T69" s="223">
        <v>0</v>
      </c>
      <c r="U69" s="223"/>
      <c r="V69" s="224">
        <f t="shared" si="6"/>
        <v>2</v>
      </c>
      <c r="W69" s="244">
        <f t="shared" si="7"/>
        <v>0.6666666666666666</v>
      </c>
    </row>
    <row r="70" spans="1:23" ht="15.75" customHeight="1">
      <c r="A70" s="214"/>
      <c r="B70" s="213"/>
      <c r="C70" s="213"/>
      <c r="D70" s="213"/>
      <c r="E70" s="213"/>
      <c r="F70" s="213"/>
      <c r="G70" s="213"/>
      <c r="H70" s="213"/>
      <c r="I70" s="204" t="s">
        <v>250</v>
      </c>
      <c r="J70" s="251">
        <v>37</v>
      </c>
      <c r="K70" s="203" t="s">
        <v>439</v>
      </c>
      <c r="L70" s="210">
        <f t="shared" si="4"/>
        <v>3</v>
      </c>
      <c r="M70" s="210">
        <f t="shared" si="5"/>
        <v>3</v>
      </c>
      <c r="N70" s="207">
        <v>1</v>
      </c>
      <c r="O70" s="208">
        <v>1</v>
      </c>
      <c r="P70" s="208">
        <v>0</v>
      </c>
      <c r="Q70" s="209">
        <v>1</v>
      </c>
      <c r="R70" s="222">
        <v>1</v>
      </c>
      <c r="S70" s="314">
        <v>1</v>
      </c>
      <c r="T70" s="223">
        <v>0</v>
      </c>
      <c r="U70" s="223"/>
      <c r="V70" s="224">
        <f t="shared" si="6"/>
        <v>2</v>
      </c>
      <c r="W70" s="244">
        <f t="shared" si="7"/>
        <v>0.6666666666666666</v>
      </c>
    </row>
    <row r="71" spans="1:23" ht="15.75" customHeight="1">
      <c r="A71" s="214"/>
      <c r="B71" s="213"/>
      <c r="C71" s="213"/>
      <c r="D71" s="213"/>
      <c r="E71" s="213"/>
      <c r="F71" s="213"/>
      <c r="G71" s="213"/>
      <c r="H71" s="213"/>
      <c r="I71" s="204" t="s">
        <v>372</v>
      </c>
      <c r="J71" s="251">
        <v>38</v>
      </c>
      <c r="K71" s="203" t="s">
        <v>176</v>
      </c>
      <c r="L71" s="210">
        <f t="shared" si="4"/>
        <v>3</v>
      </c>
      <c r="M71" s="210">
        <f t="shared" si="5"/>
        <v>3</v>
      </c>
      <c r="N71" s="207">
        <v>0</v>
      </c>
      <c r="O71" s="208">
        <v>1</v>
      </c>
      <c r="P71" s="208">
        <v>1</v>
      </c>
      <c r="Q71" s="209">
        <v>1</v>
      </c>
      <c r="R71" s="222">
        <v>0</v>
      </c>
      <c r="S71" s="314">
        <v>1</v>
      </c>
      <c r="T71" s="223">
        <v>1</v>
      </c>
      <c r="U71" s="223"/>
      <c r="V71" s="224">
        <f t="shared" si="6"/>
        <v>2</v>
      </c>
      <c r="W71" s="244">
        <f t="shared" si="7"/>
        <v>0.6666666666666666</v>
      </c>
    </row>
    <row r="72" spans="1:23" ht="21.75" customHeight="1">
      <c r="A72" s="214"/>
      <c r="B72" s="213"/>
      <c r="C72" s="213"/>
      <c r="D72" s="213"/>
      <c r="E72" s="213"/>
      <c r="F72" s="213"/>
      <c r="G72" s="213"/>
      <c r="H72" s="213"/>
      <c r="I72" s="204" t="s">
        <v>251</v>
      </c>
      <c r="J72" s="251">
        <v>39</v>
      </c>
      <c r="K72" s="203" t="s">
        <v>176</v>
      </c>
      <c r="L72" s="210">
        <f t="shared" si="4"/>
        <v>3</v>
      </c>
      <c r="M72" s="210">
        <f t="shared" si="5"/>
        <v>3</v>
      </c>
      <c r="N72" s="207">
        <v>1</v>
      </c>
      <c r="O72" s="208">
        <v>0</v>
      </c>
      <c r="P72" s="208">
        <v>1</v>
      </c>
      <c r="Q72" s="209">
        <v>1</v>
      </c>
      <c r="R72" s="222">
        <v>1</v>
      </c>
      <c r="S72" s="314">
        <v>0</v>
      </c>
      <c r="T72" s="223">
        <v>1</v>
      </c>
      <c r="U72" s="223"/>
      <c r="V72" s="224">
        <f t="shared" si="6"/>
        <v>2</v>
      </c>
      <c r="W72" s="244">
        <f t="shared" si="7"/>
        <v>0.6666666666666666</v>
      </c>
    </row>
    <row r="73" spans="1:23" ht="24.75" customHeight="1">
      <c r="A73" s="214"/>
      <c r="B73" s="213"/>
      <c r="C73" s="213"/>
      <c r="D73" s="213"/>
      <c r="E73" s="213"/>
      <c r="F73" s="213"/>
      <c r="G73" s="213"/>
      <c r="H73" s="213"/>
      <c r="I73" s="204" t="s">
        <v>252</v>
      </c>
      <c r="J73" s="251">
        <v>40</v>
      </c>
      <c r="K73" s="203" t="s">
        <v>176</v>
      </c>
      <c r="L73" s="210">
        <f t="shared" si="4"/>
        <v>3</v>
      </c>
      <c r="M73" s="210">
        <f t="shared" si="5"/>
        <v>3</v>
      </c>
      <c r="N73" s="207">
        <v>1</v>
      </c>
      <c r="O73" s="208">
        <v>0</v>
      </c>
      <c r="P73" s="208">
        <v>1</v>
      </c>
      <c r="Q73" s="209">
        <v>1</v>
      </c>
      <c r="R73" s="222">
        <v>1</v>
      </c>
      <c r="S73" s="314">
        <v>0</v>
      </c>
      <c r="T73" s="223">
        <v>1</v>
      </c>
      <c r="U73" s="223"/>
      <c r="V73" s="224">
        <f t="shared" si="6"/>
        <v>2</v>
      </c>
      <c r="W73" s="244">
        <f t="shared" si="7"/>
        <v>0.6666666666666666</v>
      </c>
    </row>
    <row r="74" spans="1:23" ht="16.5" customHeight="1">
      <c r="A74" s="214"/>
      <c r="B74" s="213"/>
      <c r="C74" s="213"/>
      <c r="D74" s="213"/>
      <c r="E74" s="213"/>
      <c r="F74" s="213"/>
      <c r="G74" s="213"/>
      <c r="H74" s="213"/>
      <c r="I74" s="204" t="s">
        <v>253</v>
      </c>
      <c r="J74" s="251">
        <v>41</v>
      </c>
      <c r="K74" s="203" t="s">
        <v>176</v>
      </c>
      <c r="L74" s="210">
        <f t="shared" si="4"/>
        <v>12</v>
      </c>
      <c r="M74" s="210">
        <f t="shared" si="5"/>
        <v>12</v>
      </c>
      <c r="N74" s="207">
        <v>3</v>
      </c>
      <c r="O74" s="208">
        <v>3</v>
      </c>
      <c r="P74" s="208">
        <v>3</v>
      </c>
      <c r="Q74" s="209">
        <v>3</v>
      </c>
      <c r="R74" s="222">
        <v>3</v>
      </c>
      <c r="S74" s="314">
        <v>3</v>
      </c>
      <c r="T74" s="223">
        <v>3</v>
      </c>
      <c r="U74" s="223"/>
      <c r="V74" s="224">
        <f t="shared" si="6"/>
        <v>9</v>
      </c>
      <c r="W74" s="244">
        <f t="shared" si="7"/>
        <v>0.75</v>
      </c>
    </row>
    <row r="75" spans="1:23" ht="23.25" customHeight="1">
      <c r="A75" s="214"/>
      <c r="B75" s="213"/>
      <c r="C75" s="213"/>
      <c r="D75" s="213"/>
      <c r="E75" s="213"/>
      <c r="F75" s="213"/>
      <c r="G75" s="213"/>
      <c r="H75" s="213"/>
      <c r="I75" s="204" t="s">
        <v>522</v>
      </c>
      <c r="J75" s="251">
        <v>42</v>
      </c>
      <c r="K75" s="203" t="s">
        <v>176</v>
      </c>
      <c r="L75" s="210">
        <f t="shared" si="4"/>
        <v>3</v>
      </c>
      <c r="M75" s="210">
        <f t="shared" si="5"/>
        <v>3</v>
      </c>
      <c r="N75" s="207">
        <v>0</v>
      </c>
      <c r="O75" s="208">
        <v>1</v>
      </c>
      <c r="P75" s="208">
        <v>1</v>
      </c>
      <c r="Q75" s="209">
        <v>1</v>
      </c>
      <c r="R75" s="222">
        <v>0</v>
      </c>
      <c r="S75" s="314">
        <v>1</v>
      </c>
      <c r="T75" s="223">
        <v>1</v>
      </c>
      <c r="U75" s="223"/>
      <c r="V75" s="224">
        <f t="shared" si="6"/>
        <v>2</v>
      </c>
      <c r="W75" s="244">
        <f t="shared" si="7"/>
        <v>0.6666666666666666</v>
      </c>
    </row>
    <row r="76" spans="1:23" ht="21" customHeight="1">
      <c r="A76" s="214"/>
      <c r="B76" s="213"/>
      <c r="C76" s="213"/>
      <c r="D76" s="213"/>
      <c r="E76" s="213"/>
      <c r="F76" s="213"/>
      <c r="G76" s="213"/>
      <c r="H76" s="213"/>
      <c r="I76" s="204" t="s">
        <v>255</v>
      </c>
      <c r="J76" s="251">
        <v>43</v>
      </c>
      <c r="K76" s="203" t="s">
        <v>254</v>
      </c>
      <c r="L76" s="210">
        <f t="shared" si="4"/>
        <v>12</v>
      </c>
      <c r="M76" s="210">
        <f t="shared" si="5"/>
        <v>12</v>
      </c>
      <c r="N76" s="207">
        <v>3</v>
      </c>
      <c r="O76" s="208">
        <v>3</v>
      </c>
      <c r="P76" s="208">
        <v>3</v>
      </c>
      <c r="Q76" s="209">
        <v>3</v>
      </c>
      <c r="R76" s="222">
        <v>3</v>
      </c>
      <c r="S76" s="314">
        <v>3</v>
      </c>
      <c r="T76" s="223">
        <v>3</v>
      </c>
      <c r="U76" s="223"/>
      <c r="V76" s="224">
        <f t="shared" si="6"/>
        <v>9</v>
      </c>
      <c r="W76" s="244">
        <f t="shared" si="7"/>
        <v>0.75</v>
      </c>
    </row>
    <row r="77" spans="1:23" ht="16.5" customHeight="1">
      <c r="A77" s="214"/>
      <c r="B77" s="213"/>
      <c r="C77" s="213"/>
      <c r="D77" s="213"/>
      <c r="E77" s="213"/>
      <c r="F77" s="213"/>
      <c r="G77" s="213"/>
      <c r="H77" s="213"/>
      <c r="I77" s="204" t="s">
        <v>256</v>
      </c>
      <c r="J77" s="251">
        <v>44</v>
      </c>
      <c r="K77" s="203" t="s">
        <v>254</v>
      </c>
      <c r="L77" s="210">
        <f t="shared" si="4"/>
        <v>3</v>
      </c>
      <c r="M77" s="210">
        <f t="shared" si="5"/>
        <v>3</v>
      </c>
      <c r="N77" s="207">
        <v>0</v>
      </c>
      <c r="O77" s="208">
        <v>1</v>
      </c>
      <c r="P77" s="208">
        <v>1</v>
      </c>
      <c r="Q77" s="209">
        <v>1</v>
      </c>
      <c r="R77" s="222">
        <v>0</v>
      </c>
      <c r="S77" s="314">
        <v>1</v>
      </c>
      <c r="T77" s="223">
        <v>1</v>
      </c>
      <c r="U77" s="223"/>
      <c r="V77" s="224">
        <f t="shared" si="6"/>
        <v>2</v>
      </c>
      <c r="W77" s="244">
        <f t="shared" si="7"/>
        <v>0.6666666666666666</v>
      </c>
    </row>
    <row r="78" spans="1:23" ht="21.75" customHeight="1">
      <c r="A78" s="214"/>
      <c r="B78" s="213"/>
      <c r="C78" s="213"/>
      <c r="D78" s="213"/>
      <c r="E78" s="213"/>
      <c r="F78" s="213"/>
      <c r="G78" s="213"/>
      <c r="H78" s="213"/>
      <c r="I78" s="204" t="s">
        <v>371</v>
      </c>
      <c r="J78" s="251">
        <v>45</v>
      </c>
      <c r="K78" s="203" t="s">
        <v>176</v>
      </c>
      <c r="L78" s="210">
        <f t="shared" si="4"/>
        <v>3</v>
      </c>
      <c r="M78" s="210">
        <f t="shared" si="5"/>
        <v>3</v>
      </c>
      <c r="N78" s="207">
        <v>0</v>
      </c>
      <c r="O78" s="208">
        <v>1</v>
      </c>
      <c r="P78" s="208">
        <v>1</v>
      </c>
      <c r="Q78" s="209">
        <v>1</v>
      </c>
      <c r="R78" s="222">
        <v>0</v>
      </c>
      <c r="S78" s="314">
        <v>1</v>
      </c>
      <c r="T78" s="223">
        <v>1</v>
      </c>
      <c r="U78" s="223"/>
      <c r="V78" s="224">
        <f t="shared" si="6"/>
        <v>2</v>
      </c>
      <c r="W78" s="244">
        <f t="shared" si="7"/>
        <v>0.6666666666666666</v>
      </c>
    </row>
    <row r="79" spans="1:23" ht="30.75" customHeight="1">
      <c r="A79" s="246"/>
      <c r="B79" s="221"/>
      <c r="C79" s="221"/>
      <c r="D79" s="221"/>
      <c r="E79" s="221"/>
      <c r="F79" s="221"/>
      <c r="G79" s="221"/>
      <c r="H79" s="221"/>
      <c r="I79" s="204" t="s">
        <v>438</v>
      </c>
      <c r="J79" s="251">
        <v>46</v>
      </c>
      <c r="K79" s="203" t="s">
        <v>175</v>
      </c>
      <c r="L79" s="210">
        <f t="shared" si="4"/>
        <v>12</v>
      </c>
      <c r="M79" s="210">
        <f t="shared" si="5"/>
        <v>12</v>
      </c>
      <c r="N79" s="207">
        <v>3</v>
      </c>
      <c r="O79" s="208">
        <v>3</v>
      </c>
      <c r="P79" s="208">
        <v>3</v>
      </c>
      <c r="Q79" s="209">
        <v>3</v>
      </c>
      <c r="R79" s="222">
        <v>3</v>
      </c>
      <c r="S79" s="314">
        <v>3</v>
      </c>
      <c r="T79" s="223">
        <v>3</v>
      </c>
      <c r="U79" s="223"/>
      <c r="V79" s="224">
        <f t="shared" si="6"/>
        <v>9</v>
      </c>
      <c r="W79" s="244">
        <f t="shared" si="7"/>
        <v>0.75</v>
      </c>
    </row>
    <row r="80" spans="1:23" ht="23.25" customHeight="1">
      <c r="A80" s="246"/>
      <c r="B80" s="221"/>
      <c r="C80" s="221"/>
      <c r="D80" s="221"/>
      <c r="E80" s="221"/>
      <c r="F80" s="221"/>
      <c r="G80" s="221"/>
      <c r="H80" s="221"/>
      <c r="I80" s="204" t="s">
        <v>437</v>
      </c>
      <c r="J80" s="251">
        <v>47</v>
      </c>
      <c r="K80" s="203" t="s">
        <v>175</v>
      </c>
      <c r="L80" s="210">
        <f t="shared" si="4"/>
        <v>4</v>
      </c>
      <c r="M80" s="210">
        <f t="shared" si="5"/>
        <v>4</v>
      </c>
      <c r="N80" s="207">
        <v>0</v>
      </c>
      <c r="O80" s="208">
        <v>1</v>
      </c>
      <c r="P80" s="208">
        <v>2</v>
      </c>
      <c r="Q80" s="209">
        <v>1</v>
      </c>
      <c r="R80" s="222">
        <v>0</v>
      </c>
      <c r="S80" s="314">
        <v>1</v>
      </c>
      <c r="T80" s="223">
        <v>2</v>
      </c>
      <c r="U80" s="223"/>
      <c r="V80" s="224">
        <f t="shared" si="6"/>
        <v>3</v>
      </c>
      <c r="W80" s="244">
        <f t="shared" si="7"/>
        <v>0.75</v>
      </c>
    </row>
    <row r="81" spans="1:23" ht="24" customHeight="1">
      <c r="A81" s="246"/>
      <c r="B81" s="221"/>
      <c r="C81" s="221"/>
      <c r="D81" s="221"/>
      <c r="E81" s="221"/>
      <c r="F81" s="221"/>
      <c r="G81" s="221"/>
      <c r="H81" s="221"/>
      <c r="I81" s="204" t="s">
        <v>370</v>
      </c>
      <c r="J81" s="251">
        <v>48</v>
      </c>
      <c r="K81" s="203" t="s">
        <v>175</v>
      </c>
      <c r="L81" s="210">
        <f t="shared" si="4"/>
        <v>3</v>
      </c>
      <c r="M81" s="210">
        <f t="shared" si="5"/>
        <v>3</v>
      </c>
      <c r="N81" s="207">
        <v>0</v>
      </c>
      <c r="O81" s="208">
        <v>1</v>
      </c>
      <c r="P81" s="208">
        <v>1</v>
      </c>
      <c r="Q81" s="209">
        <v>1</v>
      </c>
      <c r="R81" s="222">
        <v>0</v>
      </c>
      <c r="S81" s="314">
        <v>1</v>
      </c>
      <c r="T81" s="223">
        <v>1</v>
      </c>
      <c r="U81" s="223"/>
      <c r="V81" s="224">
        <f t="shared" si="6"/>
        <v>2</v>
      </c>
      <c r="W81" s="244">
        <f t="shared" si="7"/>
        <v>0.6666666666666666</v>
      </c>
    </row>
    <row r="82" spans="1:23" ht="22.5" customHeight="1">
      <c r="A82" s="246"/>
      <c r="B82" s="221"/>
      <c r="C82" s="221"/>
      <c r="D82" s="221"/>
      <c r="E82" s="221"/>
      <c r="F82" s="221"/>
      <c r="G82" s="221"/>
      <c r="H82" s="221"/>
      <c r="I82" s="204" t="s">
        <v>369</v>
      </c>
      <c r="J82" s="251">
        <v>49</v>
      </c>
      <c r="K82" s="203" t="s">
        <v>175</v>
      </c>
      <c r="L82" s="210">
        <f t="shared" si="4"/>
        <v>3</v>
      </c>
      <c r="M82" s="210">
        <f t="shared" si="5"/>
        <v>3</v>
      </c>
      <c r="N82" s="207">
        <v>1</v>
      </c>
      <c r="O82" s="208">
        <v>1</v>
      </c>
      <c r="P82" s="208">
        <v>1</v>
      </c>
      <c r="Q82" s="209">
        <v>0</v>
      </c>
      <c r="R82" s="222">
        <v>1</v>
      </c>
      <c r="S82" s="314">
        <v>1</v>
      </c>
      <c r="T82" s="223">
        <v>1</v>
      </c>
      <c r="U82" s="223"/>
      <c r="V82" s="224">
        <f t="shared" si="6"/>
        <v>3</v>
      </c>
      <c r="W82" s="244">
        <f t="shared" si="7"/>
        <v>1</v>
      </c>
    </row>
    <row r="83" spans="1:23" ht="24" customHeight="1">
      <c r="A83" s="246"/>
      <c r="B83" s="221"/>
      <c r="C83" s="221"/>
      <c r="D83" s="221"/>
      <c r="E83" s="221"/>
      <c r="F83" s="221"/>
      <c r="G83" s="221"/>
      <c r="H83" s="221"/>
      <c r="I83" s="204" t="s">
        <v>368</v>
      </c>
      <c r="J83" s="251">
        <v>50</v>
      </c>
      <c r="K83" s="203" t="s">
        <v>391</v>
      </c>
      <c r="L83" s="210">
        <f t="shared" si="4"/>
        <v>18</v>
      </c>
      <c r="M83" s="210">
        <f t="shared" si="5"/>
        <v>18</v>
      </c>
      <c r="N83" s="207">
        <v>4</v>
      </c>
      <c r="O83" s="208">
        <v>8</v>
      </c>
      <c r="P83" s="208">
        <v>3</v>
      </c>
      <c r="Q83" s="209">
        <v>3</v>
      </c>
      <c r="R83" s="222">
        <v>1</v>
      </c>
      <c r="S83" s="317">
        <v>12</v>
      </c>
      <c r="T83" s="223">
        <v>5</v>
      </c>
      <c r="U83" s="223"/>
      <c r="V83" s="224">
        <f t="shared" si="6"/>
        <v>18</v>
      </c>
      <c r="W83" s="244">
        <f t="shared" si="7"/>
        <v>1</v>
      </c>
    </row>
    <row r="84" spans="1:23" ht="24.75" customHeight="1">
      <c r="A84" s="246"/>
      <c r="B84" s="221"/>
      <c r="C84" s="221"/>
      <c r="D84" s="221"/>
      <c r="E84" s="221"/>
      <c r="F84" s="221"/>
      <c r="G84" s="221"/>
      <c r="H84" s="221"/>
      <c r="I84" s="204" t="s">
        <v>367</v>
      </c>
      <c r="J84" s="251">
        <v>51</v>
      </c>
      <c r="K84" s="203" t="s">
        <v>392</v>
      </c>
      <c r="L84" s="210">
        <f t="shared" si="4"/>
        <v>31</v>
      </c>
      <c r="M84" s="210">
        <f t="shared" si="5"/>
        <v>31</v>
      </c>
      <c r="N84" s="207">
        <v>16</v>
      </c>
      <c r="O84" s="208">
        <v>7</v>
      </c>
      <c r="P84" s="208">
        <v>5</v>
      </c>
      <c r="Q84" s="209">
        <v>3</v>
      </c>
      <c r="R84" s="222">
        <v>14</v>
      </c>
      <c r="S84" s="317">
        <v>14</v>
      </c>
      <c r="T84" s="223">
        <v>7</v>
      </c>
      <c r="U84" s="223"/>
      <c r="V84" s="224">
        <f t="shared" si="6"/>
        <v>35</v>
      </c>
      <c r="W84" s="244">
        <f t="shared" si="7"/>
        <v>1.1290322580645162</v>
      </c>
    </row>
    <row r="85" spans="1:23" ht="30.75" customHeight="1">
      <c r="A85" s="246"/>
      <c r="B85" s="221"/>
      <c r="C85" s="221"/>
      <c r="D85" s="221"/>
      <c r="E85" s="221"/>
      <c r="F85" s="221"/>
      <c r="G85" s="221"/>
      <c r="H85" s="221"/>
      <c r="I85" s="204" t="s">
        <v>523</v>
      </c>
      <c r="J85" s="251">
        <v>52</v>
      </c>
      <c r="K85" s="203" t="s">
        <v>391</v>
      </c>
      <c r="L85" s="210">
        <f t="shared" si="4"/>
        <v>11</v>
      </c>
      <c r="M85" s="210">
        <f t="shared" si="5"/>
        <v>11</v>
      </c>
      <c r="N85" s="207">
        <v>2</v>
      </c>
      <c r="O85" s="208">
        <v>3</v>
      </c>
      <c r="P85" s="208">
        <v>3</v>
      </c>
      <c r="Q85" s="209">
        <v>3</v>
      </c>
      <c r="R85" s="222">
        <v>0</v>
      </c>
      <c r="S85" s="317">
        <v>4</v>
      </c>
      <c r="T85" s="223">
        <v>4</v>
      </c>
      <c r="U85" s="223"/>
      <c r="V85" s="224">
        <f t="shared" si="6"/>
        <v>8</v>
      </c>
      <c r="W85" s="244">
        <f t="shared" si="7"/>
        <v>0.7272727272727273</v>
      </c>
    </row>
    <row r="86" spans="1:23" ht="18" customHeight="1">
      <c r="A86" s="246"/>
      <c r="B86" s="221"/>
      <c r="C86" s="221"/>
      <c r="D86" s="221"/>
      <c r="E86" s="221"/>
      <c r="F86" s="221"/>
      <c r="G86" s="221"/>
      <c r="H86" s="221"/>
      <c r="I86" s="204" t="s">
        <v>366</v>
      </c>
      <c r="J86" s="251">
        <v>53</v>
      </c>
      <c r="K86" s="203" t="s">
        <v>175</v>
      </c>
      <c r="L86" s="210">
        <f t="shared" si="4"/>
        <v>12</v>
      </c>
      <c r="M86" s="210">
        <f t="shared" si="5"/>
        <v>12</v>
      </c>
      <c r="N86" s="207">
        <v>3</v>
      </c>
      <c r="O86" s="208">
        <v>3</v>
      </c>
      <c r="P86" s="208">
        <v>3</v>
      </c>
      <c r="Q86" s="209">
        <v>3</v>
      </c>
      <c r="R86" s="222">
        <v>3</v>
      </c>
      <c r="S86" s="314">
        <v>3</v>
      </c>
      <c r="T86" s="223">
        <v>3</v>
      </c>
      <c r="U86" s="223"/>
      <c r="V86" s="224">
        <f t="shared" si="6"/>
        <v>9</v>
      </c>
      <c r="W86" s="244">
        <f t="shared" si="7"/>
        <v>0.75</v>
      </c>
    </row>
    <row r="87" spans="1:23" ht="15.75" customHeight="1">
      <c r="A87" s="246"/>
      <c r="B87" s="221"/>
      <c r="C87" s="221"/>
      <c r="D87" s="221"/>
      <c r="E87" s="221"/>
      <c r="F87" s="221"/>
      <c r="G87" s="221"/>
      <c r="H87" s="221"/>
      <c r="I87" s="204" t="s">
        <v>365</v>
      </c>
      <c r="J87" s="251">
        <v>54</v>
      </c>
      <c r="K87" s="203" t="s">
        <v>174</v>
      </c>
      <c r="L87" s="210">
        <f t="shared" si="4"/>
        <v>28</v>
      </c>
      <c r="M87" s="210">
        <f t="shared" si="5"/>
        <v>28</v>
      </c>
      <c r="N87" s="207">
        <v>9</v>
      </c>
      <c r="O87" s="208">
        <v>9</v>
      </c>
      <c r="P87" s="208">
        <v>4</v>
      </c>
      <c r="Q87" s="209">
        <v>6</v>
      </c>
      <c r="R87" s="285">
        <v>0</v>
      </c>
      <c r="S87" s="317">
        <v>18</v>
      </c>
      <c r="T87" s="223">
        <v>4</v>
      </c>
      <c r="U87" s="223"/>
      <c r="V87" s="224">
        <f t="shared" si="6"/>
        <v>22</v>
      </c>
      <c r="W87" s="244">
        <f t="shared" si="7"/>
        <v>0.7857142857142857</v>
      </c>
    </row>
    <row r="88" spans="1:23" ht="16.5" customHeight="1">
      <c r="A88" s="246"/>
      <c r="B88" s="221"/>
      <c r="C88" s="221"/>
      <c r="D88" s="221"/>
      <c r="E88" s="221"/>
      <c r="F88" s="221"/>
      <c r="G88" s="221"/>
      <c r="H88" s="221"/>
      <c r="I88" s="204" t="s">
        <v>364</v>
      </c>
      <c r="J88" s="251">
        <v>55</v>
      </c>
      <c r="K88" s="203" t="s">
        <v>175</v>
      </c>
      <c r="L88" s="210">
        <f t="shared" si="4"/>
        <v>12</v>
      </c>
      <c r="M88" s="210">
        <f t="shared" si="5"/>
        <v>12</v>
      </c>
      <c r="N88" s="207">
        <v>3</v>
      </c>
      <c r="O88" s="208">
        <v>3</v>
      </c>
      <c r="P88" s="208">
        <v>3</v>
      </c>
      <c r="Q88" s="209">
        <v>3</v>
      </c>
      <c r="R88" s="222">
        <v>3</v>
      </c>
      <c r="S88" s="314">
        <v>3</v>
      </c>
      <c r="T88" s="223">
        <v>3</v>
      </c>
      <c r="U88" s="223"/>
      <c r="V88" s="224">
        <f t="shared" si="6"/>
        <v>9</v>
      </c>
      <c r="W88" s="244">
        <f t="shared" si="7"/>
        <v>0.75</v>
      </c>
    </row>
    <row r="89" spans="1:23" ht="26.25" customHeight="1">
      <c r="A89" s="246"/>
      <c r="B89" s="221"/>
      <c r="C89" s="221"/>
      <c r="D89" s="221"/>
      <c r="E89" s="221"/>
      <c r="F89" s="221"/>
      <c r="G89" s="221"/>
      <c r="H89" s="221"/>
      <c r="I89" s="204" t="s">
        <v>363</v>
      </c>
      <c r="J89" s="251">
        <v>56</v>
      </c>
      <c r="K89" s="203" t="s">
        <v>174</v>
      </c>
      <c r="L89" s="210">
        <f t="shared" si="4"/>
        <v>4</v>
      </c>
      <c r="M89" s="210">
        <f t="shared" si="5"/>
        <v>4</v>
      </c>
      <c r="N89" s="207">
        <v>2</v>
      </c>
      <c r="O89" s="208">
        <v>1</v>
      </c>
      <c r="P89" s="208">
        <v>1</v>
      </c>
      <c r="Q89" s="209">
        <v>0</v>
      </c>
      <c r="R89" s="222">
        <v>0</v>
      </c>
      <c r="S89" s="317">
        <v>3</v>
      </c>
      <c r="T89" s="223">
        <v>1</v>
      </c>
      <c r="U89" s="223"/>
      <c r="V89" s="224">
        <f t="shared" si="6"/>
        <v>4</v>
      </c>
      <c r="W89" s="244">
        <f t="shared" si="7"/>
        <v>1</v>
      </c>
    </row>
    <row r="90" spans="1:23" ht="31.5" customHeight="1">
      <c r="A90" s="246"/>
      <c r="B90" s="221"/>
      <c r="C90" s="221"/>
      <c r="D90" s="221"/>
      <c r="E90" s="221"/>
      <c r="F90" s="221"/>
      <c r="G90" s="221"/>
      <c r="H90" s="221"/>
      <c r="I90" s="204" t="s">
        <v>436</v>
      </c>
      <c r="J90" s="251">
        <v>57</v>
      </c>
      <c r="K90" s="203" t="s">
        <v>175</v>
      </c>
      <c r="L90" s="210">
        <f t="shared" si="4"/>
        <v>12</v>
      </c>
      <c r="M90" s="210">
        <f t="shared" si="5"/>
        <v>12</v>
      </c>
      <c r="N90" s="207">
        <v>3</v>
      </c>
      <c r="O90" s="208">
        <v>3</v>
      </c>
      <c r="P90" s="208">
        <v>3</v>
      </c>
      <c r="Q90" s="209">
        <v>3</v>
      </c>
      <c r="R90" s="222">
        <v>3</v>
      </c>
      <c r="S90" s="314">
        <v>3</v>
      </c>
      <c r="T90" s="223">
        <v>3</v>
      </c>
      <c r="U90" s="223"/>
      <c r="V90" s="224">
        <f t="shared" si="6"/>
        <v>9</v>
      </c>
      <c r="W90" s="244">
        <f t="shared" si="7"/>
        <v>0.75</v>
      </c>
    </row>
    <row r="91" spans="1:23" ht="24.75" customHeight="1">
      <c r="A91" s="246"/>
      <c r="B91" s="221"/>
      <c r="C91" s="221"/>
      <c r="D91" s="221"/>
      <c r="E91" s="221"/>
      <c r="F91" s="221"/>
      <c r="G91" s="221"/>
      <c r="H91" s="221"/>
      <c r="I91" s="204" t="s">
        <v>362</v>
      </c>
      <c r="J91" s="251">
        <v>58</v>
      </c>
      <c r="K91" s="203" t="s">
        <v>175</v>
      </c>
      <c r="L91" s="210">
        <f t="shared" si="4"/>
        <v>6</v>
      </c>
      <c r="M91" s="210">
        <f t="shared" si="5"/>
        <v>6</v>
      </c>
      <c r="N91" s="207">
        <v>0</v>
      </c>
      <c r="O91" s="208">
        <v>2</v>
      </c>
      <c r="P91" s="208">
        <v>2</v>
      </c>
      <c r="Q91" s="209">
        <v>2</v>
      </c>
      <c r="R91" s="222">
        <v>0</v>
      </c>
      <c r="S91" s="314">
        <v>2</v>
      </c>
      <c r="T91" s="223">
        <v>2</v>
      </c>
      <c r="U91" s="223"/>
      <c r="V91" s="224">
        <f t="shared" si="6"/>
        <v>4</v>
      </c>
      <c r="W91" s="244">
        <f t="shared" si="7"/>
        <v>0.6666666666666666</v>
      </c>
    </row>
    <row r="92" spans="1:23" ht="25.5" customHeight="1">
      <c r="A92" s="246"/>
      <c r="B92" s="221"/>
      <c r="C92" s="221"/>
      <c r="D92" s="221"/>
      <c r="E92" s="221"/>
      <c r="F92" s="221"/>
      <c r="G92" s="221"/>
      <c r="H92" s="221"/>
      <c r="I92" s="204" t="s">
        <v>435</v>
      </c>
      <c r="J92" s="251">
        <v>59</v>
      </c>
      <c r="K92" s="203" t="s">
        <v>175</v>
      </c>
      <c r="L92" s="210">
        <f t="shared" si="4"/>
        <v>1</v>
      </c>
      <c r="M92" s="210">
        <f t="shared" si="5"/>
        <v>1</v>
      </c>
      <c r="N92" s="207">
        <v>0</v>
      </c>
      <c r="O92" s="208">
        <v>1</v>
      </c>
      <c r="P92" s="208">
        <v>0</v>
      </c>
      <c r="Q92" s="209">
        <v>0</v>
      </c>
      <c r="R92" s="222">
        <v>0</v>
      </c>
      <c r="S92" s="314">
        <v>1</v>
      </c>
      <c r="T92" s="223">
        <v>0</v>
      </c>
      <c r="U92" s="223"/>
      <c r="V92" s="224">
        <f t="shared" si="6"/>
        <v>1</v>
      </c>
      <c r="W92" s="244">
        <f t="shared" si="7"/>
        <v>1</v>
      </c>
    </row>
    <row r="93" spans="1:23" ht="18" customHeight="1">
      <c r="A93" s="246"/>
      <c r="B93" s="221"/>
      <c r="C93" s="221"/>
      <c r="D93" s="221"/>
      <c r="E93" s="221"/>
      <c r="F93" s="221"/>
      <c r="G93" s="221"/>
      <c r="H93" s="221"/>
      <c r="I93" s="204" t="s">
        <v>434</v>
      </c>
      <c r="J93" s="252">
        <v>60</v>
      </c>
      <c r="K93" s="203" t="s">
        <v>174</v>
      </c>
      <c r="L93" s="210">
        <f t="shared" si="4"/>
        <v>1</v>
      </c>
      <c r="M93" s="210">
        <f t="shared" si="5"/>
        <v>1</v>
      </c>
      <c r="N93" s="222">
        <v>0</v>
      </c>
      <c r="O93" s="223">
        <v>1</v>
      </c>
      <c r="P93" s="223">
        <v>0</v>
      </c>
      <c r="Q93" s="224">
        <v>0</v>
      </c>
      <c r="R93" s="222">
        <v>0</v>
      </c>
      <c r="S93" s="314">
        <v>0</v>
      </c>
      <c r="T93" s="223">
        <v>1</v>
      </c>
      <c r="U93" s="223"/>
      <c r="V93" s="224">
        <f t="shared" si="6"/>
        <v>1</v>
      </c>
      <c r="W93" s="244">
        <f t="shared" si="7"/>
        <v>1</v>
      </c>
    </row>
    <row r="94" spans="1:23" ht="16.5" customHeight="1">
      <c r="A94" s="246"/>
      <c r="B94" s="221"/>
      <c r="C94" s="221"/>
      <c r="D94" s="221"/>
      <c r="E94" s="221"/>
      <c r="F94" s="221"/>
      <c r="G94" s="221"/>
      <c r="H94" s="221"/>
      <c r="I94" s="204" t="s">
        <v>257</v>
      </c>
      <c r="J94" s="251">
        <v>61</v>
      </c>
      <c r="K94" s="203" t="s">
        <v>207</v>
      </c>
      <c r="L94" s="210">
        <f t="shared" si="4"/>
        <v>30</v>
      </c>
      <c r="M94" s="210">
        <f t="shared" si="5"/>
        <v>30</v>
      </c>
      <c r="N94" s="207">
        <v>6</v>
      </c>
      <c r="O94" s="208">
        <v>8</v>
      </c>
      <c r="P94" s="208">
        <v>8</v>
      </c>
      <c r="Q94" s="209">
        <v>8</v>
      </c>
      <c r="R94" s="222">
        <v>4</v>
      </c>
      <c r="S94" s="314">
        <v>8</v>
      </c>
      <c r="T94" s="223">
        <v>8</v>
      </c>
      <c r="U94" s="223"/>
      <c r="V94" s="224">
        <f t="shared" si="6"/>
        <v>20</v>
      </c>
      <c r="W94" s="244">
        <f t="shared" si="7"/>
        <v>0.6666666666666666</v>
      </c>
    </row>
    <row r="95" spans="1:23" ht="22.5" customHeight="1">
      <c r="A95" s="246"/>
      <c r="B95" s="221"/>
      <c r="C95" s="221"/>
      <c r="D95" s="221"/>
      <c r="E95" s="221"/>
      <c r="F95" s="221"/>
      <c r="G95" s="221"/>
      <c r="H95" s="221"/>
      <c r="I95" s="204" t="s">
        <v>258</v>
      </c>
      <c r="J95" s="251">
        <v>62</v>
      </c>
      <c r="K95" s="203" t="s">
        <v>175</v>
      </c>
      <c r="L95" s="210">
        <f t="shared" si="4"/>
        <v>12</v>
      </c>
      <c r="M95" s="210">
        <f t="shared" si="5"/>
        <v>12</v>
      </c>
      <c r="N95" s="207">
        <v>3</v>
      </c>
      <c r="O95" s="208">
        <v>3</v>
      </c>
      <c r="P95" s="208">
        <v>3</v>
      </c>
      <c r="Q95" s="209">
        <v>3</v>
      </c>
      <c r="R95" s="222">
        <v>3</v>
      </c>
      <c r="S95" s="314">
        <v>3</v>
      </c>
      <c r="T95" s="223">
        <v>3</v>
      </c>
      <c r="U95" s="223"/>
      <c r="V95" s="224">
        <f t="shared" si="6"/>
        <v>9</v>
      </c>
      <c r="W95" s="244">
        <f t="shared" si="7"/>
        <v>0.75</v>
      </c>
    </row>
    <row r="96" spans="1:23" ht="17.25" customHeight="1">
      <c r="A96" s="246"/>
      <c r="B96" s="221"/>
      <c r="C96" s="221"/>
      <c r="D96" s="221"/>
      <c r="E96" s="221"/>
      <c r="F96" s="221"/>
      <c r="G96" s="221"/>
      <c r="H96" s="221"/>
      <c r="I96" s="204" t="s">
        <v>361</v>
      </c>
      <c r="J96" s="251">
        <v>63</v>
      </c>
      <c r="K96" s="203" t="s">
        <v>175</v>
      </c>
      <c r="L96" s="210">
        <f t="shared" si="4"/>
        <v>3</v>
      </c>
      <c r="M96" s="210">
        <f t="shared" si="5"/>
        <v>3</v>
      </c>
      <c r="N96" s="207">
        <v>0</v>
      </c>
      <c r="O96" s="208">
        <v>1</v>
      </c>
      <c r="P96" s="208">
        <v>1</v>
      </c>
      <c r="Q96" s="209">
        <v>1</v>
      </c>
      <c r="R96" s="222">
        <v>0</v>
      </c>
      <c r="S96" s="314">
        <v>1</v>
      </c>
      <c r="T96" s="223">
        <v>1</v>
      </c>
      <c r="U96" s="223"/>
      <c r="V96" s="224">
        <f t="shared" si="6"/>
        <v>2</v>
      </c>
      <c r="W96" s="244">
        <f t="shared" si="7"/>
        <v>0.6666666666666666</v>
      </c>
    </row>
    <row r="97" spans="1:23" ht="23.25" customHeight="1">
      <c r="A97" s="246"/>
      <c r="B97" s="221"/>
      <c r="C97" s="221"/>
      <c r="D97" s="221"/>
      <c r="E97" s="221"/>
      <c r="F97" s="221"/>
      <c r="G97" s="221"/>
      <c r="H97" s="221"/>
      <c r="I97" s="204" t="s">
        <v>360</v>
      </c>
      <c r="J97" s="251">
        <v>64</v>
      </c>
      <c r="K97" s="203" t="s">
        <v>163</v>
      </c>
      <c r="L97" s="210">
        <f t="shared" si="4"/>
        <v>884</v>
      </c>
      <c r="M97" s="210">
        <f t="shared" si="5"/>
        <v>884</v>
      </c>
      <c r="N97" s="207">
        <v>55</v>
      </c>
      <c r="O97" s="208">
        <v>715</v>
      </c>
      <c r="P97" s="208">
        <v>114</v>
      </c>
      <c r="Q97" s="209">
        <v>0</v>
      </c>
      <c r="R97" s="222">
        <v>37</v>
      </c>
      <c r="S97" s="317">
        <v>733</v>
      </c>
      <c r="T97" s="223">
        <v>40</v>
      </c>
      <c r="U97" s="223"/>
      <c r="V97" s="224">
        <f t="shared" si="6"/>
        <v>810</v>
      </c>
      <c r="W97" s="244">
        <f t="shared" si="7"/>
        <v>0.916289592760181</v>
      </c>
    </row>
    <row r="98" spans="1:23" ht="17.25" customHeight="1">
      <c r="A98" s="246"/>
      <c r="B98" s="221"/>
      <c r="C98" s="221"/>
      <c r="D98" s="221"/>
      <c r="E98" s="221"/>
      <c r="F98" s="221"/>
      <c r="G98" s="221"/>
      <c r="H98" s="221"/>
      <c r="I98" s="204" t="s">
        <v>433</v>
      </c>
      <c r="J98" s="251">
        <v>65</v>
      </c>
      <c r="K98" s="203" t="s">
        <v>163</v>
      </c>
      <c r="L98" s="210">
        <f aca="true" t="shared" si="8" ref="L98:L125">SUM(N98:Q98)</f>
        <v>477</v>
      </c>
      <c r="M98" s="210">
        <f aca="true" t="shared" si="9" ref="M98:M125">+L98</f>
        <v>477</v>
      </c>
      <c r="N98" s="207">
        <v>417</v>
      </c>
      <c r="O98" s="208">
        <v>60</v>
      </c>
      <c r="P98" s="208">
        <v>0</v>
      </c>
      <c r="Q98" s="209">
        <v>0</v>
      </c>
      <c r="R98" s="222">
        <v>327</v>
      </c>
      <c r="S98" s="317">
        <v>150</v>
      </c>
      <c r="T98" s="223">
        <v>0</v>
      </c>
      <c r="U98" s="223"/>
      <c r="V98" s="224">
        <f aca="true" t="shared" si="10" ref="V98:V125">+R98+S98+T98+U98</f>
        <v>477</v>
      </c>
      <c r="W98" s="244">
        <f aca="true" t="shared" si="11" ref="W98:W125">+V98/L98</f>
        <v>1</v>
      </c>
    </row>
    <row r="99" spans="1:23" ht="16.5" customHeight="1">
      <c r="A99" s="246"/>
      <c r="B99" s="221"/>
      <c r="C99" s="221"/>
      <c r="D99" s="221"/>
      <c r="E99" s="221"/>
      <c r="F99" s="221"/>
      <c r="G99" s="221"/>
      <c r="H99" s="221"/>
      <c r="I99" s="204" t="s">
        <v>432</v>
      </c>
      <c r="J99" s="251">
        <v>66</v>
      </c>
      <c r="K99" s="227" t="s">
        <v>259</v>
      </c>
      <c r="L99" s="207">
        <f t="shared" si="8"/>
        <v>181</v>
      </c>
      <c r="M99" s="210">
        <f t="shared" si="9"/>
        <v>181</v>
      </c>
      <c r="N99" s="207">
        <v>40</v>
      </c>
      <c r="O99" s="208">
        <v>40</v>
      </c>
      <c r="P99" s="208">
        <v>26</v>
      </c>
      <c r="Q99" s="209">
        <v>75</v>
      </c>
      <c r="R99" s="222">
        <v>0</v>
      </c>
      <c r="S99" s="317">
        <v>80</v>
      </c>
      <c r="T99" s="223">
        <v>26</v>
      </c>
      <c r="U99" s="223"/>
      <c r="V99" s="224">
        <f t="shared" si="10"/>
        <v>106</v>
      </c>
      <c r="W99" s="244">
        <f t="shared" si="11"/>
        <v>0.585635359116022</v>
      </c>
    </row>
    <row r="100" spans="1:23" ht="17.25" customHeight="1">
      <c r="A100" s="246"/>
      <c r="B100" s="221"/>
      <c r="C100" s="221"/>
      <c r="D100" s="221"/>
      <c r="E100" s="221"/>
      <c r="F100" s="221"/>
      <c r="G100" s="221"/>
      <c r="H100" s="221"/>
      <c r="I100" s="204" t="s">
        <v>359</v>
      </c>
      <c r="J100" s="251">
        <v>67</v>
      </c>
      <c r="K100" s="227" t="s">
        <v>474</v>
      </c>
      <c r="L100" s="207">
        <f t="shared" si="8"/>
        <v>11</v>
      </c>
      <c r="M100" s="210">
        <f t="shared" si="9"/>
        <v>11</v>
      </c>
      <c r="N100" s="207">
        <v>2</v>
      </c>
      <c r="O100" s="208">
        <v>3</v>
      </c>
      <c r="P100" s="208">
        <v>3</v>
      </c>
      <c r="Q100" s="209">
        <v>3</v>
      </c>
      <c r="R100" s="222">
        <v>0</v>
      </c>
      <c r="S100" s="317">
        <v>5</v>
      </c>
      <c r="T100" s="223">
        <v>3</v>
      </c>
      <c r="U100" s="223"/>
      <c r="V100" s="224">
        <f t="shared" si="10"/>
        <v>8</v>
      </c>
      <c r="W100" s="244">
        <f t="shared" si="11"/>
        <v>0.7272727272727273</v>
      </c>
    </row>
    <row r="101" spans="1:23" ht="19.5" customHeight="1">
      <c r="A101" s="246"/>
      <c r="B101" s="221"/>
      <c r="C101" s="221"/>
      <c r="D101" s="221"/>
      <c r="E101" s="221"/>
      <c r="F101" s="221"/>
      <c r="G101" s="221"/>
      <c r="H101" s="221"/>
      <c r="I101" s="204" t="s">
        <v>358</v>
      </c>
      <c r="J101" s="251">
        <v>68</v>
      </c>
      <c r="K101" s="205" t="s">
        <v>203</v>
      </c>
      <c r="L101" s="207">
        <f t="shared" si="8"/>
        <v>1</v>
      </c>
      <c r="M101" s="210">
        <f t="shared" si="9"/>
        <v>1</v>
      </c>
      <c r="N101" s="207">
        <v>0</v>
      </c>
      <c r="O101" s="208">
        <v>0</v>
      </c>
      <c r="P101" s="208">
        <v>0</v>
      </c>
      <c r="Q101" s="209">
        <v>1</v>
      </c>
      <c r="R101" s="222">
        <v>0</v>
      </c>
      <c r="S101" s="314">
        <v>0</v>
      </c>
      <c r="T101" s="223">
        <v>0</v>
      </c>
      <c r="U101" s="223"/>
      <c r="V101" s="224">
        <f t="shared" si="10"/>
        <v>0</v>
      </c>
      <c r="W101" s="244">
        <f t="shared" si="11"/>
        <v>0</v>
      </c>
    </row>
    <row r="102" spans="1:23" ht="17.25" customHeight="1">
      <c r="A102" s="246"/>
      <c r="B102" s="221"/>
      <c r="C102" s="221"/>
      <c r="D102" s="221"/>
      <c r="E102" s="221"/>
      <c r="F102" s="221"/>
      <c r="G102" s="221"/>
      <c r="H102" s="221"/>
      <c r="I102" s="204" t="s">
        <v>431</v>
      </c>
      <c r="J102" s="251">
        <v>69</v>
      </c>
      <c r="K102" s="227" t="s">
        <v>176</v>
      </c>
      <c r="L102" s="207">
        <f t="shared" si="8"/>
        <v>3</v>
      </c>
      <c r="M102" s="210">
        <f t="shared" si="9"/>
        <v>3</v>
      </c>
      <c r="N102" s="207">
        <v>0</v>
      </c>
      <c r="O102" s="208">
        <v>1</v>
      </c>
      <c r="P102" s="208">
        <v>1</v>
      </c>
      <c r="Q102" s="209">
        <v>1</v>
      </c>
      <c r="R102" s="222">
        <v>0</v>
      </c>
      <c r="S102" s="314">
        <v>1</v>
      </c>
      <c r="T102" s="223">
        <v>1</v>
      </c>
      <c r="U102" s="223"/>
      <c r="V102" s="224">
        <f t="shared" si="10"/>
        <v>2</v>
      </c>
      <c r="W102" s="244">
        <f t="shared" si="11"/>
        <v>0.6666666666666666</v>
      </c>
    </row>
    <row r="103" spans="1:23" ht="16.5" customHeight="1">
      <c r="A103" s="246"/>
      <c r="B103" s="221"/>
      <c r="C103" s="221"/>
      <c r="D103" s="221"/>
      <c r="E103" s="221"/>
      <c r="F103" s="221"/>
      <c r="G103" s="221"/>
      <c r="H103" s="221"/>
      <c r="I103" s="204" t="s">
        <v>357</v>
      </c>
      <c r="J103" s="251">
        <v>70</v>
      </c>
      <c r="K103" s="227" t="s">
        <v>174</v>
      </c>
      <c r="L103" s="207">
        <f t="shared" si="8"/>
        <v>1</v>
      </c>
      <c r="M103" s="210">
        <f t="shared" si="9"/>
        <v>1</v>
      </c>
      <c r="N103" s="207">
        <v>0</v>
      </c>
      <c r="O103" s="208">
        <v>0</v>
      </c>
      <c r="P103" s="208">
        <v>0</v>
      </c>
      <c r="Q103" s="209">
        <v>1</v>
      </c>
      <c r="R103" s="222">
        <v>0</v>
      </c>
      <c r="S103" s="314">
        <v>0</v>
      </c>
      <c r="T103" s="223">
        <v>0</v>
      </c>
      <c r="U103" s="223"/>
      <c r="V103" s="224">
        <f t="shared" si="10"/>
        <v>0</v>
      </c>
      <c r="W103" s="244">
        <f t="shared" si="11"/>
        <v>0</v>
      </c>
    </row>
    <row r="104" spans="1:23" ht="14.25" customHeight="1">
      <c r="A104" s="246"/>
      <c r="B104" s="221"/>
      <c r="C104" s="221"/>
      <c r="D104" s="221"/>
      <c r="E104" s="221"/>
      <c r="F104" s="221"/>
      <c r="G104" s="221"/>
      <c r="H104" s="221"/>
      <c r="I104" s="204" t="s">
        <v>356</v>
      </c>
      <c r="J104" s="251">
        <v>71</v>
      </c>
      <c r="K104" s="203" t="s">
        <v>174</v>
      </c>
      <c r="L104" s="210">
        <f t="shared" si="8"/>
        <v>4</v>
      </c>
      <c r="M104" s="210">
        <f t="shared" si="9"/>
        <v>4</v>
      </c>
      <c r="N104" s="207">
        <v>1</v>
      </c>
      <c r="O104" s="208">
        <v>1</v>
      </c>
      <c r="P104" s="208">
        <v>1</v>
      </c>
      <c r="Q104" s="209">
        <v>1</v>
      </c>
      <c r="R104" s="222">
        <v>1</v>
      </c>
      <c r="S104" s="314">
        <v>1</v>
      </c>
      <c r="T104" s="223">
        <v>1</v>
      </c>
      <c r="U104" s="223"/>
      <c r="V104" s="224">
        <f t="shared" si="10"/>
        <v>3</v>
      </c>
      <c r="W104" s="244">
        <f t="shared" si="11"/>
        <v>0.75</v>
      </c>
    </row>
    <row r="105" spans="1:23" ht="23.25" customHeight="1">
      <c r="A105" s="246"/>
      <c r="B105" s="221"/>
      <c r="C105" s="221"/>
      <c r="D105" s="221"/>
      <c r="E105" s="221"/>
      <c r="F105" s="221"/>
      <c r="G105" s="221"/>
      <c r="H105" s="221"/>
      <c r="I105" s="204" t="s">
        <v>260</v>
      </c>
      <c r="J105" s="251">
        <v>72</v>
      </c>
      <c r="K105" s="203" t="s">
        <v>174</v>
      </c>
      <c r="L105" s="210">
        <f t="shared" si="8"/>
        <v>3</v>
      </c>
      <c r="M105" s="210">
        <f t="shared" si="9"/>
        <v>3</v>
      </c>
      <c r="N105" s="207">
        <v>0</v>
      </c>
      <c r="O105" s="208">
        <v>1</v>
      </c>
      <c r="P105" s="208">
        <v>1</v>
      </c>
      <c r="Q105" s="209">
        <v>1</v>
      </c>
      <c r="R105" s="222">
        <v>0</v>
      </c>
      <c r="S105" s="317">
        <v>0</v>
      </c>
      <c r="T105" s="223">
        <v>2</v>
      </c>
      <c r="U105" s="223"/>
      <c r="V105" s="224">
        <f t="shared" si="10"/>
        <v>2</v>
      </c>
      <c r="W105" s="244">
        <f t="shared" si="11"/>
        <v>0.6666666666666666</v>
      </c>
    </row>
    <row r="106" spans="1:23" ht="16.5" customHeight="1">
      <c r="A106" s="246"/>
      <c r="B106" s="221"/>
      <c r="C106" s="221"/>
      <c r="D106" s="221"/>
      <c r="E106" s="221"/>
      <c r="F106" s="221"/>
      <c r="G106" s="221"/>
      <c r="H106" s="221"/>
      <c r="I106" s="204" t="s">
        <v>355</v>
      </c>
      <c r="J106" s="251">
        <v>73</v>
      </c>
      <c r="K106" s="203" t="s">
        <v>176</v>
      </c>
      <c r="L106" s="210">
        <f t="shared" si="8"/>
        <v>12</v>
      </c>
      <c r="M106" s="210">
        <f t="shared" si="9"/>
        <v>12</v>
      </c>
      <c r="N106" s="207">
        <v>3</v>
      </c>
      <c r="O106" s="208">
        <v>3</v>
      </c>
      <c r="P106" s="208">
        <v>3</v>
      </c>
      <c r="Q106" s="209">
        <v>3</v>
      </c>
      <c r="R106" s="222">
        <v>3</v>
      </c>
      <c r="S106" s="314">
        <v>2</v>
      </c>
      <c r="T106" s="223">
        <v>3</v>
      </c>
      <c r="U106" s="223"/>
      <c r="V106" s="224">
        <f t="shared" si="10"/>
        <v>8</v>
      </c>
      <c r="W106" s="244">
        <f t="shared" si="11"/>
        <v>0.6666666666666666</v>
      </c>
    </row>
    <row r="107" spans="1:23" ht="23.25" customHeight="1">
      <c r="A107" s="246"/>
      <c r="B107" s="221"/>
      <c r="C107" s="221"/>
      <c r="D107" s="221"/>
      <c r="E107" s="221"/>
      <c r="F107" s="221"/>
      <c r="G107" s="221"/>
      <c r="H107" s="221"/>
      <c r="I107" s="204" t="s">
        <v>354</v>
      </c>
      <c r="J107" s="251">
        <v>74</v>
      </c>
      <c r="K107" s="203" t="s">
        <v>175</v>
      </c>
      <c r="L107" s="210">
        <f t="shared" si="8"/>
        <v>1</v>
      </c>
      <c r="M107" s="210">
        <f t="shared" si="9"/>
        <v>1</v>
      </c>
      <c r="N107" s="207">
        <v>0</v>
      </c>
      <c r="O107" s="208">
        <v>0</v>
      </c>
      <c r="P107" s="208">
        <v>0</v>
      </c>
      <c r="Q107" s="209">
        <v>1</v>
      </c>
      <c r="R107" s="222">
        <v>0</v>
      </c>
      <c r="S107" s="314">
        <v>0</v>
      </c>
      <c r="T107" s="223">
        <v>0</v>
      </c>
      <c r="U107" s="223"/>
      <c r="V107" s="224">
        <f t="shared" si="10"/>
        <v>0</v>
      </c>
      <c r="W107" s="244">
        <f t="shared" si="11"/>
        <v>0</v>
      </c>
    </row>
    <row r="108" spans="1:23" ht="15.75" customHeight="1">
      <c r="A108" s="246"/>
      <c r="B108" s="221"/>
      <c r="C108" s="221"/>
      <c r="D108" s="221"/>
      <c r="E108" s="221"/>
      <c r="F108" s="221"/>
      <c r="G108" s="221"/>
      <c r="H108" s="221"/>
      <c r="I108" s="204" t="s">
        <v>430</v>
      </c>
      <c r="J108" s="251">
        <v>75</v>
      </c>
      <c r="K108" s="203" t="s">
        <v>175</v>
      </c>
      <c r="L108" s="210">
        <f t="shared" si="8"/>
        <v>1</v>
      </c>
      <c r="M108" s="210">
        <f t="shared" si="9"/>
        <v>1</v>
      </c>
      <c r="N108" s="207">
        <v>1</v>
      </c>
      <c r="O108" s="208">
        <v>0</v>
      </c>
      <c r="P108" s="208">
        <v>0</v>
      </c>
      <c r="Q108" s="209">
        <v>0</v>
      </c>
      <c r="R108" s="222">
        <v>1</v>
      </c>
      <c r="S108" s="314">
        <v>0</v>
      </c>
      <c r="T108" s="223">
        <v>0</v>
      </c>
      <c r="U108" s="223"/>
      <c r="V108" s="224">
        <f t="shared" si="10"/>
        <v>1</v>
      </c>
      <c r="W108" s="244">
        <f t="shared" si="11"/>
        <v>1</v>
      </c>
    </row>
    <row r="109" spans="1:23" ht="18" customHeight="1">
      <c r="A109" s="246"/>
      <c r="B109" s="221"/>
      <c r="C109" s="221"/>
      <c r="D109" s="221"/>
      <c r="E109" s="221"/>
      <c r="F109" s="221"/>
      <c r="G109" s="221"/>
      <c r="H109" s="221"/>
      <c r="I109" s="204" t="s">
        <v>353</v>
      </c>
      <c r="J109" s="251">
        <v>76</v>
      </c>
      <c r="K109" s="203" t="s">
        <v>175</v>
      </c>
      <c r="L109" s="210">
        <f t="shared" si="8"/>
        <v>12</v>
      </c>
      <c r="M109" s="210">
        <f t="shared" si="9"/>
        <v>12</v>
      </c>
      <c r="N109" s="207">
        <v>3</v>
      </c>
      <c r="O109" s="208">
        <v>3</v>
      </c>
      <c r="P109" s="208">
        <v>3</v>
      </c>
      <c r="Q109" s="209">
        <v>3</v>
      </c>
      <c r="R109" s="222">
        <v>3</v>
      </c>
      <c r="S109" s="314">
        <v>3</v>
      </c>
      <c r="T109" s="223">
        <v>3</v>
      </c>
      <c r="U109" s="223"/>
      <c r="V109" s="224">
        <f t="shared" si="10"/>
        <v>9</v>
      </c>
      <c r="W109" s="244">
        <f t="shared" si="11"/>
        <v>0.75</v>
      </c>
    </row>
    <row r="110" spans="1:23" ht="17.25" customHeight="1">
      <c r="A110" s="246"/>
      <c r="B110" s="221"/>
      <c r="C110" s="221"/>
      <c r="D110" s="221"/>
      <c r="E110" s="221"/>
      <c r="F110" s="221"/>
      <c r="G110" s="221"/>
      <c r="H110" s="221"/>
      <c r="I110" s="204" t="s">
        <v>352</v>
      </c>
      <c r="J110" s="251">
        <v>77</v>
      </c>
      <c r="K110" s="203" t="s">
        <v>390</v>
      </c>
      <c r="L110" s="210">
        <f t="shared" si="8"/>
        <v>2</v>
      </c>
      <c r="M110" s="210">
        <f t="shared" si="9"/>
        <v>2</v>
      </c>
      <c r="N110" s="207">
        <v>1</v>
      </c>
      <c r="O110" s="208">
        <v>1</v>
      </c>
      <c r="P110" s="208">
        <v>0</v>
      </c>
      <c r="Q110" s="209">
        <v>0</v>
      </c>
      <c r="R110" s="222">
        <v>0</v>
      </c>
      <c r="S110" s="317">
        <v>2</v>
      </c>
      <c r="T110" s="223">
        <v>0</v>
      </c>
      <c r="U110" s="223"/>
      <c r="V110" s="224">
        <f t="shared" si="10"/>
        <v>2</v>
      </c>
      <c r="W110" s="244">
        <f t="shared" si="11"/>
        <v>1</v>
      </c>
    </row>
    <row r="111" spans="1:23" ht="24.75" customHeight="1">
      <c r="A111" s="246"/>
      <c r="B111" s="221"/>
      <c r="C111" s="221"/>
      <c r="D111" s="221"/>
      <c r="E111" s="221"/>
      <c r="F111" s="221"/>
      <c r="G111" s="221"/>
      <c r="H111" s="221"/>
      <c r="I111" s="204" t="s">
        <v>351</v>
      </c>
      <c r="J111" s="251">
        <v>78</v>
      </c>
      <c r="K111" s="203" t="s">
        <v>429</v>
      </c>
      <c r="L111" s="210">
        <f t="shared" si="8"/>
        <v>3</v>
      </c>
      <c r="M111" s="210">
        <f t="shared" si="9"/>
        <v>3</v>
      </c>
      <c r="N111" s="207">
        <v>0</v>
      </c>
      <c r="O111" s="208">
        <v>1</v>
      </c>
      <c r="P111" s="208">
        <v>2</v>
      </c>
      <c r="Q111" s="209">
        <v>0</v>
      </c>
      <c r="R111" s="222">
        <v>0</v>
      </c>
      <c r="S111" s="314">
        <v>1</v>
      </c>
      <c r="T111" s="223">
        <v>2</v>
      </c>
      <c r="U111" s="223"/>
      <c r="V111" s="224">
        <f t="shared" si="10"/>
        <v>3</v>
      </c>
      <c r="W111" s="244">
        <f t="shared" si="11"/>
        <v>1</v>
      </c>
    </row>
    <row r="112" spans="1:23" ht="21.75" customHeight="1">
      <c r="A112" s="246"/>
      <c r="B112" s="221"/>
      <c r="C112" s="221"/>
      <c r="D112" s="221"/>
      <c r="E112" s="221"/>
      <c r="F112" s="221"/>
      <c r="G112" s="221"/>
      <c r="H112" s="221"/>
      <c r="I112" s="204" t="s">
        <v>350</v>
      </c>
      <c r="J112" s="251">
        <v>79</v>
      </c>
      <c r="K112" s="203" t="s">
        <v>389</v>
      </c>
      <c r="L112" s="210">
        <f t="shared" si="8"/>
        <v>18</v>
      </c>
      <c r="M112" s="210">
        <f t="shared" si="9"/>
        <v>18</v>
      </c>
      <c r="N112" s="207">
        <v>6</v>
      </c>
      <c r="O112" s="208">
        <v>6</v>
      </c>
      <c r="P112" s="208">
        <v>3</v>
      </c>
      <c r="Q112" s="209">
        <v>3</v>
      </c>
      <c r="R112" s="222">
        <v>4</v>
      </c>
      <c r="S112" s="317">
        <v>8</v>
      </c>
      <c r="T112" s="223">
        <v>5</v>
      </c>
      <c r="U112" s="223"/>
      <c r="V112" s="224">
        <f t="shared" si="10"/>
        <v>17</v>
      </c>
      <c r="W112" s="244">
        <f t="shared" si="11"/>
        <v>0.9444444444444444</v>
      </c>
    </row>
    <row r="113" spans="1:23" ht="15.75" customHeight="1">
      <c r="A113" s="246"/>
      <c r="B113" s="221"/>
      <c r="C113" s="221"/>
      <c r="D113" s="221"/>
      <c r="E113" s="221"/>
      <c r="F113" s="221"/>
      <c r="G113" s="221"/>
      <c r="H113" s="221"/>
      <c r="I113" s="204" t="s">
        <v>349</v>
      </c>
      <c r="J113" s="251">
        <v>80</v>
      </c>
      <c r="K113" s="203" t="s">
        <v>175</v>
      </c>
      <c r="L113" s="210">
        <f t="shared" si="8"/>
        <v>4</v>
      </c>
      <c r="M113" s="210">
        <f t="shared" si="9"/>
        <v>4</v>
      </c>
      <c r="N113" s="207">
        <v>1</v>
      </c>
      <c r="O113" s="208">
        <v>1</v>
      </c>
      <c r="P113" s="208">
        <v>1</v>
      </c>
      <c r="Q113" s="209">
        <v>1</v>
      </c>
      <c r="R113" s="222">
        <v>1</v>
      </c>
      <c r="S113" s="314">
        <v>1</v>
      </c>
      <c r="T113" s="223">
        <v>1</v>
      </c>
      <c r="U113" s="223"/>
      <c r="V113" s="224">
        <f t="shared" si="10"/>
        <v>3</v>
      </c>
      <c r="W113" s="244">
        <f t="shared" si="11"/>
        <v>0.75</v>
      </c>
    </row>
    <row r="114" spans="1:23" ht="21" customHeight="1">
      <c r="A114" s="246"/>
      <c r="B114" s="221"/>
      <c r="C114" s="221"/>
      <c r="D114" s="221"/>
      <c r="E114" s="221"/>
      <c r="F114" s="221"/>
      <c r="G114" s="221"/>
      <c r="H114" s="221"/>
      <c r="I114" s="204" t="s">
        <v>261</v>
      </c>
      <c r="J114" s="251">
        <v>81</v>
      </c>
      <c r="K114" s="203" t="s">
        <v>262</v>
      </c>
      <c r="L114" s="210">
        <f t="shared" si="8"/>
        <v>20</v>
      </c>
      <c r="M114" s="210">
        <f t="shared" si="9"/>
        <v>20</v>
      </c>
      <c r="N114" s="207">
        <v>0</v>
      </c>
      <c r="O114" s="208">
        <v>5</v>
      </c>
      <c r="P114" s="208">
        <v>0</v>
      </c>
      <c r="Q114" s="209">
        <v>15</v>
      </c>
      <c r="R114" s="222">
        <v>0</v>
      </c>
      <c r="S114" s="314">
        <v>5</v>
      </c>
      <c r="T114" s="223">
        <v>0</v>
      </c>
      <c r="U114" s="223"/>
      <c r="V114" s="224">
        <f t="shared" si="10"/>
        <v>5</v>
      </c>
      <c r="W114" s="244">
        <f t="shared" si="11"/>
        <v>0.25</v>
      </c>
    </row>
    <row r="115" spans="1:23" ht="20.25" customHeight="1">
      <c r="A115" s="246"/>
      <c r="B115" s="221"/>
      <c r="C115" s="221"/>
      <c r="D115" s="221"/>
      <c r="E115" s="221"/>
      <c r="F115" s="221"/>
      <c r="G115" s="221"/>
      <c r="H115" s="221"/>
      <c r="I115" s="204" t="s">
        <v>428</v>
      </c>
      <c r="J115" s="251">
        <v>82</v>
      </c>
      <c r="K115" s="203" t="s">
        <v>427</v>
      </c>
      <c r="L115" s="210">
        <f t="shared" si="8"/>
        <v>70</v>
      </c>
      <c r="M115" s="210">
        <f t="shared" si="9"/>
        <v>70</v>
      </c>
      <c r="N115" s="207">
        <v>0</v>
      </c>
      <c r="O115" s="208">
        <v>0</v>
      </c>
      <c r="P115" s="208">
        <v>0</v>
      </c>
      <c r="Q115" s="209">
        <v>70</v>
      </c>
      <c r="R115" s="222">
        <v>0</v>
      </c>
      <c r="S115" s="314">
        <v>0</v>
      </c>
      <c r="T115" s="223">
        <v>0</v>
      </c>
      <c r="U115" s="223"/>
      <c r="V115" s="224">
        <f t="shared" si="10"/>
        <v>0</v>
      </c>
      <c r="W115" s="244">
        <f t="shared" si="11"/>
        <v>0</v>
      </c>
    </row>
    <row r="116" spans="1:23" ht="20.25" customHeight="1">
      <c r="A116" s="246"/>
      <c r="B116" s="221"/>
      <c r="C116" s="221"/>
      <c r="D116" s="221"/>
      <c r="E116" s="221"/>
      <c r="F116" s="221"/>
      <c r="G116" s="221"/>
      <c r="H116" s="221"/>
      <c r="I116" s="204" t="s">
        <v>426</v>
      </c>
      <c r="J116" s="251">
        <v>83</v>
      </c>
      <c r="K116" s="203" t="s">
        <v>425</v>
      </c>
      <c r="L116" s="210">
        <f t="shared" si="8"/>
        <v>40</v>
      </c>
      <c r="M116" s="210">
        <f t="shared" si="9"/>
        <v>40</v>
      </c>
      <c r="N116" s="207">
        <v>40</v>
      </c>
      <c r="O116" s="208">
        <v>0</v>
      </c>
      <c r="P116" s="208">
        <v>0</v>
      </c>
      <c r="Q116" s="209">
        <v>0</v>
      </c>
      <c r="R116" s="222">
        <v>40</v>
      </c>
      <c r="S116" s="314">
        <v>0</v>
      </c>
      <c r="T116" s="223">
        <v>0</v>
      </c>
      <c r="U116" s="223"/>
      <c r="V116" s="224">
        <f t="shared" si="10"/>
        <v>40</v>
      </c>
      <c r="W116" s="244">
        <f t="shared" si="11"/>
        <v>1</v>
      </c>
    </row>
    <row r="117" spans="1:23" ht="23.25" customHeight="1">
      <c r="A117" s="246"/>
      <c r="B117" s="221"/>
      <c r="C117" s="221"/>
      <c r="D117" s="221"/>
      <c r="E117" s="221"/>
      <c r="F117" s="221"/>
      <c r="G117" s="221"/>
      <c r="H117" s="221"/>
      <c r="I117" s="204" t="s">
        <v>348</v>
      </c>
      <c r="J117" s="251">
        <v>84</v>
      </c>
      <c r="K117" s="203" t="s">
        <v>388</v>
      </c>
      <c r="L117" s="210">
        <f t="shared" si="8"/>
        <v>10</v>
      </c>
      <c r="M117" s="210">
        <f t="shared" si="9"/>
        <v>10</v>
      </c>
      <c r="N117" s="207">
        <v>2</v>
      </c>
      <c r="O117" s="208">
        <v>3</v>
      </c>
      <c r="P117" s="208">
        <v>3</v>
      </c>
      <c r="Q117" s="209">
        <v>2</v>
      </c>
      <c r="R117" s="222">
        <v>2</v>
      </c>
      <c r="S117" s="314">
        <v>3</v>
      </c>
      <c r="T117" s="223">
        <v>3</v>
      </c>
      <c r="U117" s="223"/>
      <c r="V117" s="224">
        <f t="shared" si="10"/>
        <v>8</v>
      </c>
      <c r="W117" s="244">
        <f t="shared" si="11"/>
        <v>0.8</v>
      </c>
    </row>
    <row r="118" spans="1:23" ht="32.25" customHeight="1">
      <c r="A118" s="246"/>
      <c r="B118" s="221"/>
      <c r="C118" s="221"/>
      <c r="D118" s="221"/>
      <c r="E118" s="221"/>
      <c r="F118" s="221"/>
      <c r="G118" s="221"/>
      <c r="H118" s="221"/>
      <c r="I118" s="204" t="s">
        <v>347</v>
      </c>
      <c r="J118" s="251">
        <v>85</v>
      </c>
      <c r="K118" s="203" t="s">
        <v>388</v>
      </c>
      <c r="L118" s="210">
        <f t="shared" si="8"/>
        <v>6</v>
      </c>
      <c r="M118" s="210">
        <f t="shared" si="9"/>
        <v>6</v>
      </c>
      <c r="N118" s="207">
        <v>1</v>
      </c>
      <c r="O118" s="208">
        <v>2</v>
      </c>
      <c r="P118" s="208">
        <v>2</v>
      </c>
      <c r="Q118" s="209">
        <v>1</v>
      </c>
      <c r="R118" s="222">
        <v>1</v>
      </c>
      <c r="S118" s="314">
        <v>2</v>
      </c>
      <c r="T118" s="223">
        <v>2</v>
      </c>
      <c r="U118" s="223"/>
      <c r="V118" s="224">
        <f t="shared" si="10"/>
        <v>5</v>
      </c>
      <c r="W118" s="244">
        <f t="shared" si="11"/>
        <v>0.8333333333333334</v>
      </c>
    </row>
    <row r="119" spans="1:23" ht="24.75" customHeight="1">
      <c r="A119" s="246"/>
      <c r="B119" s="221"/>
      <c r="C119" s="221"/>
      <c r="D119" s="221"/>
      <c r="E119" s="221"/>
      <c r="F119" s="221"/>
      <c r="G119" s="221"/>
      <c r="H119" s="221"/>
      <c r="I119" s="204" t="s">
        <v>424</v>
      </c>
      <c r="J119" s="251">
        <v>86</v>
      </c>
      <c r="K119" s="203" t="s">
        <v>175</v>
      </c>
      <c r="L119" s="210">
        <f t="shared" si="8"/>
        <v>3</v>
      </c>
      <c r="M119" s="210">
        <f t="shared" si="9"/>
        <v>3</v>
      </c>
      <c r="N119" s="207">
        <v>0</v>
      </c>
      <c r="O119" s="208">
        <v>1</v>
      </c>
      <c r="P119" s="208">
        <v>1</v>
      </c>
      <c r="Q119" s="209">
        <v>1</v>
      </c>
      <c r="R119" s="222">
        <v>0</v>
      </c>
      <c r="S119" s="314">
        <v>1</v>
      </c>
      <c r="T119" s="223">
        <v>1</v>
      </c>
      <c r="U119" s="223"/>
      <c r="V119" s="224">
        <f t="shared" si="10"/>
        <v>2</v>
      </c>
      <c r="W119" s="244">
        <f t="shared" si="11"/>
        <v>0.6666666666666666</v>
      </c>
    </row>
    <row r="120" spans="1:23" ht="12.75">
      <c r="A120" s="246"/>
      <c r="B120" s="221"/>
      <c r="C120" s="221"/>
      <c r="D120" s="221"/>
      <c r="E120" s="221"/>
      <c r="F120" s="221"/>
      <c r="G120" s="221"/>
      <c r="H120" s="221"/>
      <c r="I120" s="204" t="s">
        <v>423</v>
      </c>
      <c r="J120" s="251">
        <v>87</v>
      </c>
      <c r="K120" s="203" t="s">
        <v>174</v>
      </c>
      <c r="L120" s="210">
        <f t="shared" si="8"/>
        <v>1</v>
      </c>
      <c r="M120" s="210">
        <f t="shared" si="9"/>
        <v>1</v>
      </c>
      <c r="N120" s="207">
        <v>0</v>
      </c>
      <c r="O120" s="208">
        <v>0</v>
      </c>
      <c r="P120" s="208">
        <v>0</v>
      </c>
      <c r="Q120" s="209">
        <v>1</v>
      </c>
      <c r="R120" s="222">
        <v>0</v>
      </c>
      <c r="S120" s="314">
        <v>0</v>
      </c>
      <c r="T120" s="223">
        <v>0</v>
      </c>
      <c r="U120" s="223"/>
      <c r="V120" s="224">
        <f t="shared" si="10"/>
        <v>0</v>
      </c>
      <c r="W120" s="244">
        <f t="shared" si="11"/>
        <v>0</v>
      </c>
    </row>
    <row r="121" spans="1:23" ht="21.75" customHeight="1">
      <c r="A121" s="246"/>
      <c r="B121" s="221"/>
      <c r="C121" s="221"/>
      <c r="D121" s="221"/>
      <c r="E121" s="221"/>
      <c r="F121" s="221"/>
      <c r="G121" s="221"/>
      <c r="H121" s="221"/>
      <c r="I121" s="204" t="s">
        <v>346</v>
      </c>
      <c r="J121" s="251">
        <v>88</v>
      </c>
      <c r="K121" s="203" t="s">
        <v>475</v>
      </c>
      <c r="L121" s="210">
        <f t="shared" si="8"/>
        <v>500</v>
      </c>
      <c r="M121" s="210">
        <f t="shared" si="9"/>
        <v>500</v>
      </c>
      <c r="N121" s="207">
        <v>125</v>
      </c>
      <c r="O121" s="208">
        <v>125</v>
      </c>
      <c r="P121" s="208">
        <v>125</v>
      </c>
      <c r="Q121" s="209">
        <v>125</v>
      </c>
      <c r="R121" s="222">
        <v>24</v>
      </c>
      <c r="S121" s="314">
        <v>97</v>
      </c>
      <c r="T121" s="223">
        <v>147</v>
      </c>
      <c r="U121" s="223"/>
      <c r="V121" s="224">
        <f t="shared" si="10"/>
        <v>268</v>
      </c>
      <c r="W121" s="244">
        <f t="shared" si="11"/>
        <v>0.536</v>
      </c>
    </row>
    <row r="122" spans="1:23" ht="15.75" customHeight="1">
      <c r="A122" s="246"/>
      <c r="B122" s="221"/>
      <c r="C122" s="221"/>
      <c r="D122" s="221"/>
      <c r="E122" s="221"/>
      <c r="F122" s="221"/>
      <c r="G122" s="221"/>
      <c r="H122" s="221"/>
      <c r="I122" s="204" t="s">
        <v>345</v>
      </c>
      <c r="J122" s="251">
        <v>89</v>
      </c>
      <c r="K122" s="203" t="s">
        <v>190</v>
      </c>
      <c r="L122" s="210">
        <f t="shared" si="8"/>
        <v>8</v>
      </c>
      <c r="M122" s="210">
        <f t="shared" si="9"/>
        <v>8</v>
      </c>
      <c r="N122" s="207">
        <v>2</v>
      </c>
      <c r="O122" s="208">
        <v>2</v>
      </c>
      <c r="P122" s="208">
        <v>2</v>
      </c>
      <c r="Q122" s="209">
        <v>2</v>
      </c>
      <c r="R122" s="285">
        <v>0</v>
      </c>
      <c r="S122" s="314">
        <v>2</v>
      </c>
      <c r="T122" s="223">
        <v>6</v>
      </c>
      <c r="U122" s="223"/>
      <c r="V122" s="224">
        <f t="shared" si="10"/>
        <v>8</v>
      </c>
      <c r="W122" s="244">
        <f t="shared" si="11"/>
        <v>1</v>
      </c>
    </row>
    <row r="123" spans="1:23" ht="16.5" customHeight="1">
      <c r="A123" s="246"/>
      <c r="B123" s="221"/>
      <c r="C123" s="221"/>
      <c r="D123" s="221"/>
      <c r="E123" s="221"/>
      <c r="F123" s="221"/>
      <c r="G123" s="221"/>
      <c r="H123" s="221"/>
      <c r="I123" s="204" t="s">
        <v>344</v>
      </c>
      <c r="J123" s="251">
        <v>90</v>
      </c>
      <c r="K123" s="203" t="s">
        <v>476</v>
      </c>
      <c r="L123" s="210">
        <f t="shared" si="8"/>
        <v>3</v>
      </c>
      <c r="M123" s="210">
        <f t="shared" si="9"/>
        <v>3</v>
      </c>
      <c r="N123" s="207">
        <v>0</v>
      </c>
      <c r="O123" s="208">
        <v>1</v>
      </c>
      <c r="P123" s="208">
        <v>1</v>
      </c>
      <c r="Q123" s="209">
        <v>1</v>
      </c>
      <c r="R123" s="222">
        <v>0</v>
      </c>
      <c r="S123" s="314">
        <v>2</v>
      </c>
      <c r="T123" s="223">
        <v>1</v>
      </c>
      <c r="U123" s="223"/>
      <c r="V123" s="224">
        <f t="shared" si="10"/>
        <v>3</v>
      </c>
      <c r="W123" s="244">
        <f t="shared" si="11"/>
        <v>1</v>
      </c>
    </row>
    <row r="124" spans="1:23" ht="23.25" customHeight="1">
      <c r="A124" s="246"/>
      <c r="B124" s="221"/>
      <c r="C124" s="221"/>
      <c r="D124" s="221"/>
      <c r="E124" s="221"/>
      <c r="F124" s="221"/>
      <c r="G124" s="221"/>
      <c r="H124" s="221"/>
      <c r="I124" s="204" t="s">
        <v>422</v>
      </c>
      <c r="J124" s="251">
        <v>91</v>
      </c>
      <c r="K124" s="203" t="s">
        <v>175</v>
      </c>
      <c r="L124" s="210">
        <f t="shared" si="8"/>
        <v>3</v>
      </c>
      <c r="M124" s="210">
        <f t="shared" si="9"/>
        <v>3</v>
      </c>
      <c r="N124" s="207">
        <v>0</v>
      </c>
      <c r="O124" s="208">
        <v>1</v>
      </c>
      <c r="P124" s="208">
        <v>1</v>
      </c>
      <c r="Q124" s="209">
        <v>1</v>
      </c>
      <c r="R124" s="222">
        <v>0</v>
      </c>
      <c r="S124" s="314">
        <v>1</v>
      </c>
      <c r="T124" s="223">
        <v>1</v>
      </c>
      <c r="U124" s="223"/>
      <c r="V124" s="224">
        <f t="shared" si="10"/>
        <v>2</v>
      </c>
      <c r="W124" s="244">
        <f t="shared" si="11"/>
        <v>0.6666666666666666</v>
      </c>
    </row>
    <row r="125" spans="1:23" ht="18.75" customHeight="1">
      <c r="A125" s="246"/>
      <c r="B125" s="221"/>
      <c r="C125" s="221"/>
      <c r="D125" s="221"/>
      <c r="E125" s="221"/>
      <c r="F125" s="221"/>
      <c r="G125" s="221"/>
      <c r="H125" s="221"/>
      <c r="I125" s="204" t="s">
        <v>421</v>
      </c>
      <c r="J125" s="251">
        <v>92</v>
      </c>
      <c r="K125" s="203" t="s">
        <v>175</v>
      </c>
      <c r="L125" s="210">
        <f t="shared" si="8"/>
        <v>3</v>
      </c>
      <c r="M125" s="210">
        <f t="shared" si="9"/>
        <v>3</v>
      </c>
      <c r="N125" s="207">
        <v>0</v>
      </c>
      <c r="O125" s="208">
        <v>1</v>
      </c>
      <c r="P125" s="208">
        <v>1</v>
      </c>
      <c r="Q125" s="209">
        <v>1</v>
      </c>
      <c r="R125" s="222">
        <v>0</v>
      </c>
      <c r="S125" s="314">
        <v>1</v>
      </c>
      <c r="T125" s="223">
        <v>1</v>
      </c>
      <c r="U125" s="223"/>
      <c r="V125" s="224">
        <f t="shared" si="10"/>
        <v>2</v>
      </c>
      <c r="W125" s="244">
        <f t="shared" si="11"/>
        <v>0.6666666666666666</v>
      </c>
    </row>
    <row r="126" spans="1:23" ht="26.25" customHeight="1">
      <c r="A126" s="214"/>
      <c r="B126" s="213"/>
      <c r="C126" s="213"/>
      <c r="D126" s="213"/>
      <c r="E126" s="213"/>
      <c r="F126" s="213"/>
      <c r="G126" s="213"/>
      <c r="H126" s="213"/>
      <c r="I126" s="286" t="s">
        <v>161</v>
      </c>
      <c r="J126" s="287"/>
      <c r="K126" s="288"/>
      <c r="L126" s="289"/>
      <c r="M126" s="289"/>
      <c r="N126" s="290"/>
      <c r="O126" s="291"/>
      <c r="P126" s="291"/>
      <c r="Q126" s="292"/>
      <c r="R126" s="293" t="s">
        <v>150</v>
      </c>
      <c r="S126" s="294"/>
      <c r="T126" s="294"/>
      <c r="U126" s="294"/>
      <c r="V126" s="295" t="s">
        <v>150</v>
      </c>
      <c r="W126" s="296"/>
    </row>
    <row r="127" spans="1:23" ht="15" customHeight="1">
      <c r="A127" s="214"/>
      <c r="B127" s="213"/>
      <c r="C127" s="213"/>
      <c r="D127" s="213"/>
      <c r="E127" s="213"/>
      <c r="F127" s="213"/>
      <c r="G127" s="213"/>
      <c r="H127" s="213"/>
      <c r="I127" s="204" t="s">
        <v>343</v>
      </c>
      <c r="J127" s="251" t="s">
        <v>54</v>
      </c>
      <c r="K127" s="203" t="s">
        <v>175</v>
      </c>
      <c r="L127" s="210">
        <f aca="true" t="shared" si="12" ref="L127:L142">SUM(N127:Q127)</f>
        <v>12</v>
      </c>
      <c r="M127" s="210">
        <f aca="true" t="shared" si="13" ref="M127:M142">+L127</f>
        <v>12</v>
      </c>
      <c r="N127" s="207">
        <v>3</v>
      </c>
      <c r="O127" s="208">
        <v>3</v>
      </c>
      <c r="P127" s="208">
        <v>3</v>
      </c>
      <c r="Q127" s="209">
        <v>3</v>
      </c>
      <c r="R127" s="222">
        <v>3</v>
      </c>
      <c r="S127" s="223">
        <v>3</v>
      </c>
      <c r="T127" s="223">
        <v>3</v>
      </c>
      <c r="U127" s="223"/>
      <c r="V127" s="224">
        <f aca="true" t="shared" si="14" ref="V127:V142">+R127+S127+T127+U127</f>
        <v>9</v>
      </c>
      <c r="W127" s="244">
        <f aca="true" t="shared" si="15" ref="W127:W142">+V127/L127</f>
        <v>0.75</v>
      </c>
    </row>
    <row r="128" spans="1:23" ht="15.75" customHeight="1">
      <c r="A128" s="214"/>
      <c r="B128" s="213"/>
      <c r="C128" s="213"/>
      <c r="D128" s="213"/>
      <c r="E128" s="213"/>
      <c r="F128" s="213"/>
      <c r="G128" s="213"/>
      <c r="H128" s="213"/>
      <c r="I128" s="204" t="s">
        <v>263</v>
      </c>
      <c r="J128" s="251" t="s">
        <v>55</v>
      </c>
      <c r="K128" s="203" t="s">
        <v>175</v>
      </c>
      <c r="L128" s="210">
        <f t="shared" si="12"/>
        <v>3</v>
      </c>
      <c r="M128" s="210">
        <f t="shared" si="13"/>
        <v>3</v>
      </c>
      <c r="N128" s="207">
        <v>0</v>
      </c>
      <c r="O128" s="208">
        <v>1</v>
      </c>
      <c r="P128" s="208">
        <v>1</v>
      </c>
      <c r="Q128" s="209">
        <v>1</v>
      </c>
      <c r="R128" s="222">
        <v>0</v>
      </c>
      <c r="S128" s="223">
        <v>1</v>
      </c>
      <c r="T128" s="223">
        <v>1</v>
      </c>
      <c r="U128" s="223"/>
      <c r="V128" s="224">
        <f t="shared" si="14"/>
        <v>2</v>
      </c>
      <c r="W128" s="244">
        <f t="shared" si="15"/>
        <v>0.6666666666666666</v>
      </c>
    </row>
    <row r="129" spans="1:23" ht="16.5" customHeight="1">
      <c r="A129" s="214"/>
      <c r="B129" s="213"/>
      <c r="C129" s="213"/>
      <c r="D129" s="213"/>
      <c r="E129" s="213"/>
      <c r="F129" s="213"/>
      <c r="G129" s="213"/>
      <c r="H129" s="213"/>
      <c r="I129" s="204" t="s">
        <v>231</v>
      </c>
      <c r="J129" s="251" t="s">
        <v>53</v>
      </c>
      <c r="K129" s="203" t="s">
        <v>172</v>
      </c>
      <c r="L129" s="210">
        <f t="shared" si="12"/>
        <v>1</v>
      </c>
      <c r="M129" s="210">
        <f t="shared" si="13"/>
        <v>1</v>
      </c>
      <c r="N129" s="207">
        <v>0</v>
      </c>
      <c r="O129" s="208">
        <v>0</v>
      </c>
      <c r="P129" s="208">
        <v>1</v>
      </c>
      <c r="Q129" s="209">
        <v>0</v>
      </c>
      <c r="R129" s="222">
        <v>0</v>
      </c>
      <c r="S129" s="223">
        <v>0</v>
      </c>
      <c r="T129" s="223">
        <v>1</v>
      </c>
      <c r="U129" s="223"/>
      <c r="V129" s="224">
        <f t="shared" si="14"/>
        <v>1</v>
      </c>
      <c r="W129" s="244">
        <f t="shared" si="15"/>
        <v>1</v>
      </c>
    </row>
    <row r="130" spans="1:23" ht="15.75" customHeight="1">
      <c r="A130" s="214"/>
      <c r="B130" s="213"/>
      <c r="C130" s="213"/>
      <c r="D130" s="213"/>
      <c r="E130" s="213"/>
      <c r="F130" s="213"/>
      <c r="G130" s="213"/>
      <c r="H130" s="213"/>
      <c r="I130" s="204" t="s">
        <v>420</v>
      </c>
      <c r="J130" s="251" t="s">
        <v>56</v>
      </c>
      <c r="K130" s="203" t="s">
        <v>175</v>
      </c>
      <c r="L130" s="210">
        <f t="shared" si="12"/>
        <v>3</v>
      </c>
      <c r="M130" s="210">
        <f t="shared" si="13"/>
        <v>3</v>
      </c>
      <c r="N130" s="207">
        <v>0</v>
      </c>
      <c r="O130" s="208">
        <v>1</v>
      </c>
      <c r="P130" s="208">
        <v>1</v>
      </c>
      <c r="Q130" s="209">
        <v>1</v>
      </c>
      <c r="R130" s="222">
        <v>0</v>
      </c>
      <c r="S130" s="223">
        <v>1</v>
      </c>
      <c r="T130" s="343">
        <v>1</v>
      </c>
      <c r="U130" s="223"/>
      <c r="V130" s="224">
        <f t="shared" si="14"/>
        <v>2</v>
      </c>
      <c r="W130" s="244">
        <f t="shared" si="15"/>
        <v>0.6666666666666666</v>
      </c>
    </row>
    <row r="131" spans="1:23" ht="16.5" customHeight="1">
      <c r="A131" s="214"/>
      <c r="B131" s="213"/>
      <c r="C131" s="213"/>
      <c r="D131" s="213"/>
      <c r="E131" s="213"/>
      <c r="F131" s="213"/>
      <c r="G131" s="213"/>
      <c r="H131" s="213"/>
      <c r="I131" s="204" t="s">
        <v>264</v>
      </c>
      <c r="J131" s="251" t="s">
        <v>57</v>
      </c>
      <c r="K131" s="203" t="s">
        <v>175</v>
      </c>
      <c r="L131" s="210">
        <f t="shared" si="12"/>
        <v>4</v>
      </c>
      <c r="M131" s="210">
        <f t="shared" si="13"/>
        <v>4</v>
      </c>
      <c r="N131" s="207">
        <v>1</v>
      </c>
      <c r="O131" s="208">
        <v>1</v>
      </c>
      <c r="P131" s="208">
        <v>1</v>
      </c>
      <c r="Q131" s="209">
        <v>1</v>
      </c>
      <c r="R131" s="222">
        <v>1</v>
      </c>
      <c r="S131" s="223">
        <v>1</v>
      </c>
      <c r="T131" s="223">
        <v>1</v>
      </c>
      <c r="U131" s="223"/>
      <c r="V131" s="224">
        <f t="shared" si="14"/>
        <v>3</v>
      </c>
      <c r="W131" s="244">
        <f t="shared" si="15"/>
        <v>0.75</v>
      </c>
    </row>
    <row r="132" spans="1:23" ht="15.75" customHeight="1">
      <c r="A132" s="214"/>
      <c r="B132" s="213"/>
      <c r="C132" s="213"/>
      <c r="D132" s="213"/>
      <c r="E132" s="213"/>
      <c r="F132" s="213"/>
      <c r="G132" s="213"/>
      <c r="H132" s="213"/>
      <c r="I132" s="204" t="s">
        <v>265</v>
      </c>
      <c r="J132" s="251" t="s">
        <v>58</v>
      </c>
      <c r="K132" s="203" t="s">
        <v>175</v>
      </c>
      <c r="L132" s="210">
        <f t="shared" si="12"/>
        <v>4</v>
      </c>
      <c r="M132" s="210">
        <f t="shared" si="13"/>
        <v>4</v>
      </c>
      <c r="N132" s="207">
        <v>1</v>
      </c>
      <c r="O132" s="208">
        <v>1</v>
      </c>
      <c r="P132" s="208">
        <v>1</v>
      </c>
      <c r="Q132" s="209">
        <v>1</v>
      </c>
      <c r="R132" s="222">
        <v>1</v>
      </c>
      <c r="S132" s="223">
        <v>1</v>
      </c>
      <c r="T132" s="223">
        <v>1</v>
      </c>
      <c r="U132" s="223"/>
      <c r="V132" s="224">
        <f t="shared" si="14"/>
        <v>3</v>
      </c>
      <c r="W132" s="244">
        <f t="shared" si="15"/>
        <v>0.75</v>
      </c>
    </row>
    <row r="133" spans="1:23" ht="22.5" customHeight="1">
      <c r="A133" s="214"/>
      <c r="B133" s="213"/>
      <c r="C133" s="213"/>
      <c r="D133" s="213"/>
      <c r="E133" s="213"/>
      <c r="F133" s="213"/>
      <c r="G133" s="213"/>
      <c r="H133" s="213"/>
      <c r="I133" s="204" t="s">
        <v>209</v>
      </c>
      <c r="J133" s="251" t="s">
        <v>59</v>
      </c>
      <c r="K133" s="203" t="s">
        <v>175</v>
      </c>
      <c r="L133" s="210">
        <f t="shared" si="12"/>
        <v>12</v>
      </c>
      <c r="M133" s="210">
        <f t="shared" si="13"/>
        <v>12</v>
      </c>
      <c r="N133" s="207">
        <v>3</v>
      </c>
      <c r="O133" s="208">
        <v>3</v>
      </c>
      <c r="P133" s="208">
        <v>3</v>
      </c>
      <c r="Q133" s="209">
        <v>3</v>
      </c>
      <c r="R133" s="222">
        <v>3</v>
      </c>
      <c r="S133" s="223">
        <v>3</v>
      </c>
      <c r="T133" s="223">
        <v>3</v>
      </c>
      <c r="U133" s="223"/>
      <c r="V133" s="224">
        <f t="shared" si="14"/>
        <v>9</v>
      </c>
      <c r="W133" s="244">
        <f t="shared" si="15"/>
        <v>0.75</v>
      </c>
    </row>
    <row r="134" spans="1:23" ht="24.75" customHeight="1">
      <c r="A134" s="214"/>
      <c r="B134" s="213"/>
      <c r="C134" s="213"/>
      <c r="D134" s="213"/>
      <c r="E134" s="213"/>
      <c r="F134" s="213"/>
      <c r="G134" s="213"/>
      <c r="H134" s="213"/>
      <c r="I134" s="204" t="s">
        <v>210</v>
      </c>
      <c r="J134" s="251" t="s">
        <v>164</v>
      </c>
      <c r="K134" s="203" t="s">
        <v>175</v>
      </c>
      <c r="L134" s="210">
        <f t="shared" si="12"/>
        <v>4</v>
      </c>
      <c r="M134" s="210">
        <f t="shared" si="13"/>
        <v>4</v>
      </c>
      <c r="N134" s="207">
        <v>1</v>
      </c>
      <c r="O134" s="208">
        <v>1</v>
      </c>
      <c r="P134" s="208">
        <v>1</v>
      </c>
      <c r="Q134" s="209">
        <v>1</v>
      </c>
      <c r="R134" s="222">
        <v>1</v>
      </c>
      <c r="S134" s="223">
        <v>1</v>
      </c>
      <c r="T134" s="223">
        <v>1</v>
      </c>
      <c r="U134" s="223"/>
      <c r="V134" s="224">
        <f t="shared" si="14"/>
        <v>3</v>
      </c>
      <c r="W134" s="244">
        <f t="shared" si="15"/>
        <v>0.75</v>
      </c>
    </row>
    <row r="135" spans="1:23" ht="15.75" customHeight="1">
      <c r="A135" s="214"/>
      <c r="B135" s="213"/>
      <c r="C135" s="213"/>
      <c r="D135" s="213"/>
      <c r="E135" s="213"/>
      <c r="F135" s="213"/>
      <c r="G135" s="213"/>
      <c r="H135" s="213"/>
      <c r="I135" s="204" t="s">
        <v>342</v>
      </c>
      <c r="J135" s="251" t="s">
        <v>165</v>
      </c>
      <c r="K135" s="203" t="s">
        <v>175</v>
      </c>
      <c r="L135" s="210">
        <f t="shared" si="12"/>
        <v>27902</v>
      </c>
      <c r="M135" s="210">
        <f t="shared" si="13"/>
        <v>27902</v>
      </c>
      <c r="N135" s="207">
        <v>5759</v>
      </c>
      <c r="O135" s="208">
        <v>8647</v>
      </c>
      <c r="P135" s="208">
        <v>8301</v>
      </c>
      <c r="Q135" s="209">
        <v>5195</v>
      </c>
      <c r="R135" s="285">
        <v>5767</v>
      </c>
      <c r="S135" s="316">
        <v>10540</v>
      </c>
      <c r="T135" s="223">
        <v>9608</v>
      </c>
      <c r="U135" s="223"/>
      <c r="V135" s="224">
        <f t="shared" si="14"/>
        <v>25915</v>
      </c>
      <c r="W135" s="244">
        <f t="shared" si="15"/>
        <v>0.928786466919934</v>
      </c>
    </row>
    <row r="136" spans="1:23" ht="24.75" customHeight="1">
      <c r="A136" s="214"/>
      <c r="B136" s="213"/>
      <c r="C136" s="213"/>
      <c r="D136" s="213"/>
      <c r="E136" s="213"/>
      <c r="F136" s="213"/>
      <c r="G136" s="213"/>
      <c r="H136" s="213"/>
      <c r="I136" s="204" t="s">
        <v>211</v>
      </c>
      <c r="J136" s="251" t="s">
        <v>166</v>
      </c>
      <c r="K136" s="203" t="s">
        <v>387</v>
      </c>
      <c r="L136" s="210">
        <f t="shared" si="12"/>
        <v>12</v>
      </c>
      <c r="M136" s="210">
        <f t="shared" si="13"/>
        <v>12</v>
      </c>
      <c r="N136" s="207">
        <v>3</v>
      </c>
      <c r="O136" s="208">
        <v>3</v>
      </c>
      <c r="P136" s="208">
        <v>3</v>
      </c>
      <c r="Q136" s="209">
        <v>3</v>
      </c>
      <c r="R136" s="222">
        <v>3</v>
      </c>
      <c r="S136" s="223">
        <v>3</v>
      </c>
      <c r="T136" s="223">
        <v>3</v>
      </c>
      <c r="U136" s="223"/>
      <c r="V136" s="224">
        <f t="shared" si="14"/>
        <v>9</v>
      </c>
      <c r="W136" s="244">
        <f t="shared" si="15"/>
        <v>0.75</v>
      </c>
    </row>
    <row r="137" spans="1:23" ht="18" customHeight="1">
      <c r="A137" s="214"/>
      <c r="B137" s="213"/>
      <c r="C137" s="213"/>
      <c r="D137" s="213"/>
      <c r="E137" s="213"/>
      <c r="F137" s="213"/>
      <c r="G137" s="213"/>
      <c r="H137" s="213"/>
      <c r="I137" s="204" t="s">
        <v>341</v>
      </c>
      <c r="J137" s="251" t="s">
        <v>167</v>
      </c>
      <c r="K137" s="203" t="s">
        <v>175</v>
      </c>
      <c r="L137" s="210">
        <f t="shared" si="12"/>
        <v>6050000</v>
      </c>
      <c r="M137" s="210">
        <f t="shared" si="13"/>
        <v>6050000</v>
      </c>
      <c r="N137" s="207">
        <v>688800</v>
      </c>
      <c r="O137" s="208">
        <v>1359650</v>
      </c>
      <c r="P137" s="208">
        <v>2918000</v>
      </c>
      <c r="Q137" s="209">
        <v>1083550</v>
      </c>
      <c r="R137" s="222">
        <v>984183</v>
      </c>
      <c r="S137" s="223">
        <v>2636667</v>
      </c>
      <c r="T137" s="223">
        <v>4208055</v>
      </c>
      <c r="U137" s="223"/>
      <c r="V137" s="224">
        <f t="shared" si="14"/>
        <v>7828905</v>
      </c>
      <c r="W137" s="244">
        <f t="shared" si="15"/>
        <v>1.2940338842975208</v>
      </c>
    </row>
    <row r="138" spans="1:23" ht="18" customHeight="1">
      <c r="A138" s="214"/>
      <c r="B138" s="213"/>
      <c r="C138" s="213"/>
      <c r="D138" s="213"/>
      <c r="E138" s="213"/>
      <c r="F138" s="213"/>
      <c r="G138" s="213"/>
      <c r="H138" s="213"/>
      <c r="I138" s="204" t="s">
        <v>208</v>
      </c>
      <c r="J138" s="251" t="s">
        <v>168</v>
      </c>
      <c r="K138" s="203" t="s">
        <v>175</v>
      </c>
      <c r="L138" s="210">
        <f t="shared" si="12"/>
        <v>12</v>
      </c>
      <c r="M138" s="210">
        <f t="shared" si="13"/>
        <v>12</v>
      </c>
      <c r="N138" s="207">
        <v>3</v>
      </c>
      <c r="O138" s="208">
        <v>3</v>
      </c>
      <c r="P138" s="208">
        <v>3</v>
      </c>
      <c r="Q138" s="209">
        <v>3</v>
      </c>
      <c r="R138" s="222">
        <v>3</v>
      </c>
      <c r="S138" s="223">
        <v>3</v>
      </c>
      <c r="T138" s="223">
        <v>3</v>
      </c>
      <c r="U138" s="223"/>
      <c r="V138" s="224">
        <f t="shared" si="14"/>
        <v>9</v>
      </c>
      <c r="W138" s="244">
        <f t="shared" si="15"/>
        <v>0.75</v>
      </c>
    </row>
    <row r="139" spans="1:23" ht="21.75" customHeight="1">
      <c r="A139" s="214"/>
      <c r="B139" s="213"/>
      <c r="C139" s="213"/>
      <c r="D139" s="213"/>
      <c r="E139" s="213"/>
      <c r="F139" s="213"/>
      <c r="G139" s="213"/>
      <c r="H139" s="213"/>
      <c r="I139" s="204" t="s">
        <v>266</v>
      </c>
      <c r="J139" s="251" t="s">
        <v>169</v>
      </c>
      <c r="K139" s="203" t="s">
        <v>175</v>
      </c>
      <c r="L139" s="210">
        <f t="shared" si="12"/>
        <v>10</v>
      </c>
      <c r="M139" s="210">
        <f t="shared" si="13"/>
        <v>10</v>
      </c>
      <c r="N139" s="207">
        <v>7</v>
      </c>
      <c r="O139" s="208">
        <v>0</v>
      </c>
      <c r="P139" s="208">
        <v>0</v>
      </c>
      <c r="Q139" s="209">
        <v>3</v>
      </c>
      <c r="R139" s="285">
        <v>0</v>
      </c>
      <c r="S139" s="223">
        <v>2</v>
      </c>
      <c r="T139" s="223">
        <v>0</v>
      </c>
      <c r="U139" s="223"/>
      <c r="V139" s="224">
        <f t="shared" si="14"/>
        <v>2</v>
      </c>
      <c r="W139" s="244">
        <f t="shared" si="15"/>
        <v>0.2</v>
      </c>
    </row>
    <row r="140" spans="1:23" ht="15" customHeight="1">
      <c r="A140" s="214"/>
      <c r="B140" s="213"/>
      <c r="C140" s="213"/>
      <c r="D140" s="213"/>
      <c r="E140" s="213"/>
      <c r="F140" s="213"/>
      <c r="G140" s="213"/>
      <c r="H140" s="213"/>
      <c r="I140" s="204" t="s">
        <v>340</v>
      </c>
      <c r="J140" s="251" t="s">
        <v>170</v>
      </c>
      <c r="K140" s="203" t="s">
        <v>175</v>
      </c>
      <c r="L140" s="210">
        <f t="shared" si="12"/>
        <v>12</v>
      </c>
      <c r="M140" s="210">
        <f t="shared" si="13"/>
        <v>12</v>
      </c>
      <c r="N140" s="207">
        <v>3</v>
      </c>
      <c r="O140" s="208">
        <v>3</v>
      </c>
      <c r="P140" s="208">
        <v>3</v>
      </c>
      <c r="Q140" s="209">
        <v>3</v>
      </c>
      <c r="R140" s="222">
        <v>3</v>
      </c>
      <c r="S140" s="223">
        <v>3</v>
      </c>
      <c r="T140" s="223">
        <v>3</v>
      </c>
      <c r="U140" s="223"/>
      <c r="V140" s="224">
        <f t="shared" si="14"/>
        <v>9</v>
      </c>
      <c r="W140" s="244">
        <f t="shared" si="15"/>
        <v>0.75</v>
      </c>
    </row>
    <row r="141" spans="1:23" ht="18" customHeight="1">
      <c r="A141" s="214"/>
      <c r="B141" s="213"/>
      <c r="C141" s="213"/>
      <c r="D141" s="213"/>
      <c r="E141" s="213"/>
      <c r="F141" s="213"/>
      <c r="G141" s="213"/>
      <c r="H141" s="213"/>
      <c r="I141" s="204" t="s">
        <v>267</v>
      </c>
      <c r="J141" s="251" t="s">
        <v>171</v>
      </c>
      <c r="K141" s="203" t="s">
        <v>175</v>
      </c>
      <c r="L141" s="210">
        <f t="shared" si="12"/>
        <v>12</v>
      </c>
      <c r="M141" s="210">
        <f t="shared" si="13"/>
        <v>12</v>
      </c>
      <c r="N141" s="207">
        <v>3</v>
      </c>
      <c r="O141" s="208">
        <v>3</v>
      </c>
      <c r="P141" s="208">
        <v>3</v>
      </c>
      <c r="Q141" s="209">
        <v>3</v>
      </c>
      <c r="R141" s="222">
        <v>3</v>
      </c>
      <c r="S141" s="223">
        <v>3</v>
      </c>
      <c r="T141" s="223">
        <v>3</v>
      </c>
      <c r="U141" s="223"/>
      <c r="V141" s="224">
        <f t="shared" si="14"/>
        <v>9</v>
      </c>
      <c r="W141" s="244">
        <f t="shared" si="15"/>
        <v>0.75</v>
      </c>
    </row>
    <row r="142" spans="1:23" ht="17.25" customHeight="1">
      <c r="A142" s="214"/>
      <c r="B142" s="213"/>
      <c r="C142" s="213"/>
      <c r="D142" s="213"/>
      <c r="E142" s="213"/>
      <c r="F142" s="213"/>
      <c r="G142" s="213"/>
      <c r="H142" s="213"/>
      <c r="I142" s="204" t="s">
        <v>268</v>
      </c>
      <c r="J142" s="251" t="s">
        <v>173</v>
      </c>
      <c r="K142" s="203" t="s">
        <v>175</v>
      </c>
      <c r="L142" s="210">
        <f t="shared" si="12"/>
        <v>12</v>
      </c>
      <c r="M142" s="210">
        <f t="shared" si="13"/>
        <v>12</v>
      </c>
      <c r="N142" s="207">
        <v>3</v>
      </c>
      <c r="O142" s="208">
        <v>3</v>
      </c>
      <c r="P142" s="208">
        <v>3</v>
      </c>
      <c r="Q142" s="209">
        <v>3</v>
      </c>
      <c r="R142" s="222">
        <v>3</v>
      </c>
      <c r="S142" s="223">
        <v>3</v>
      </c>
      <c r="T142" s="223">
        <v>3</v>
      </c>
      <c r="U142" s="223"/>
      <c r="V142" s="224">
        <f t="shared" si="14"/>
        <v>9</v>
      </c>
      <c r="W142" s="244">
        <f t="shared" si="15"/>
        <v>0.75</v>
      </c>
    </row>
    <row r="143" spans="1:23" ht="50.25" customHeight="1">
      <c r="A143" s="214"/>
      <c r="B143" s="213"/>
      <c r="C143" s="213"/>
      <c r="D143" s="213"/>
      <c r="E143" s="213"/>
      <c r="F143" s="213"/>
      <c r="G143" s="213"/>
      <c r="H143" s="213"/>
      <c r="I143" s="286" t="s">
        <v>162</v>
      </c>
      <c r="J143" s="287"/>
      <c r="K143" s="288"/>
      <c r="L143" s="289"/>
      <c r="M143" s="289"/>
      <c r="N143" s="290"/>
      <c r="O143" s="291"/>
      <c r="P143" s="291"/>
      <c r="Q143" s="292"/>
      <c r="R143" s="293"/>
      <c r="S143" s="294"/>
      <c r="T143" s="294"/>
      <c r="U143" s="294"/>
      <c r="V143" s="295"/>
      <c r="W143" s="296"/>
    </row>
    <row r="144" spans="1:23" ht="17.25" customHeight="1">
      <c r="A144" s="214"/>
      <c r="B144" s="213"/>
      <c r="C144" s="213"/>
      <c r="D144" s="213"/>
      <c r="E144" s="213"/>
      <c r="F144" s="213"/>
      <c r="G144" s="213"/>
      <c r="H144" s="213"/>
      <c r="I144" s="204" t="s">
        <v>419</v>
      </c>
      <c r="J144" s="250" t="s">
        <v>54</v>
      </c>
      <c r="K144" s="203" t="s">
        <v>177</v>
      </c>
      <c r="L144" s="210">
        <f aca="true" t="shared" si="16" ref="L144:L201">SUM(N144:Q144)</f>
        <v>1</v>
      </c>
      <c r="M144" s="210">
        <f aca="true" t="shared" si="17" ref="M144:M201">+L144</f>
        <v>1</v>
      </c>
      <c r="N144" s="207">
        <v>0</v>
      </c>
      <c r="O144" s="208">
        <v>0</v>
      </c>
      <c r="P144" s="208">
        <v>0</v>
      </c>
      <c r="Q144" s="209">
        <v>1</v>
      </c>
      <c r="R144" s="222">
        <v>0</v>
      </c>
      <c r="S144" s="314">
        <v>0</v>
      </c>
      <c r="T144" s="223">
        <v>0</v>
      </c>
      <c r="U144" s="223"/>
      <c r="V144" s="224">
        <f aca="true" t="shared" si="18" ref="V144:V201">+R144+S144+T144+U144</f>
        <v>0</v>
      </c>
      <c r="W144" s="244">
        <f aca="true" t="shared" si="19" ref="W144:W201">+V144/L144</f>
        <v>0</v>
      </c>
    </row>
    <row r="145" spans="1:23" ht="22.5" customHeight="1">
      <c r="A145" s="214"/>
      <c r="B145" s="213"/>
      <c r="C145" s="213"/>
      <c r="D145" s="213"/>
      <c r="E145" s="213"/>
      <c r="F145" s="213"/>
      <c r="G145" s="213"/>
      <c r="H145" s="213"/>
      <c r="I145" s="204" t="s">
        <v>418</v>
      </c>
      <c r="J145" s="250" t="s">
        <v>55</v>
      </c>
      <c r="K145" s="203" t="s">
        <v>269</v>
      </c>
      <c r="L145" s="210">
        <f t="shared" si="16"/>
        <v>1</v>
      </c>
      <c r="M145" s="210">
        <f t="shared" si="17"/>
        <v>1</v>
      </c>
      <c r="N145" s="207">
        <v>0</v>
      </c>
      <c r="O145" s="208">
        <v>1</v>
      </c>
      <c r="P145" s="208">
        <v>0</v>
      </c>
      <c r="Q145" s="209">
        <v>0</v>
      </c>
      <c r="R145" s="222">
        <v>0</v>
      </c>
      <c r="S145" s="314">
        <v>1</v>
      </c>
      <c r="T145" s="223">
        <v>0</v>
      </c>
      <c r="U145" s="223"/>
      <c r="V145" s="224">
        <f t="shared" si="18"/>
        <v>1</v>
      </c>
      <c r="W145" s="244">
        <f t="shared" si="19"/>
        <v>1</v>
      </c>
    </row>
    <row r="146" spans="1:23" ht="15" customHeight="1">
      <c r="A146" s="214"/>
      <c r="B146" s="213"/>
      <c r="C146" s="213"/>
      <c r="D146" s="213"/>
      <c r="E146" s="213"/>
      <c r="F146" s="213"/>
      <c r="G146" s="213"/>
      <c r="H146" s="213"/>
      <c r="I146" s="204" t="s">
        <v>417</v>
      </c>
      <c r="J146" s="250" t="s">
        <v>53</v>
      </c>
      <c r="K146" s="203" t="s">
        <v>172</v>
      </c>
      <c r="L146" s="210">
        <f t="shared" si="16"/>
        <v>1</v>
      </c>
      <c r="M146" s="210">
        <f t="shared" si="17"/>
        <v>1</v>
      </c>
      <c r="N146" s="207">
        <v>0</v>
      </c>
      <c r="O146" s="208">
        <v>0</v>
      </c>
      <c r="P146" s="208">
        <v>0</v>
      </c>
      <c r="Q146" s="209">
        <v>1</v>
      </c>
      <c r="R146" s="222">
        <v>0</v>
      </c>
      <c r="S146" s="314">
        <v>0</v>
      </c>
      <c r="T146" s="223">
        <v>0</v>
      </c>
      <c r="U146" s="223"/>
      <c r="V146" s="224">
        <f t="shared" si="18"/>
        <v>0</v>
      </c>
      <c r="W146" s="244">
        <f t="shared" si="19"/>
        <v>0</v>
      </c>
    </row>
    <row r="147" spans="1:23" ht="17.25" customHeight="1">
      <c r="A147" s="214"/>
      <c r="B147" s="213"/>
      <c r="C147" s="213"/>
      <c r="D147" s="213"/>
      <c r="E147" s="213"/>
      <c r="F147" s="213"/>
      <c r="G147" s="213"/>
      <c r="H147" s="213"/>
      <c r="I147" s="204" t="s">
        <v>416</v>
      </c>
      <c r="J147" s="250" t="s">
        <v>56</v>
      </c>
      <c r="K147" s="203" t="s">
        <v>172</v>
      </c>
      <c r="L147" s="210">
        <f t="shared" si="16"/>
        <v>3</v>
      </c>
      <c r="M147" s="210">
        <f t="shared" si="17"/>
        <v>3</v>
      </c>
      <c r="N147" s="207">
        <v>1</v>
      </c>
      <c r="O147" s="208">
        <v>1</v>
      </c>
      <c r="P147" s="208">
        <v>1</v>
      </c>
      <c r="Q147" s="209">
        <v>0</v>
      </c>
      <c r="R147" s="222">
        <v>1</v>
      </c>
      <c r="S147" s="314">
        <v>1</v>
      </c>
      <c r="T147" s="223">
        <v>1</v>
      </c>
      <c r="U147" s="223"/>
      <c r="V147" s="224">
        <f t="shared" si="18"/>
        <v>3</v>
      </c>
      <c r="W147" s="244">
        <f t="shared" si="19"/>
        <v>1</v>
      </c>
    </row>
    <row r="148" spans="1:23" ht="17.25" customHeight="1">
      <c r="A148" s="214"/>
      <c r="B148" s="213"/>
      <c r="C148" s="213"/>
      <c r="D148" s="213"/>
      <c r="E148" s="213"/>
      <c r="F148" s="213"/>
      <c r="G148" s="213"/>
      <c r="H148" s="213"/>
      <c r="I148" s="204" t="s">
        <v>270</v>
      </c>
      <c r="J148" s="250" t="s">
        <v>57</v>
      </c>
      <c r="K148" s="203" t="s">
        <v>177</v>
      </c>
      <c r="L148" s="210">
        <f t="shared" si="16"/>
        <v>1</v>
      </c>
      <c r="M148" s="210">
        <f t="shared" si="17"/>
        <v>1</v>
      </c>
      <c r="N148" s="207">
        <v>0</v>
      </c>
      <c r="O148" s="208">
        <v>0</v>
      </c>
      <c r="P148" s="208">
        <v>0</v>
      </c>
      <c r="Q148" s="209">
        <v>1</v>
      </c>
      <c r="R148" s="222">
        <v>0</v>
      </c>
      <c r="S148" s="314">
        <v>0</v>
      </c>
      <c r="T148" s="223">
        <v>0</v>
      </c>
      <c r="U148" s="223"/>
      <c r="V148" s="224">
        <f t="shared" si="18"/>
        <v>0</v>
      </c>
      <c r="W148" s="244">
        <f t="shared" si="19"/>
        <v>0</v>
      </c>
    </row>
    <row r="149" spans="1:23" ht="15.75" customHeight="1">
      <c r="A149" s="214"/>
      <c r="B149" s="213"/>
      <c r="C149" s="213"/>
      <c r="D149" s="213"/>
      <c r="E149" s="213"/>
      <c r="F149" s="213"/>
      <c r="G149" s="213"/>
      <c r="H149" s="213"/>
      <c r="I149" s="204" t="s">
        <v>271</v>
      </c>
      <c r="J149" s="250" t="s">
        <v>58</v>
      </c>
      <c r="K149" s="203" t="s">
        <v>269</v>
      </c>
      <c r="L149" s="210">
        <f t="shared" si="16"/>
        <v>1</v>
      </c>
      <c r="M149" s="210">
        <f t="shared" si="17"/>
        <v>1</v>
      </c>
      <c r="N149" s="207">
        <v>0</v>
      </c>
      <c r="O149" s="208">
        <v>0</v>
      </c>
      <c r="P149" s="208">
        <v>0</v>
      </c>
      <c r="Q149" s="209">
        <v>1</v>
      </c>
      <c r="R149" s="222">
        <v>0</v>
      </c>
      <c r="S149" s="314">
        <v>0</v>
      </c>
      <c r="T149" s="223">
        <v>0</v>
      </c>
      <c r="U149" s="223"/>
      <c r="V149" s="224">
        <f t="shared" si="18"/>
        <v>0</v>
      </c>
      <c r="W149" s="244">
        <f t="shared" si="19"/>
        <v>0</v>
      </c>
    </row>
    <row r="150" spans="1:23" ht="17.25" customHeight="1">
      <c r="A150" s="214"/>
      <c r="B150" s="213"/>
      <c r="C150" s="213"/>
      <c r="D150" s="213"/>
      <c r="E150" s="213"/>
      <c r="F150" s="213"/>
      <c r="G150" s="213"/>
      <c r="H150" s="213"/>
      <c r="I150" s="204" t="s">
        <v>415</v>
      </c>
      <c r="J150" s="250" t="s">
        <v>59</v>
      </c>
      <c r="K150" s="203" t="s">
        <v>175</v>
      </c>
      <c r="L150" s="210">
        <f t="shared" si="16"/>
        <v>2</v>
      </c>
      <c r="M150" s="210">
        <f t="shared" si="17"/>
        <v>2</v>
      </c>
      <c r="N150" s="207">
        <v>1</v>
      </c>
      <c r="O150" s="208">
        <v>0</v>
      </c>
      <c r="P150" s="208">
        <v>0</v>
      </c>
      <c r="Q150" s="209">
        <v>1</v>
      </c>
      <c r="R150" s="222">
        <v>1</v>
      </c>
      <c r="S150" s="314">
        <v>0</v>
      </c>
      <c r="T150" s="223">
        <v>0</v>
      </c>
      <c r="U150" s="223"/>
      <c r="V150" s="224">
        <f t="shared" si="18"/>
        <v>1</v>
      </c>
      <c r="W150" s="244">
        <f t="shared" si="19"/>
        <v>0.5</v>
      </c>
    </row>
    <row r="151" spans="1:23" ht="15.75" customHeight="1">
      <c r="A151" s="214"/>
      <c r="B151" s="213"/>
      <c r="C151" s="213"/>
      <c r="D151" s="213"/>
      <c r="E151" s="213"/>
      <c r="F151" s="213"/>
      <c r="G151" s="213"/>
      <c r="H151" s="213"/>
      <c r="I151" s="204" t="s">
        <v>272</v>
      </c>
      <c r="J151" s="250" t="s">
        <v>164</v>
      </c>
      <c r="K151" s="203" t="s">
        <v>176</v>
      </c>
      <c r="L151" s="210">
        <f t="shared" si="16"/>
        <v>12</v>
      </c>
      <c r="M151" s="210">
        <f t="shared" si="17"/>
        <v>12</v>
      </c>
      <c r="N151" s="207">
        <v>3</v>
      </c>
      <c r="O151" s="208">
        <v>3</v>
      </c>
      <c r="P151" s="208">
        <v>3</v>
      </c>
      <c r="Q151" s="209">
        <v>3</v>
      </c>
      <c r="R151" s="222">
        <v>3</v>
      </c>
      <c r="S151" s="314">
        <v>3</v>
      </c>
      <c r="T151" s="223">
        <v>3</v>
      </c>
      <c r="U151" s="223"/>
      <c r="V151" s="224">
        <f t="shared" si="18"/>
        <v>9</v>
      </c>
      <c r="W151" s="244">
        <f t="shared" si="19"/>
        <v>0.75</v>
      </c>
    </row>
    <row r="152" spans="1:23" ht="15" customHeight="1">
      <c r="A152" s="214"/>
      <c r="B152" s="213"/>
      <c r="C152" s="213"/>
      <c r="D152" s="213"/>
      <c r="E152" s="213"/>
      <c r="F152" s="213"/>
      <c r="G152" s="213"/>
      <c r="H152" s="213"/>
      <c r="I152" s="204" t="s">
        <v>273</v>
      </c>
      <c r="J152" s="250" t="s">
        <v>165</v>
      </c>
      <c r="K152" s="203" t="s">
        <v>175</v>
      </c>
      <c r="L152" s="210">
        <f t="shared" si="16"/>
        <v>12</v>
      </c>
      <c r="M152" s="210">
        <f t="shared" si="17"/>
        <v>12</v>
      </c>
      <c r="N152" s="207">
        <v>3</v>
      </c>
      <c r="O152" s="208">
        <v>3</v>
      </c>
      <c r="P152" s="208">
        <v>3</v>
      </c>
      <c r="Q152" s="209">
        <v>3</v>
      </c>
      <c r="R152" s="222">
        <v>3</v>
      </c>
      <c r="S152" s="314">
        <v>3</v>
      </c>
      <c r="T152" s="223">
        <v>3</v>
      </c>
      <c r="U152" s="223"/>
      <c r="V152" s="224">
        <f t="shared" si="18"/>
        <v>9</v>
      </c>
      <c r="W152" s="244">
        <f t="shared" si="19"/>
        <v>0.75</v>
      </c>
    </row>
    <row r="153" spans="1:23" ht="24" customHeight="1">
      <c r="A153" s="214"/>
      <c r="B153" s="213"/>
      <c r="C153" s="213"/>
      <c r="D153" s="213"/>
      <c r="E153" s="213"/>
      <c r="F153" s="213"/>
      <c r="G153" s="213"/>
      <c r="H153" s="213"/>
      <c r="I153" s="204" t="s">
        <v>274</v>
      </c>
      <c r="J153" s="250" t="s">
        <v>166</v>
      </c>
      <c r="K153" s="203" t="s">
        <v>275</v>
      </c>
      <c r="L153" s="210">
        <f t="shared" si="16"/>
        <v>1</v>
      </c>
      <c r="M153" s="210">
        <f t="shared" si="17"/>
        <v>1</v>
      </c>
      <c r="N153" s="207">
        <v>0</v>
      </c>
      <c r="O153" s="208">
        <v>0</v>
      </c>
      <c r="P153" s="208">
        <v>0</v>
      </c>
      <c r="Q153" s="209">
        <v>1</v>
      </c>
      <c r="R153" s="222">
        <v>0</v>
      </c>
      <c r="S153" s="314">
        <v>0</v>
      </c>
      <c r="T153" s="223">
        <v>0</v>
      </c>
      <c r="U153" s="223"/>
      <c r="V153" s="224">
        <f t="shared" si="18"/>
        <v>0</v>
      </c>
      <c r="W153" s="244">
        <f t="shared" si="19"/>
        <v>0</v>
      </c>
    </row>
    <row r="154" spans="1:23" ht="15.75" customHeight="1">
      <c r="A154" s="214"/>
      <c r="B154" s="213"/>
      <c r="C154" s="213"/>
      <c r="D154" s="213"/>
      <c r="E154" s="213"/>
      <c r="F154" s="213"/>
      <c r="G154" s="213"/>
      <c r="H154" s="213"/>
      <c r="I154" s="204" t="s">
        <v>339</v>
      </c>
      <c r="J154" s="250">
        <v>11</v>
      </c>
      <c r="K154" s="203" t="s">
        <v>177</v>
      </c>
      <c r="L154" s="210">
        <f t="shared" si="16"/>
        <v>1</v>
      </c>
      <c r="M154" s="210">
        <f t="shared" si="17"/>
        <v>1</v>
      </c>
      <c r="N154" s="207">
        <v>1</v>
      </c>
      <c r="O154" s="208">
        <v>0</v>
      </c>
      <c r="P154" s="208">
        <v>0</v>
      </c>
      <c r="Q154" s="209">
        <v>0</v>
      </c>
      <c r="R154" s="222">
        <v>0</v>
      </c>
      <c r="S154" s="317">
        <v>1</v>
      </c>
      <c r="T154" s="223">
        <v>0</v>
      </c>
      <c r="U154" s="223"/>
      <c r="V154" s="224">
        <f t="shared" si="18"/>
        <v>1</v>
      </c>
      <c r="W154" s="244">
        <f t="shared" si="19"/>
        <v>1</v>
      </c>
    </row>
    <row r="155" spans="1:23" ht="14.25" customHeight="1">
      <c r="A155" s="214"/>
      <c r="B155" s="213"/>
      <c r="C155" s="213"/>
      <c r="D155" s="213"/>
      <c r="E155" s="213"/>
      <c r="F155" s="213"/>
      <c r="G155" s="213"/>
      <c r="H155" s="213"/>
      <c r="I155" s="204" t="s">
        <v>414</v>
      </c>
      <c r="J155" s="250">
        <v>12</v>
      </c>
      <c r="K155" s="203" t="s">
        <v>175</v>
      </c>
      <c r="L155" s="210">
        <f t="shared" si="16"/>
        <v>3</v>
      </c>
      <c r="M155" s="210">
        <f t="shared" si="17"/>
        <v>3</v>
      </c>
      <c r="N155" s="207">
        <v>1</v>
      </c>
      <c r="O155" s="208">
        <v>1</v>
      </c>
      <c r="P155" s="208">
        <v>1</v>
      </c>
      <c r="Q155" s="209">
        <v>0</v>
      </c>
      <c r="R155" s="222">
        <v>1</v>
      </c>
      <c r="S155" s="314">
        <v>1</v>
      </c>
      <c r="T155" s="223">
        <v>1</v>
      </c>
      <c r="U155" s="223"/>
      <c r="V155" s="224">
        <f t="shared" si="18"/>
        <v>3</v>
      </c>
      <c r="W155" s="244">
        <f t="shared" si="19"/>
        <v>1</v>
      </c>
    </row>
    <row r="156" spans="1:23" ht="15" customHeight="1">
      <c r="A156" s="214"/>
      <c r="B156" s="213"/>
      <c r="C156" s="213"/>
      <c r="D156" s="213"/>
      <c r="E156" s="213"/>
      <c r="F156" s="213"/>
      <c r="G156" s="213"/>
      <c r="H156" s="213"/>
      <c r="I156" s="204" t="s">
        <v>413</v>
      </c>
      <c r="J156" s="250">
        <v>13</v>
      </c>
      <c r="K156" s="203" t="s">
        <v>175</v>
      </c>
      <c r="L156" s="210">
        <f t="shared" si="16"/>
        <v>3</v>
      </c>
      <c r="M156" s="210">
        <f t="shared" si="17"/>
        <v>3</v>
      </c>
      <c r="N156" s="207">
        <v>1</v>
      </c>
      <c r="O156" s="208">
        <v>1</v>
      </c>
      <c r="P156" s="208">
        <v>1</v>
      </c>
      <c r="Q156" s="209">
        <v>0</v>
      </c>
      <c r="R156" s="222">
        <v>1</v>
      </c>
      <c r="S156" s="314">
        <v>1</v>
      </c>
      <c r="T156" s="223">
        <v>1</v>
      </c>
      <c r="U156" s="223"/>
      <c r="V156" s="224">
        <f t="shared" si="18"/>
        <v>3</v>
      </c>
      <c r="W156" s="244">
        <f t="shared" si="19"/>
        <v>1</v>
      </c>
    </row>
    <row r="157" spans="1:23" ht="15.75" customHeight="1">
      <c r="A157" s="214"/>
      <c r="B157" s="213"/>
      <c r="C157" s="213"/>
      <c r="D157" s="213"/>
      <c r="E157" s="213"/>
      <c r="F157" s="213"/>
      <c r="G157" s="213"/>
      <c r="H157" s="213"/>
      <c r="I157" s="204" t="s">
        <v>212</v>
      </c>
      <c r="J157" s="250">
        <v>14</v>
      </c>
      <c r="K157" s="203" t="s">
        <v>175</v>
      </c>
      <c r="L157" s="210">
        <f t="shared" si="16"/>
        <v>1</v>
      </c>
      <c r="M157" s="210">
        <f t="shared" si="17"/>
        <v>1</v>
      </c>
      <c r="N157" s="207">
        <v>0</v>
      </c>
      <c r="O157" s="208">
        <v>0</v>
      </c>
      <c r="P157" s="208">
        <v>0</v>
      </c>
      <c r="Q157" s="209">
        <v>1</v>
      </c>
      <c r="R157" s="222">
        <v>0</v>
      </c>
      <c r="S157" s="314">
        <v>0</v>
      </c>
      <c r="T157" s="223">
        <v>0</v>
      </c>
      <c r="U157" s="223"/>
      <c r="V157" s="224">
        <f t="shared" si="18"/>
        <v>0</v>
      </c>
      <c r="W157" s="244">
        <f t="shared" si="19"/>
        <v>0</v>
      </c>
    </row>
    <row r="158" spans="1:23" ht="15.75" customHeight="1">
      <c r="A158" s="214"/>
      <c r="B158" s="213"/>
      <c r="C158" s="213"/>
      <c r="D158" s="213"/>
      <c r="E158" s="213"/>
      <c r="F158" s="213"/>
      <c r="G158" s="213"/>
      <c r="H158" s="213"/>
      <c r="I158" s="204" t="s">
        <v>213</v>
      </c>
      <c r="J158" s="250">
        <v>15</v>
      </c>
      <c r="K158" s="203" t="s">
        <v>175</v>
      </c>
      <c r="L158" s="210">
        <f t="shared" si="16"/>
        <v>3</v>
      </c>
      <c r="M158" s="210">
        <f t="shared" si="17"/>
        <v>3</v>
      </c>
      <c r="N158" s="207">
        <v>1</v>
      </c>
      <c r="O158" s="208">
        <v>1</v>
      </c>
      <c r="P158" s="208">
        <v>0</v>
      </c>
      <c r="Q158" s="209">
        <v>1</v>
      </c>
      <c r="R158" s="222">
        <v>1</v>
      </c>
      <c r="S158" s="314">
        <v>1</v>
      </c>
      <c r="T158" s="223">
        <v>0</v>
      </c>
      <c r="U158" s="223"/>
      <c r="V158" s="224">
        <f t="shared" si="18"/>
        <v>2</v>
      </c>
      <c r="W158" s="244">
        <f t="shared" si="19"/>
        <v>0.6666666666666666</v>
      </c>
    </row>
    <row r="159" spans="1:23" ht="19.5" customHeight="1">
      <c r="A159" s="214"/>
      <c r="B159" s="213"/>
      <c r="C159" s="213"/>
      <c r="D159" s="213"/>
      <c r="E159" s="213"/>
      <c r="F159" s="213"/>
      <c r="G159" s="213"/>
      <c r="H159" s="213"/>
      <c r="I159" s="204" t="s">
        <v>338</v>
      </c>
      <c r="J159" s="250">
        <v>16</v>
      </c>
      <c r="K159" s="203" t="s">
        <v>175</v>
      </c>
      <c r="L159" s="210">
        <f t="shared" si="16"/>
        <v>1</v>
      </c>
      <c r="M159" s="210">
        <f t="shared" si="17"/>
        <v>1</v>
      </c>
      <c r="N159" s="207">
        <v>0</v>
      </c>
      <c r="O159" s="208">
        <v>0</v>
      </c>
      <c r="P159" s="208">
        <v>0</v>
      </c>
      <c r="Q159" s="209">
        <v>1</v>
      </c>
      <c r="R159" s="222">
        <v>0</v>
      </c>
      <c r="S159" s="314">
        <v>0</v>
      </c>
      <c r="T159" s="223">
        <v>0</v>
      </c>
      <c r="U159" s="223"/>
      <c r="V159" s="224">
        <f t="shared" si="18"/>
        <v>0</v>
      </c>
      <c r="W159" s="244">
        <f t="shared" si="19"/>
        <v>0</v>
      </c>
    </row>
    <row r="160" spans="1:23" ht="14.25" customHeight="1">
      <c r="A160" s="214"/>
      <c r="B160" s="213"/>
      <c r="C160" s="213"/>
      <c r="D160" s="213"/>
      <c r="E160" s="213"/>
      <c r="F160" s="213"/>
      <c r="G160" s="213"/>
      <c r="H160" s="213"/>
      <c r="I160" s="204" t="s">
        <v>214</v>
      </c>
      <c r="J160" s="250">
        <v>17</v>
      </c>
      <c r="K160" s="203" t="s">
        <v>175</v>
      </c>
      <c r="L160" s="210">
        <f t="shared" si="16"/>
        <v>3</v>
      </c>
      <c r="M160" s="210">
        <f t="shared" si="17"/>
        <v>3</v>
      </c>
      <c r="N160" s="207">
        <v>1</v>
      </c>
      <c r="O160" s="208">
        <v>1</v>
      </c>
      <c r="P160" s="208">
        <v>0</v>
      </c>
      <c r="Q160" s="209">
        <v>1</v>
      </c>
      <c r="R160" s="222">
        <v>1</v>
      </c>
      <c r="S160" s="314">
        <v>1</v>
      </c>
      <c r="T160" s="223">
        <v>1</v>
      </c>
      <c r="U160" s="223"/>
      <c r="V160" s="224">
        <f t="shared" si="18"/>
        <v>3</v>
      </c>
      <c r="W160" s="244">
        <f t="shared" si="19"/>
        <v>1</v>
      </c>
    </row>
    <row r="161" spans="1:23" ht="16.5" customHeight="1">
      <c r="A161" s="214"/>
      <c r="B161" s="213"/>
      <c r="C161" s="213"/>
      <c r="D161" s="213"/>
      <c r="E161" s="213"/>
      <c r="F161" s="213"/>
      <c r="G161" s="213"/>
      <c r="H161" s="213"/>
      <c r="I161" s="204" t="s">
        <v>215</v>
      </c>
      <c r="J161" s="250">
        <v>18</v>
      </c>
      <c r="K161" s="203" t="s">
        <v>177</v>
      </c>
      <c r="L161" s="210">
        <f t="shared" si="16"/>
        <v>12</v>
      </c>
      <c r="M161" s="210">
        <f t="shared" si="17"/>
        <v>12</v>
      </c>
      <c r="N161" s="207">
        <v>3</v>
      </c>
      <c r="O161" s="208">
        <v>3</v>
      </c>
      <c r="P161" s="208">
        <v>3</v>
      </c>
      <c r="Q161" s="209">
        <v>3</v>
      </c>
      <c r="R161" s="222">
        <v>3</v>
      </c>
      <c r="S161" s="314">
        <v>3</v>
      </c>
      <c r="T161" s="223">
        <v>3</v>
      </c>
      <c r="U161" s="223"/>
      <c r="V161" s="224">
        <f t="shared" si="18"/>
        <v>9</v>
      </c>
      <c r="W161" s="244">
        <f t="shared" si="19"/>
        <v>0.75</v>
      </c>
    </row>
    <row r="162" spans="1:23" ht="15" customHeight="1">
      <c r="A162" s="214"/>
      <c r="B162" s="213"/>
      <c r="C162" s="213"/>
      <c r="D162" s="213"/>
      <c r="E162" s="213"/>
      <c r="F162" s="213"/>
      <c r="G162" s="213"/>
      <c r="H162" s="213"/>
      <c r="I162" s="204" t="s">
        <v>216</v>
      </c>
      <c r="J162" s="250">
        <v>19</v>
      </c>
      <c r="K162" s="203" t="s">
        <v>177</v>
      </c>
      <c r="L162" s="210">
        <f t="shared" si="16"/>
        <v>3</v>
      </c>
      <c r="M162" s="210">
        <f t="shared" si="17"/>
        <v>3</v>
      </c>
      <c r="N162" s="207">
        <v>1</v>
      </c>
      <c r="O162" s="208">
        <v>1</v>
      </c>
      <c r="P162" s="208">
        <v>1</v>
      </c>
      <c r="Q162" s="209">
        <v>0</v>
      </c>
      <c r="R162" s="222">
        <v>1</v>
      </c>
      <c r="S162" s="314">
        <v>1</v>
      </c>
      <c r="T162" s="223">
        <v>1</v>
      </c>
      <c r="U162" s="223"/>
      <c r="V162" s="224">
        <f t="shared" si="18"/>
        <v>3</v>
      </c>
      <c r="W162" s="244">
        <f t="shared" si="19"/>
        <v>1</v>
      </c>
    </row>
    <row r="163" spans="1:23" ht="15.75" customHeight="1">
      <c r="A163" s="214"/>
      <c r="B163" s="213"/>
      <c r="C163" s="213"/>
      <c r="D163" s="213"/>
      <c r="E163" s="213"/>
      <c r="F163" s="213"/>
      <c r="G163" s="213"/>
      <c r="H163" s="213"/>
      <c r="I163" s="204" t="s">
        <v>337</v>
      </c>
      <c r="J163" s="250">
        <v>20</v>
      </c>
      <c r="K163" s="203" t="s">
        <v>177</v>
      </c>
      <c r="L163" s="210">
        <f t="shared" si="16"/>
        <v>12</v>
      </c>
      <c r="M163" s="210">
        <f t="shared" si="17"/>
        <v>12</v>
      </c>
      <c r="N163" s="207">
        <v>3</v>
      </c>
      <c r="O163" s="208">
        <v>3</v>
      </c>
      <c r="P163" s="208">
        <v>3</v>
      </c>
      <c r="Q163" s="209">
        <v>3</v>
      </c>
      <c r="R163" s="222">
        <v>1</v>
      </c>
      <c r="S163" s="314">
        <v>3</v>
      </c>
      <c r="T163" s="223">
        <v>5</v>
      </c>
      <c r="U163" s="223"/>
      <c r="V163" s="224">
        <f t="shared" si="18"/>
        <v>9</v>
      </c>
      <c r="W163" s="244">
        <f t="shared" si="19"/>
        <v>0.75</v>
      </c>
    </row>
    <row r="164" spans="1:23" ht="15.75" customHeight="1">
      <c r="A164" s="214"/>
      <c r="B164" s="213"/>
      <c r="C164" s="213"/>
      <c r="D164" s="213"/>
      <c r="E164" s="213"/>
      <c r="F164" s="213"/>
      <c r="G164" s="213"/>
      <c r="H164" s="213"/>
      <c r="I164" s="204" t="s">
        <v>412</v>
      </c>
      <c r="J164" s="250">
        <v>21</v>
      </c>
      <c r="K164" s="203" t="s">
        <v>177</v>
      </c>
      <c r="L164" s="210">
        <f t="shared" si="16"/>
        <v>1</v>
      </c>
      <c r="M164" s="210">
        <f t="shared" si="17"/>
        <v>1</v>
      </c>
      <c r="N164" s="207">
        <v>1</v>
      </c>
      <c r="O164" s="208">
        <v>0</v>
      </c>
      <c r="P164" s="208">
        <v>0</v>
      </c>
      <c r="Q164" s="209">
        <v>0</v>
      </c>
      <c r="R164" s="222">
        <v>1</v>
      </c>
      <c r="S164" s="314">
        <v>0</v>
      </c>
      <c r="T164" s="223">
        <v>0</v>
      </c>
      <c r="U164" s="223"/>
      <c r="V164" s="224">
        <f t="shared" si="18"/>
        <v>1</v>
      </c>
      <c r="W164" s="244">
        <f t="shared" si="19"/>
        <v>1</v>
      </c>
    </row>
    <row r="165" spans="1:23" ht="23.25" customHeight="1">
      <c r="A165" s="214"/>
      <c r="B165" s="213"/>
      <c r="C165" s="213"/>
      <c r="D165" s="213"/>
      <c r="E165" s="213"/>
      <c r="F165" s="213"/>
      <c r="G165" s="213"/>
      <c r="H165" s="213"/>
      <c r="I165" s="204" t="s">
        <v>411</v>
      </c>
      <c r="J165" s="250">
        <v>22</v>
      </c>
      <c r="K165" s="203" t="s">
        <v>177</v>
      </c>
      <c r="L165" s="210">
        <f t="shared" si="16"/>
        <v>1</v>
      </c>
      <c r="M165" s="210">
        <f t="shared" si="17"/>
        <v>1</v>
      </c>
      <c r="N165" s="207">
        <v>0</v>
      </c>
      <c r="O165" s="208">
        <v>1</v>
      </c>
      <c r="P165" s="208">
        <v>0</v>
      </c>
      <c r="Q165" s="209">
        <v>0</v>
      </c>
      <c r="R165" s="222">
        <v>0</v>
      </c>
      <c r="S165" s="314">
        <v>1</v>
      </c>
      <c r="T165" s="223">
        <v>0</v>
      </c>
      <c r="U165" s="223"/>
      <c r="V165" s="224">
        <f t="shared" si="18"/>
        <v>1</v>
      </c>
      <c r="W165" s="244">
        <f t="shared" si="19"/>
        <v>1</v>
      </c>
    </row>
    <row r="166" spans="1:23" ht="15.75" customHeight="1">
      <c r="A166" s="214"/>
      <c r="B166" s="213"/>
      <c r="C166" s="213"/>
      <c r="D166" s="213"/>
      <c r="E166" s="213"/>
      <c r="F166" s="213"/>
      <c r="G166" s="213"/>
      <c r="H166" s="213"/>
      <c r="I166" s="204" t="s">
        <v>336</v>
      </c>
      <c r="J166" s="250">
        <v>23</v>
      </c>
      <c r="K166" s="203" t="s">
        <v>176</v>
      </c>
      <c r="L166" s="210">
        <f t="shared" si="16"/>
        <v>12</v>
      </c>
      <c r="M166" s="210">
        <f t="shared" si="17"/>
        <v>12</v>
      </c>
      <c r="N166" s="207">
        <v>3</v>
      </c>
      <c r="O166" s="208">
        <v>3</v>
      </c>
      <c r="P166" s="208">
        <v>3</v>
      </c>
      <c r="Q166" s="209">
        <v>3</v>
      </c>
      <c r="R166" s="222">
        <v>3</v>
      </c>
      <c r="S166" s="314">
        <v>3</v>
      </c>
      <c r="T166" s="223">
        <v>3</v>
      </c>
      <c r="U166" s="223"/>
      <c r="V166" s="224">
        <f t="shared" si="18"/>
        <v>9</v>
      </c>
      <c r="W166" s="244">
        <f t="shared" si="19"/>
        <v>0.75</v>
      </c>
    </row>
    <row r="167" spans="1:23" ht="15.75" customHeight="1">
      <c r="A167" s="214"/>
      <c r="B167" s="213"/>
      <c r="C167" s="213"/>
      <c r="D167" s="213"/>
      <c r="E167" s="213"/>
      <c r="F167" s="213"/>
      <c r="G167" s="213"/>
      <c r="H167" s="213"/>
      <c r="I167" s="204" t="s">
        <v>335</v>
      </c>
      <c r="J167" s="250">
        <v>24</v>
      </c>
      <c r="K167" s="203" t="s">
        <v>176</v>
      </c>
      <c r="L167" s="210">
        <f t="shared" si="16"/>
        <v>2</v>
      </c>
      <c r="M167" s="210">
        <f t="shared" si="17"/>
        <v>2</v>
      </c>
      <c r="N167" s="207">
        <v>0</v>
      </c>
      <c r="O167" s="208">
        <v>1</v>
      </c>
      <c r="P167" s="208">
        <v>0</v>
      </c>
      <c r="Q167" s="209">
        <v>1</v>
      </c>
      <c r="R167" s="222">
        <v>0</v>
      </c>
      <c r="S167" s="314">
        <v>1</v>
      </c>
      <c r="T167" s="223">
        <v>0</v>
      </c>
      <c r="U167" s="223"/>
      <c r="V167" s="224">
        <f t="shared" si="18"/>
        <v>1</v>
      </c>
      <c r="W167" s="244">
        <f t="shared" si="19"/>
        <v>0.5</v>
      </c>
    </row>
    <row r="168" spans="1:23" ht="15" customHeight="1">
      <c r="A168" s="214"/>
      <c r="B168" s="213"/>
      <c r="C168" s="213"/>
      <c r="D168" s="213"/>
      <c r="E168" s="213"/>
      <c r="F168" s="213"/>
      <c r="G168" s="213"/>
      <c r="H168" s="213"/>
      <c r="I168" s="204" t="s">
        <v>410</v>
      </c>
      <c r="J168" s="250">
        <v>25</v>
      </c>
      <c r="K168" s="203" t="s">
        <v>176</v>
      </c>
      <c r="L168" s="210">
        <f t="shared" si="16"/>
        <v>1</v>
      </c>
      <c r="M168" s="210">
        <f t="shared" si="17"/>
        <v>1</v>
      </c>
      <c r="N168" s="207">
        <v>1</v>
      </c>
      <c r="O168" s="208">
        <v>0</v>
      </c>
      <c r="P168" s="208">
        <v>0</v>
      </c>
      <c r="Q168" s="209">
        <v>0</v>
      </c>
      <c r="R168" s="222">
        <v>1</v>
      </c>
      <c r="S168" s="314">
        <v>0</v>
      </c>
      <c r="T168" s="223">
        <v>0</v>
      </c>
      <c r="U168" s="223"/>
      <c r="V168" s="224">
        <f t="shared" si="18"/>
        <v>1</v>
      </c>
      <c r="W168" s="244">
        <f t="shared" si="19"/>
        <v>1</v>
      </c>
    </row>
    <row r="169" spans="1:23" ht="18" customHeight="1">
      <c r="A169" s="214"/>
      <c r="B169" s="213"/>
      <c r="C169" s="213"/>
      <c r="D169" s="213"/>
      <c r="E169" s="213"/>
      <c r="F169" s="213"/>
      <c r="G169" s="213"/>
      <c r="H169" s="213"/>
      <c r="I169" s="204" t="s">
        <v>409</v>
      </c>
      <c r="J169" s="250">
        <v>26</v>
      </c>
      <c r="K169" s="203" t="s">
        <v>176</v>
      </c>
      <c r="L169" s="210">
        <f t="shared" si="16"/>
        <v>3</v>
      </c>
      <c r="M169" s="210">
        <f t="shared" si="17"/>
        <v>3</v>
      </c>
      <c r="N169" s="207">
        <v>0</v>
      </c>
      <c r="O169" s="208">
        <v>1</v>
      </c>
      <c r="P169" s="208">
        <v>1</v>
      </c>
      <c r="Q169" s="209">
        <v>1</v>
      </c>
      <c r="R169" s="222">
        <v>0</v>
      </c>
      <c r="S169" s="314">
        <v>1</v>
      </c>
      <c r="T169" s="343">
        <v>1</v>
      </c>
      <c r="U169" s="223"/>
      <c r="V169" s="224">
        <f t="shared" si="18"/>
        <v>2</v>
      </c>
      <c r="W169" s="244">
        <f t="shared" si="19"/>
        <v>0.6666666666666666</v>
      </c>
    </row>
    <row r="170" spans="1:23" ht="14.25" customHeight="1">
      <c r="A170" s="214"/>
      <c r="B170" s="213"/>
      <c r="C170" s="213"/>
      <c r="D170" s="213"/>
      <c r="E170" s="213"/>
      <c r="F170" s="213"/>
      <c r="G170" s="213"/>
      <c r="H170" s="213"/>
      <c r="I170" s="204" t="s">
        <v>408</v>
      </c>
      <c r="J170" s="250">
        <v>27</v>
      </c>
      <c r="K170" s="203" t="s">
        <v>406</v>
      </c>
      <c r="L170" s="210">
        <f t="shared" si="16"/>
        <v>1</v>
      </c>
      <c r="M170" s="210">
        <f t="shared" si="17"/>
        <v>1</v>
      </c>
      <c r="N170" s="207">
        <v>0</v>
      </c>
      <c r="O170" s="208">
        <v>0</v>
      </c>
      <c r="P170" s="208">
        <v>1</v>
      </c>
      <c r="Q170" s="209">
        <v>0</v>
      </c>
      <c r="R170" s="222">
        <v>0</v>
      </c>
      <c r="S170" s="314">
        <v>0</v>
      </c>
      <c r="T170" s="223">
        <v>1</v>
      </c>
      <c r="U170" s="223"/>
      <c r="V170" s="224">
        <f t="shared" si="18"/>
        <v>1</v>
      </c>
      <c r="W170" s="244">
        <f t="shared" si="19"/>
        <v>1</v>
      </c>
    </row>
    <row r="171" spans="1:23" ht="26.25" customHeight="1">
      <c r="A171" s="214"/>
      <c r="B171" s="213"/>
      <c r="C171" s="213"/>
      <c r="D171" s="213"/>
      <c r="E171" s="213"/>
      <c r="F171" s="213"/>
      <c r="G171" s="213"/>
      <c r="H171" s="213"/>
      <c r="I171" s="204" t="s">
        <v>407</v>
      </c>
      <c r="J171" s="250">
        <v>28</v>
      </c>
      <c r="K171" s="203" t="s">
        <v>406</v>
      </c>
      <c r="L171" s="210">
        <f t="shared" si="16"/>
        <v>1</v>
      </c>
      <c r="M171" s="210">
        <f t="shared" si="17"/>
        <v>1</v>
      </c>
      <c r="N171" s="207">
        <v>0</v>
      </c>
      <c r="O171" s="208">
        <v>0</v>
      </c>
      <c r="P171" s="208">
        <v>1</v>
      </c>
      <c r="Q171" s="209">
        <v>0</v>
      </c>
      <c r="R171" s="222">
        <v>0</v>
      </c>
      <c r="S171" s="314">
        <v>0</v>
      </c>
      <c r="T171" s="223">
        <v>1</v>
      </c>
      <c r="U171" s="223"/>
      <c r="V171" s="224">
        <f t="shared" si="18"/>
        <v>1</v>
      </c>
      <c r="W171" s="244">
        <f t="shared" si="19"/>
        <v>1</v>
      </c>
    </row>
    <row r="172" spans="1:23" ht="12" customHeight="1">
      <c r="A172" s="214"/>
      <c r="B172" s="213"/>
      <c r="C172" s="213"/>
      <c r="D172" s="213"/>
      <c r="E172" s="213"/>
      <c r="F172" s="213"/>
      <c r="G172" s="213"/>
      <c r="H172" s="213"/>
      <c r="I172" s="204" t="s">
        <v>405</v>
      </c>
      <c r="J172" s="250">
        <v>29</v>
      </c>
      <c r="K172" s="203" t="s">
        <v>176</v>
      </c>
      <c r="L172" s="210">
        <f t="shared" si="16"/>
        <v>1</v>
      </c>
      <c r="M172" s="210">
        <f t="shared" si="17"/>
        <v>1</v>
      </c>
      <c r="N172" s="207">
        <v>0</v>
      </c>
      <c r="O172" s="208">
        <v>0</v>
      </c>
      <c r="P172" s="208">
        <v>1</v>
      </c>
      <c r="Q172" s="209">
        <v>0</v>
      </c>
      <c r="R172" s="222">
        <v>0</v>
      </c>
      <c r="S172" s="314">
        <v>0</v>
      </c>
      <c r="T172" s="223">
        <v>1</v>
      </c>
      <c r="U172" s="223"/>
      <c r="V172" s="224">
        <f t="shared" si="18"/>
        <v>1</v>
      </c>
      <c r="W172" s="244">
        <f t="shared" si="19"/>
        <v>1</v>
      </c>
    </row>
    <row r="173" spans="1:23" ht="16.5" customHeight="1">
      <c r="A173" s="214"/>
      <c r="B173" s="213"/>
      <c r="C173" s="213"/>
      <c r="D173" s="213"/>
      <c r="E173" s="213"/>
      <c r="F173" s="213"/>
      <c r="G173" s="213"/>
      <c r="H173" s="213"/>
      <c r="I173" s="204" t="s">
        <v>334</v>
      </c>
      <c r="J173" s="250">
        <v>30</v>
      </c>
      <c r="K173" s="203" t="s">
        <v>176</v>
      </c>
      <c r="L173" s="210">
        <f t="shared" si="16"/>
        <v>1</v>
      </c>
      <c r="M173" s="210">
        <f t="shared" si="17"/>
        <v>1</v>
      </c>
      <c r="N173" s="207">
        <v>0</v>
      </c>
      <c r="O173" s="208">
        <v>0</v>
      </c>
      <c r="P173" s="208">
        <v>1</v>
      </c>
      <c r="Q173" s="209">
        <v>0</v>
      </c>
      <c r="R173" s="222">
        <v>0</v>
      </c>
      <c r="S173" s="314">
        <v>0</v>
      </c>
      <c r="T173" s="223">
        <v>1</v>
      </c>
      <c r="U173" s="223"/>
      <c r="V173" s="224">
        <f t="shared" si="18"/>
        <v>1</v>
      </c>
      <c r="W173" s="244">
        <f t="shared" si="19"/>
        <v>1</v>
      </c>
    </row>
    <row r="174" spans="1:23" ht="13.5" customHeight="1">
      <c r="A174" s="214"/>
      <c r="B174" s="213"/>
      <c r="C174" s="213"/>
      <c r="D174" s="213"/>
      <c r="E174" s="213"/>
      <c r="F174" s="213"/>
      <c r="G174" s="213"/>
      <c r="H174" s="213"/>
      <c r="I174" s="204" t="s">
        <v>217</v>
      </c>
      <c r="J174" s="250">
        <v>31</v>
      </c>
      <c r="K174" s="203" t="s">
        <v>176</v>
      </c>
      <c r="L174" s="210">
        <f t="shared" si="16"/>
        <v>12</v>
      </c>
      <c r="M174" s="210">
        <f t="shared" si="17"/>
        <v>12</v>
      </c>
      <c r="N174" s="207">
        <v>3</v>
      </c>
      <c r="O174" s="208">
        <v>3</v>
      </c>
      <c r="P174" s="208">
        <v>3</v>
      </c>
      <c r="Q174" s="209">
        <v>3</v>
      </c>
      <c r="R174" s="222">
        <v>3</v>
      </c>
      <c r="S174" s="314">
        <v>3</v>
      </c>
      <c r="T174" s="223">
        <v>3</v>
      </c>
      <c r="U174" s="223"/>
      <c r="V174" s="224">
        <f t="shared" si="18"/>
        <v>9</v>
      </c>
      <c r="W174" s="244">
        <f t="shared" si="19"/>
        <v>0.75</v>
      </c>
    </row>
    <row r="175" spans="1:23" ht="15" customHeight="1">
      <c r="A175" s="214"/>
      <c r="B175" s="213"/>
      <c r="C175" s="213"/>
      <c r="D175" s="213"/>
      <c r="E175" s="213"/>
      <c r="F175" s="213"/>
      <c r="G175" s="213"/>
      <c r="H175" s="213"/>
      <c r="I175" s="204" t="s">
        <v>218</v>
      </c>
      <c r="J175" s="250">
        <v>32</v>
      </c>
      <c r="K175" s="203" t="s">
        <v>176</v>
      </c>
      <c r="L175" s="210">
        <f t="shared" si="16"/>
        <v>12</v>
      </c>
      <c r="M175" s="210">
        <f t="shared" si="17"/>
        <v>12</v>
      </c>
      <c r="N175" s="207">
        <v>3</v>
      </c>
      <c r="O175" s="208">
        <v>3</v>
      </c>
      <c r="P175" s="208">
        <v>3</v>
      </c>
      <c r="Q175" s="209">
        <v>3</v>
      </c>
      <c r="R175" s="222">
        <v>3</v>
      </c>
      <c r="S175" s="314">
        <v>3</v>
      </c>
      <c r="T175" s="223">
        <v>3</v>
      </c>
      <c r="U175" s="223"/>
      <c r="V175" s="224">
        <f t="shared" si="18"/>
        <v>9</v>
      </c>
      <c r="W175" s="244">
        <f t="shared" si="19"/>
        <v>0.75</v>
      </c>
    </row>
    <row r="176" spans="1:23" ht="23.25" customHeight="1">
      <c r="A176" s="214"/>
      <c r="B176" s="213"/>
      <c r="C176" s="213"/>
      <c r="D176" s="213"/>
      <c r="E176" s="213"/>
      <c r="F176" s="213"/>
      <c r="G176" s="213"/>
      <c r="H176" s="213"/>
      <c r="I176" s="204" t="s">
        <v>219</v>
      </c>
      <c r="J176" s="250" t="s">
        <v>204</v>
      </c>
      <c r="K176" s="203" t="s">
        <v>220</v>
      </c>
      <c r="L176" s="210">
        <f t="shared" si="16"/>
        <v>4</v>
      </c>
      <c r="M176" s="210">
        <f t="shared" si="17"/>
        <v>4</v>
      </c>
      <c r="N176" s="207">
        <v>1</v>
      </c>
      <c r="O176" s="208">
        <v>1</v>
      </c>
      <c r="P176" s="208">
        <v>1</v>
      </c>
      <c r="Q176" s="209">
        <v>1</v>
      </c>
      <c r="R176" s="222">
        <v>1</v>
      </c>
      <c r="S176" s="314">
        <v>1</v>
      </c>
      <c r="T176" s="223">
        <v>0</v>
      </c>
      <c r="U176" s="223"/>
      <c r="V176" s="224">
        <f t="shared" si="18"/>
        <v>2</v>
      </c>
      <c r="W176" s="244">
        <f t="shared" si="19"/>
        <v>0.5</v>
      </c>
    </row>
    <row r="177" spans="1:23" ht="16.5" customHeight="1">
      <c r="A177" s="214"/>
      <c r="B177" s="213"/>
      <c r="C177" s="213"/>
      <c r="D177" s="213"/>
      <c r="E177" s="213"/>
      <c r="F177" s="213"/>
      <c r="G177" s="213"/>
      <c r="H177" s="213"/>
      <c r="I177" s="204" t="s">
        <v>276</v>
      </c>
      <c r="J177" s="250" t="s">
        <v>205</v>
      </c>
      <c r="K177" s="203" t="s">
        <v>386</v>
      </c>
      <c r="L177" s="210">
        <f t="shared" si="16"/>
        <v>1</v>
      </c>
      <c r="M177" s="210">
        <f t="shared" si="17"/>
        <v>1</v>
      </c>
      <c r="N177" s="207">
        <v>0</v>
      </c>
      <c r="O177" s="208">
        <v>1</v>
      </c>
      <c r="P177" s="208">
        <v>0</v>
      </c>
      <c r="Q177" s="209">
        <v>0</v>
      </c>
      <c r="R177" s="222">
        <v>0</v>
      </c>
      <c r="S177" s="314">
        <v>1</v>
      </c>
      <c r="T177" s="223">
        <v>0</v>
      </c>
      <c r="U177" s="223"/>
      <c r="V177" s="224">
        <f t="shared" si="18"/>
        <v>1</v>
      </c>
      <c r="W177" s="244">
        <f t="shared" si="19"/>
        <v>1</v>
      </c>
    </row>
    <row r="178" spans="1:23" ht="16.5" customHeight="1">
      <c r="A178" s="214"/>
      <c r="B178" s="213"/>
      <c r="C178" s="213"/>
      <c r="D178" s="213"/>
      <c r="E178" s="213"/>
      <c r="F178" s="213"/>
      <c r="G178" s="213"/>
      <c r="H178" s="213"/>
      <c r="I178" s="204" t="s">
        <v>404</v>
      </c>
      <c r="J178" s="250" t="s">
        <v>206</v>
      </c>
      <c r="K178" s="203" t="s">
        <v>176</v>
      </c>
      <c r="L178" s="210">
        <f t="shared" si="16"/>
        <v>12</v>
      </c>
      <c r="M178" s="210">
        <f t="shared" si="17"/>
        <v>12</v>
      </c>
      <c r="N178" s="207">
        <v>3</v>
      </c>
      <c r="O178" s="208">
        <v>3</v>
      </c>
      <c r="P178" s="208">
        <v>3</v>
      </c>
      <c r="Q178" s="209">
        <v>3</v>
      </c>
      <c r="R178" s="222">
        <v>3</v>
      </c>
      <c r="S178" s="314">
        <v>3</v>
      </c>
      <c r="T178" s="223">
        <v>3</v>
      </c>
      <c r="U178" s="223"/>
      <c r="V178" s="224">
        <f t="shared" si="18"/>
        <v>9</v>
      </c>
      <c r="W178" s="244">
        <f t="shared" si="19"/>
        <v>0.75</v>
      </c>
    </row>
    <row r="179" spans="1:23" ht="16.5" customHeight="1">
      <c r="A179" s="214"/>
      <c r="B179" s="213"/>
      <c r="C179" s="213"/>
      <c r="D179" s="213"/>
      <c r="E179" s="213"/>
      <c r="F179" s="213"/>
      <c r="G179" s="213"/>
      <c r="H179" s="213"/>
      <c r="I179" s="204" t="s">
        <v>403</v>
      </c>
      <c r="J179" s="250">
        <v>36</v>
      </c>
      <c r="K179" s="203" t="s">
        <v>176</v>
      </c>
      <c r="L179" s="210">
        <f t="shared" si="16"/>
        <v>4</v>
      </c>
      <c r="M179" s="210">
        <f t="shared" si="17"/>
        <v>4</v>
      </c>
      <c r="N179" s="207">
        <v>1</v>
      </c>
      <c r="O179" s="208">
        <v>1</v>
      </c>
      <c r="P179" s="208">
        <v>1</v>
      </c>
      <c r="Q179" s="209">
        <v>1</v>
      </c>
      <c r="R179" s="222">
        <v>1</v>
      </c>
      <c r="S179" s="314">
        <v>1</v>
      </c>
      <c r="T179" s="223">
        <v>1</v>
      </c>
      <c r="U179" s="223"/>
      <c r="V179" s="224">
        <f t="shared" si="18"/>
        <v>3</v>
      </c>
      <c r="W179" s="244">
        <f t="shared" si="19"/>
        <v>0.75</v>
      </c>
    </row>
    <row r="180" spans="1:23" ht="15" customHeight="1">
      <c r="A180" s="214"/>
      <c r="B180" s="213"/>
      <c r="C180" s="213"/>
      <c r="D180" s="213"/>
      <c r="E180" s="213"/>
      <c r="F180" s="213"/>
      <c r="G180" s="213"/>
      <c r="H180" s="213"/>
      <c r="I180" s="204" t="s">
        <v>402</v>
      </c>
      <c r="J180" s="250">
        <v>37</v>
      </c>
      <c r="K180" s="203" t="s">
        <v>175</v>
      </c>
      <c r="L180" s="210">
        <f t="shared" si="16"/>
        <v>1</v>
      </c>
      <c r="M180" s="210">
        <f t="shared" si="17"/>
        <v>1</v>
      </c>
      <c r="N180" s="207">
        <v>0</v>
      </c>
      <c r="O180" s="208">
        <v>0</v>
      </c>
      <c r="P180" s="208">
        <v>0</v>
      </c>
      <c r="Q180" s="209">
        <v>1</v>
      </c>
      <c r="R180" s="222">
        <v>0</v>
      </c>
      <c r="S180" s="314">
        <v>0</v>
      </c>
      <c r="T180" s="223">
        <v>0</v>
      </c>
      <c r="U180" s="223"/>
      <c r="V180" s="224">
        <f t="shared" si="18"/>
        <v>0</v>
      </c>
      <c r="W180" s="244">
        <f t="shared" si="19"/>
        <v>0</v>
      </c>
    </row>
    <row r="181" spans="1:23" ht="14.25" customHeight="1">
      <c r="A181" s="214"/>
      <c r="B181" s="213"/>
      <c r="C181" s="213"/>
      <c r="D181" s="213"/>
      <c r="E181" s="213"/>
      <c r="F181" s="213"/>
      <c r="G181" s="213"/>
      <c r="H181" s="213"/>
      <c r="I181" s="204" t="s">
        <v>401</v>
      </c>
      <c r="J181" s="250">
        <v>38</v>
      </c>
      <c r="K181" s="203" t="s">
        <v>175</v>
      </c>
      <c r="L181" s="210">
        <f t="shared" si="16"/>
        <v>1</v>
      </c>
      <c r="M181" s="210">
        <f t="shared" si="17"/>
        <v>1</v>
      </c>
      <c r="N181" s="207">
        <v>0</v>
      </c>
      <c r="O181" s="208">
        <v>0</v>
      </c>
      <c r="P181" s="208">
        <v>0</v>
      </c>
      <c r="Q181" s="209">
        <v>1</v>
      </c>
      <c r="R181" s="222">
        <v>0</v>
      </c>
      <c r="S181" s="314">
        <v>0</v>
      </c>
      <c r="T181" s="223">
        <v>0</v>
      </c>
      <c r="U181" s="223"/>
      <c r="V181" s="224">
        <f t="shared" si="18"/>
        <v>0</v>
      </c>
      <c r="W181" s="244">
        <f t="shared" si="19"/>
        <v>0</v>
      </c>
    </row>
    <row r="182" spans="1:23" ht="16.5" customHeight="1">
      <c r="A182" s="214"/>
      <c r="B182" s="213"/>
      <c r="C182" s="213"/>
      <c r="D182" s="213"/>
      <c r="E182" s="213"/>
      <c r="F182" s="213"/>
      <c r="G182" s="213"/>
      <c r="H182" s="213"/>
      <c r="I182" s="225" t="s">
        <v>277</v>
      </c>
      <c r="J182" s="250">
        <v>39</v>
      </c>
      <c r="K182" s="203" t="s">
        <v>177</v>
      </c>
      <c r="L182" s="210">
        <f t="shared" si="16"/>
        <v>12</v>
      </c>
      <c r="M182" s="210">
        <f t="shared" si="17"/>
        <v>12</v>
      </c>
      <c r="N182" s="207">
        <v>3</v>
      </c>
      <c r="O182" s="208">
        <v>3</v>
      </c>
      <c r="P182" s="208">
        <v>3</v>
      </c>
      <c r="Q182" s="209">
        <v>3</v>
      </c>
      <c r="R182" s="222">
        <v>3</v>
      </c>
      <c r="S182" s="314">
        <v>3</v>
      </c>
      <c r="T182" s="223">
        <v>3</v>
      </c>
      <c r="U182" s="223"/>
      <c r="V182" s="224">
        <f t="shared" si="18"/>
        <v>9</v>
      </c>
      <c r="W182" s="244">
        <f t="shared" si="19"/>
        <v>0.75</v>
      </c>
    </row>
    <row r="183" spans="1:23" ht="24.75" customHeight="1">
      <c r="A183" s="214"/>
      <c r="B183" s="213"/>
      <c r="C183" s="213"/>
      <c r="D183" s="213"/>
      <c r="E183" s="213"/>
      <c r="F183" s="213"/>
      <c r="G183" s="213"/>
      <c r="H183" s="213"/>
      <c r="I183" s="225" t="s">
        <v>221</v>
      </c>
      <c r="J183" s="250">
        <v>40</v>
      </c>
      <c r="K183" s="203" t="s">
        <v>177</v>
      </c>
      <c r="L183" s="210">
        <f t="shared" si="16"/>
        <v>1</v>
      </c>
      <c r="M183" s="210">
        <f t="shared" si="17"/>
        <v>1</v>
      </c>
      <c r="N183" s="207">
        <v>0</v>
      </c>
      <c r="O183" s="208">
        <v>0</v>
      </c>
      <c r="P183" s="208">
        <v>0</v>
      </c>
      <c r="Q183" s="209">
        <v>1</v>
      </c>
      <c r="R183" s="222">
        <v>0</v>
      </c>
      <c r="S183" s="314">
        <v>0</v>
      </c>
      <c r="T183" s="223">
        <v>0</v>
      </c>
      <c r="U183" s="223"/>
      <c r="V183" s="224">
        <f t="shared" si="18"/>
        <v>0</v>
      </c>
      <c r="W183" s="244">
        <f t="shared" si="19"/>
        <v>0</v>
      </c>
    </row>
    <row r="184" spans="1:23" ht="23.25" customHeight="1">
      <c r="A184" s="214"/>
      <c r="B184" s="213"/>
      <c r="C184" s="213"/>
      <c r="D184" s="213"/>
      <c r="E184" s="213"/>
      <c r="F184" s="213"/>
      <c r="G184" s="213"/>
      <c r="H184" s="213"/>
      <c r="I184" s="225" t="s">
        <v>222</v>
      </c>
      <c r="J184" s="250">
        <v>41</v>
      </c>
      <c r="K184" s="203" t="s">
        <v>176</v>
      </c>
      <c r="L184" s="210">
        <f t="shared" si="16"/>
        <v>1</v>
      </c>
      <c r="M184" s="210">
        <f t="shared" si="17"/>
        <v>1</v>
      </c>
      <c r="N184" s="207">
        <v>0</v>
      </c>
      <c r="O184" s="208">
        <v>0</v>
      </c>
      <c r="P184" s="208">
        <v>1</v>
      </c>
      <c r="Q184" s="209">
        <v>0</v>
      </c>
      <c r="R184" s="222">
        <v>0</v>
      </c>
      <c r="S184" s="314">
        <v>0</v>
      </c>
      <c r="T184" s="223">
        <v>1</v>
      </c>
      <c r="U184" s="223"/>
      <c r="V184" s="224">
        <f t="shared" si="18"/>
        <v>1</v>
      </c>
      <c r="W184" s="244">
        <f t="shared" si="19"/>
        <v>1</v>
      </c>
    </row>
    <row r="185" spans="1:23" ht="15.75" customHeight="1">
      <c r="A185" s="214"/>
      <c r="B185" s="213"/>
      <c r="C185" s="213"/>
      <c r="D185" s="213"/>
      <c r="E185" s="213"/>
      <c r="F185" s="213"/>
      <c r="G185" s="213"/>
      <c r="H185" s="213"/>
      <c r="I185" s="225" t="s">
        <v>223</v>
      </c>
      <c r="J185" s="250">
        <v>42</v>
      </c>
      <c r="K185" s="203" t="s">
        <v>177</v>
      </c>
      <c r="L185" s="210">
        <f t="shared" si="16"/>
        <v>1</v>
      </c>
      <c r="M185" s="210">
        <f t="shared" si="17"/>
        <v>1</v>
      </c>
      <c r="N185" s="207">
        <v>0</v>
      </c>
      <c r="O185" s="208">
        <v>0</v>
      </c>
      <c r="P185" s="208">
        <v>0</v>
      </c>
      <c r="Q185" s="209">
        <v>1</v>
      </c>
      <c r="R185" s="222">
        <v>0</v>
      </c>
      <c r="S185" s="314">
        <v>0</v>
      </c>
      <c r="T185" s="223">
        <v>0</v>
      </c>
      <c r="U185" s="223"/>
      <c r="V185" s="224">
        <f t="shared" si="18"/>
        <v>0</v>
      </c>
      <c r="W185" s="244">
        <f t="shared" si="19"/>
        <v>0</v>
      </c>
    </row>
    <row r="186" spans="1:23" ht="15" customHeight="1">
      <c r="A186" s="214"/>
      <c r="B186" s="213"/>
      <c r="C186" s="213"/>
      <c r="D186" s="213"/>
      <c r="E186" s="213"/>
      <c r="F186" s="213"/>
      <c r="G186" s="213"/>
      <c r="H186" s="213"/>
      <c r="I186" s="225" t="s">
        <v>278</v>
      </c>
      <c r="J186" s="250">
        <v>43</v>
      </c>
      <c r="K186" s="203" t="s">
        <v>176</v>
      </c>
      <c r="L186" s="210">
        <f t="shared" si="16"/>
        <v>4</v>
      </c>
      <c r="M186" s="210">
        <f t="shared" si="17"/>
        <v>4</v>
      </c>
      <c r="N186" s="207">
        <v>1</v>
      </c>
      <c r="O186" s="208">
        <v>1</v>
      </c>
      <c r="P186" s="208">
        <v>1</v>
      </c>
      <c r="Q186" s="209">
        <v>1</v>
      </c>
      <c r="R186" s="222">
        <v>1</v>
      </c>
      <c r="S186" s="314">
        <v>1</v>
      </c>
      <c r="T186" s="223">
        <v>1</v>
      </c>
      <c r="U186" s="223"/>
      <c r="V186" s="224">
        <f t="shared" si="18"/>
        <v>3</v>
      </c>
      <c r="W186" s="244">
        <f t="shared" si="19"/>
        <v>0.75</v>
      </c>
    </row>
    <row r="187" spans="1:23" ht="17.25" customHeight="1">
      <c r="A187" s="214"/>
      <c r="B187" s="213"/>
      <c r="C187" s="213"/>
      <c r="D187" s="213"/>
      <c r="E187" s="213"/>
      <c r="F187" s="213"/>
      <c r="G187" s="213"/>
      <c r="H187" s="213"/>
      <c r="I187" s="225" t="s">
        <v>224</v>
      </c>
      <c r="J187" s="250">
        <v>44</v>
      </c>
      <c r="K187" s="203" t="s">
        <v>177</v>
      </c>
      <c r="L187" s="210">
        <f t="shared" si="16"/>
        <v>2</v>
      </c>
      <c r="M187" s="210">
        <f t="shared" si="17"/>
        <v>2</v>
      </c>
      <c r="N187" s="207">
        <v>0</v>
      </c>
      <c r="O187" s="208">
        <v>1</v>
      </c>
      <c r="P187" s="208">
        <v>0</v>
      </c>
      <c r="Q187" s="209">
        <v>1</v>
      </c>
      <c r="R187" s="222">
        <v>0</v>
      </c>
      <c r="S187" s="314">
        <v>1</v>
      </c>
      <c r="T187" s="223">
        <v>0</v>
      </c>
      <c r="U187" s="223"/>
      <c r="V187" s="224">
        <f t="shared" si="18"/>
        <v>1</v>
      </c>
      <c r="W187" s="244">
        <f t="shared" si="19"/>
        <v>0.5</v>
      </c>
    </row>
    <row r="188" spans="1:23" ht="16.5" customHeight="1">
      <c r="A188" s="214"/>
      <c r="B188" s="213"/>
      <c r="C188" s="213"/>
      <c r="D188" s="213"/>
      <c r="E188" s="213"/>
      <c r="F188" s="213"/>
      <c r="G188" s="213"/>
      <c r="H188" s="213"/>
      <c r="I188" s="225" t="s">
        <v>225</v>
      </c>
      <c r="J188" s="250">
        <v>45</v>
      </c>
      <c r="K188" s="203" t="s">
        <v>177</v>
      </c>
      <c r="L188" s="210">
        <f t="shared" si="16"/>
        <v>2</v>
      </c>
      <c r="M188" s="210">
        <f t="shared" si="17"/>
        <v>2</v>
      </c>
      <c r="N188" s="207">
        <v>0</v>
      </c>
      <c r="O188" s="208">
        <v>1</v>
      </c>
      <c r="P188" s="208">
        <v>0</v>
      </c>
      <c r="Q188" s="209">
        <v>1</v>
      </c>
      <c r="R188" s="222">
        <v>0</v>
      </c>
      <c r="S188" s="314">
        <v>1</v>
      </c>
      <c r="T188" s="223">
        <v>0</v>
      </c>
      <c r="U188" s="223"/>
      <c r="V188" s="224">
        <f t="shared" si="18"/>
        <v>1</v>
      </c>
      <c r="W188" s="244">
        <f t="shared" si="19"/>
        <v>0.5</v>
      </c>
    </row>
    <row r="189" spans="1:23" ht="22.5" customHeight="1">
      <c r="A189" s="214"/>
      <c r="B189" s="213"/>
      <c r="C189" s="213"/>
      <c r="D189" s="213"/>
      <c r="E189" s="213"/>
      <c r="F189" s="213"/>
      <c r="G189" s="213"/>
      <c r="H189" s="213"/>
      <c r="I189" s="225" t="s">
        <v>494</v>
      </c>
      <c r="J189" s="250">
        <v>46</v>
      </c>
      <c r="K189" s="203" t="s">
        <v>175</v>
      </c>
      <c r="L189" s="210">
        <f t="shared" si="16"/>
        <v>1</v>
      </c>
      <c r="M189" s="210">
        <f t="shared" si="17"/>
        <v>1</v>
      </c>
      <c r="N189" s="207">
        <v>0</v>
      </c>
      <c r="O189" s="208">
        <v>0</v>
      </c>
      <c r="P189" s="208">
        <v>1</v>
      </c>
      <c r="Q189" s="209">
        <v>0</v>
      </c>
      <c r="R189" s="222">
        <v>0</v>
      </c>
      <c r="S189" s="314">
        <v>0</v>
      </c>
      <c r="T189" s="223">
        <v>1</v>
      </c>
      <c r="U189" s="223"/>
      <c r="V189" s="224">
        <f t="shared" si="18"/>
        <v>1</v>
      </c>
      <c r="W189" s="244">
        <f t="shared" si="19"/>
        <v>1</v>
      </c>
    </row>
    <row r="190" spans="1:23" ht="22.5" customHeight="1">
      <c r="A190" s="214"/>
      <c r="B190" s="213"/>
      <c r="C190" s="213"/>
      <c r="D190" s="213"/>
      <c r="E190" s="213"/>
      <c r="F190" s="213"/>
      <c r="G190" s="213"/>
      <c r="H190" s="213"/>
      <c r="I190" s="225" t="s">
        <v>226</v>
      </c>
      <c r="J190" s="250">
        <v>47</v>
      </c>
      <c r="K190" s="227" t="s">
        <v>175</v>
      </c>
      <c r="L190" s="207">
        <f t="shared" si="16"/>
        <v>6</v>
      </c>
      <c r="M190" s="210">
        <f t="shared" si="17"/>
        <v>6</v>
      </c>
      <c r="N190" s="207">
        <v>2</v>
      </c>
      <c r="O190" s="208">
        <v>1</v>
      </c>
      <c r="P190" s="208">
        <v>2</v>
      </c>
      <c r="Q190" s="209">
        <v>1</v>
      </c>
      <c r="R190" s="222">
        <v>2</v>
      </c>
      <c r="S190" s="314">
        <v>1</v>
      </c>
      <c r="T190" s="223">
        <v>2</v>
      </c>
      <c r="U190" s="223"/>
      <c r="V190" s="224">
        <f t="shared" si="18"/>
        <v>5</v>
      </c>
      <c r="W190" s="244">
        <f t="shared" si="19"/>
        <v>0.8333333333333334</v>
      </c>
    </row>
    <row r="191" spans="1:23" ht="15" customHeight="1">
      <c r="A191" s="214"/>
      <c r="B191" s="213"/>
      <c r="C191" s="213"/>
      <c r="D191" s="213"/>
      <c r="E191" s="213"/>
      <c r="F191" s="213"/>
      <c r="G191" s="213"/>
      <c r="H191" s="226"/>
      <c r="I191" s="225" t="s">
        <v>400</v>
      </c>
      <c r="J191" s="250">
        <v>48</v>
      </c>
      <c r="K191" s="227" t="s">
        <v>177</v>
      </c>
      <c r="L191" s="207">
        <f t="shared" si="16"/>
        <v>1</v>
      </c>
      <c r="M191" s="210">
        <f t="shared" si="17"/>
        <v>1</v>
      </c>
      <c r="N191" s="207">
        <v>0</v>
      </c>
      <c r="O191" s="208">
        <v>0</v>
      </c>
      <c r="P191" s="208">
        <v>0</v>
      </c>
      <c r="Q191" s="209">
        <v>1</v>
      </c>
      <c r="R191" s="222">
        <v>0</v>
      </c>
      <c r="S191" s="314">
        <v>0</v>
      </c>
      <c r="T191" s="223">
        <v>0</v>
      </c>
      <c r="U191" s="223"/>
      <c r="V191" s="224">
        <f t="shared" si="18"/>
        <v>0</v>
      </c>
      <c r="W191" s="244">
        <f t="shared" si="19"/>
        <v>0</v>
      </c>
    </row>
    <row r="192" spans="1:23" ht="21" customHeight="1">
      <c r="A192" s="214"/>
      <c r="B192" s="213"/>
      <c r="C192" s="213"/>
      <c r="D192" s="213"/>
      <c r="E192" s="213"/>
      <c r="F192" s="213"/>
      <c r="G192" s="213"/>
      <c r="H192" s="226"/>
      <c r="I192" s="225" t="s">
        <v>399</v>
      </c>
      <c r="J192" s="250">
        <v>49</v>
      </c>
      <c r="K192" s="205" t="s">
        <v>177</v>
      </c>
      <c r="L192" s="207">
        <f t="shared" si="16"/>
        <v>4</v>
      </c>
      <c r="M192" s="210">
        <f t="shared" si="17"/>
        <v>4</v>
      </c>
      <c r="N192" s="207">
        <v>1</v>
      </c>
      <c r="O192" s="208">
        <v>1</v>
      </c>
      <c r="P192" s="208">
        <v>1</v>
      </c>
      <c r="Q192" s="209">
        <v>1</v>
      </c>
      <c r="R192" s="222">
        <v>1</v>
      </c>
      <c r="S192" s="314">
        <v>1</v>
      </c>
      <c r="T192" s="223">
        <v>1</v>
      </c>
      <c r="U192" s="223"/>
      <c r="V192" s="224">
        <f t="shared" si="18"/>
        <v>3</v>
      </c>
      <c r="W192" s="244">
        <f t="shared" si="19"/>
        <v>0.75</v>
      </c>
    </row>
    <row r="193" spans="1:23" ht="27.75" customHeight="1">
      <c r="A193" s="214"/>
      <c r="B193" s="213"/>
      <c r="C193" s="213"/>
      <c r="D193" s="213"/>
      <c r="E193" s="213"/>
      <c r="F193" s="213"/>
      <c r="G193" s="213"/>
      <c r="H193" s="226"/>
      <c r="I193" s="225" t="s">
        <v>398</v>
      </c>
      <c r="J193" s="250">
        <v>50</v>
      </c>
      <c r="K193" s="205" t="s">
        <v>177</v>
      </c>
      <c r="L193" s="207">
        <f t="shared" si="16"/>
        <v>1</v>
      </c>
      <c r="M193" s="210">
        <f t="shared" si="17"/>
        <v>1</v>
      </c>
      <c r="N193" s="207">
        <v>0</v>
      </c>
      <c r="O193" s="208">
        <v>0</v>
      </c>
      <c r="P193" s="208">
        <v>1</v>
      </c>
      <c r="Q193" s="209">
        <v>0</v>
      </c>
      <c r="R193" s="222">
        <v>0</v>
      </c>
      <c r="S193" s="314">
        <v>0</v>
      </c>
      <c r="T193" s="223">
        <v>1</v>
      </c>
      <c r="U193" s="223"/>
      <c r="V193" s="224">
        <f t="shared" si="18"/>
        <v>1</v>
      </c>
      <c r="W193" s="244">
        <f t="shared" si="19"/>
        <v>1</v>
      </c>
    </row>
    <row r="194" spans="1:23" ht="23.25" customHeight="1">
      <c r="A194" s="214"/>
      <c r="B194" s="213"/>
      <c r="C194" s="213"/>
      <c r="D194" s="213"/>
      <c r="E194" s="213"/>
      <c r="F194" s="213"/>
      <c r="G194" s="213"/>
      <c r="H194" s="226"/>
      <c r="I194" s="225" t="s">
        <v>227</v>
      </c>
      <c r="J194" s="250">
        <v>51</v>
      </c>
      <c r="K194" s="205" t="s">
        <v>177</v>
      </c>
      <c r="L194" s="207">
        <f t="shared" si="16"/>
        <v>4</v>
      </c>
      <c r="M194" s="210">
        <f t="shared" si="17"/>
        <v>4</v>
      </c>
      <c r="N194" s="207">
        <v>1</v>
      </c>
      <c r="O194" s="208">
        <v>1</v>
      </c>
      <c r="P194" s="208">
        <v>1</v>
      </c>
      <c r="Q194" s="209">
        <v>1</v>
      </c>
      <c r="R194" s="222">
        <v>1</v>
      </c>
      <c r="S194" s="314">
        <v>1</v>
      </c>
      <c r="T194" s="223">
        <v>1</v>
      </c>
      <c r="U194" s="223"/>
      <c r="V194" s="224">
        <f t="shared" si="18"/>
        <v>3</v>
      </c>
      <c r="W194" s="244">
        <f t="shared" si="19"/>
        <v>0.75</v>
      </c>
    </row>
    <row r="195" spans="1:23" ht="17.25" customHeight="1">
      <c r="A195" s="214"/>
      <c r="B195" s="213"/>
      <c r="C195" s="213"/>
      <c r="D195" s="213"/>
      <c r="E195" s="213"/>
      <c r="F195" s="213"/>
      <c r="G195" s="213"/>
      <c r="H195" s="226"/>
      <c r="I195" s="225" t="s">
        <v>228</v>
      </c>
      <c r="J195" s="250">
        <v>52</v>
      </c>
      <c r="K195" s="205" t="s">
        <v>177</v>
      </c>
      <c r="L195" s="207">
        <f t="shared" si="16"/>
        <v>12</v>
      </c>
      <c r="M195" s="210">
        <f t="shared" si="17"/>
        <v>12</v>
      </c>
      <c r="N195" s="207">
        <v>3</v>
      </c>
      <c r="O195" s="208">
        <v>3</v>
      </c>
      <c r="P195" s="208">
        <v>3</v>
      </c>
      <c r="Q195" s="209">
        <v>3</v>
      </c>
      <c r="R195" s="207">
        <v>3</v>
      </c>
      <c r="S195" s="314">
        <v>3</v>
      </c>
      <c r="T195" s="223">
        <v>3</v>
      </c>
      <c r="U195" s="223"/>
      <c r="V195" s="224">
        <f t="shared" si="18"/>
        <v>9</v>
      </c>
      <c r="W195" s="244">
        <f t="shared" si="19"/>
        <v>0.75</v>
      </c>
    </row>
    <row r="196" spans="1:23" ht="34.5" customHeight="1">
      <c r="A196" s="214"/>
      <c r="B196" s="213"/>
      <c r="C196" s="213"/>
      <c r="D196" s="213"/>
      <c r="E196" s="213"/>
      <c r="F196" s="213"/>
      <c r="G196" s="213"/>
      <c r="H196" s="226"/>
      <c r="I196" s="225" t="s">
        <v>333</v>
      </c>
      <c r="J196" s="250">
        <v>53</v>
      </c>
      <c r="K196" s="205" t="s">
        <v>177</v>
      </c>
      <c r="L196" s="207">
        <f t="shared" si="16"/>
        <v>1</v>
      </c>
      <c r="M196" s="210">
        <f t="shared" si="17"/>
        <v>1</v>
      </c>
      <c r="N196" s="207">
        <v>0</v>
      </c>
      <c r="O196" s="208">
        <v>1</v>
      </c>
      <c r="P196" s="208">
        <v>0</v>
      </c>
      <c r="Q196" s="209">
        <v>0</v>
      </c>
      <c r="R196" s="207">
        <v>0</v>
      </c>
      <c r="S196" s="314">
        <v>1</v>
      </c>
      <c r="T196" s="223">
        <v>0</v>
      </c>
      <c r="U196" s="223"/>
      <c r="V196" s="224">
        <f t="shared" si="18"/>
        <v>1</v>
      </c>
      <c r="W196" s="244">
        <f t="shared" si="19"/>
        <v>1</v>
      </c>
    </row>
    <row r="197" spans="1:23" ht="30.75" customHeight="1">
      <c r="A197" s="214"/>
      <c r="B197" s="213"/>
      <c r="C197" s="213"/>
      <c r="D197" s="213"/>
      <c r="E197" s="213"/>
      <c r="F197" s="213"/>
      <c r="G197" s="213"/>
      <c r="H197" s="213"/>
      <c r="I197" s="225" t="s">
        <v>332</v>
      </c>
      <c r="J197" s="250">
        <v>54</v>
      </c>
      <c r="K197" s="205" t="s">
        <v>177</v>
      </c>
      <c r="L197" s="207">
        <f t="shared" si="16"/>
        <v>4</v>
      </c>
      <c r="M197" s="210">
        <f t="shared" si="17"/>
        <v>4</v>
      </c>
      <c r="N197" s="207">
        <v>1</v>
      </c>
      <c r="O197" s="208">
        <v>1</v>
      </c>
      <c r="P197" s="208">
        <v>1</v>
      </c>
      <c r="Q197" s="209">
        <v>1</v>
      </c>
      <c r="R197" s="207">
        <v>1</v>
      </c>
      <c r="S197" s="314">
        <v>1</v>
      </c>
      <c r="T197" s="223">
        <v>1</v>
      </c>
      <c r="U197" s="223"/>
      <c r="V197" s="224">
        <f t="shared" si="18"/>
        <v>3</v>
      </c>
      <c r="W197" s="244">
        <f t="shared" si="19"/>
        <v>0.75</v>
      </c>
    </row>
    <row r="198" spans="1:23" ht="16.5" customHeight="1">
      <c r="A198" s="214"/>
      <c r="B198" s="213"/>
      <c r="C198" s="213"/>
      <c r="D198" s="213"/>
      <c r="E198" s="213"/>
      <c r="F198" s="213"/>
      <c r="G198" s="213"/>
      <c r="H198" s="213"/>
      <c r="I198" s="225" t="s">
        <v>397</v>
      </c>
      <c r="J198" s="250">
        <v>55</v>
      </c>
      <c r="K198" s="205" t="s">
        <v>177</v>
      </c>
      <c r="L198" s="207">
        <f t="shared" si="16"/>
        <v>1</v>
      </c>
      <c r="M198" s="210">
        <f t="shared" si="17"/>
        <v>1</v>
      </c>
      <c r="N198" s="207">
        <v>0</v>
      </c>
      <c r="O198" s="208">
        <v>0</v>
      </c>
      <c r="P198" s="208">
        <v>0</v>
      </c>
      <c r="Q198" s="209">
        <v>1</v>
      </c>
      <c r="R198" s="207">
        <v>0</v>
      </c>
      <c r="S198" s="314">
        <v>0</v>
      </c>
      <c r="T198" s="223">
        <v>0</v>
      </c>
      <c r="U198" s="223"/>
      <c r="V198" s="224">
        <f t="shared" si="18"/>
        <v>0</v>
      </c>
      <c r="W198" s="244">
        <f t="shared" si="19"/>
        <v>0</v>
      </c>
    </row>
    <row r="199" spans="1:23" ht="12.75" customHeight="1">
      <c r="A199" s="214"/>
      <c r="B199" s="213"/>
      <c r="C199" s="213"/>
      <c r="D199" s="213"/>
      <c r="E199" s="213"/>
      <c r="F199" s="213"/>
      <c r="G199" s="213"/>
      <c r="H199" s="226"/>
      <c r="I199" s="225" t="s">
        <v>279</v>
      </c>
      <c r="J199" s="250">
        <v>56</v>
      </c>
      <c r="K199" s="227" t="s">
        <v>177</v>
      </c>
      <c r="L199" s="207">
        <f t="shared" si="16"/>
        <v>1</v>
      </c>
      <c r="M199" s="209">
        <f t="shared" si="17"/>
        <v>1</v>
      </c>
      <c r="N199" s="210">
        <v>0</v>
      </c>
      <c r="O199" s="208">
        <v>0</v>
      </c>
      <c r="P199" s="208">
        <v>0</v>
      </c>
      <c r="Q199" s="209">
        <v>1</v>
      </c>
      <c r="R199" s="207">
        <v>0</v>
      </c>
      <c r="S199" s="314">
        <v>0</v>
      </c>
      <c r="T199" s="223">
        <v>0</v>
      </c>
      <c r="U199" s="223"/>
      <c r="V199" s="224">
        <f t="shared" si="18"/>
        <v>0</v>
      </c>
      <c r="W199" s="244">
        <f t="shared" si="19"/>
        <v>0</v>
      </c>
    </row>
    <row r="200" spans="1:23" ht="18" customHeight="1">
      <c r="A200" s="214"/>
      <c r="B200" s="213"/>
      <c r="C200" s="213"/>
      <c r="D200" s="213"/>
      <c r="E200" s="213"/>
      <c r="F200" s="213"/>
      <c r="G200" s="213"/>
      <c r="H200" s="213"/>
      <c r="I200" s="225" t="s">
        <v>280</v>
      </c>
      <c r="J200" s="250">
        <v>57</v>
      </c>
      <c r="K200" s="227" t="s">
        <v>175</v>
      </c>
      <c r="L200" s="207">
        <f t="shared" si="16"/>
        <v>4</v>
      </c>
      <c r="M200" s="209">
        <f t="shared" si="17"/>
        <v>4</v>
      </c>
      <c r="N200" s="210">
        <v>1</v>
      </c>
      <c r="O200" s="208">
        <v>1</v>
      </c>
      <c r="P200" s="208">
        <v>1</v>
      </c>
      <c r="Q200" s="209">
        <v>1</v>
      </c>
      <c r="R200" s="207">
        <v>1</v>
      </c>
      <c r="S200" s="314">
        <v>1</v>
      </c>
      <c r="T200" s="223">
        <v>1</v>
      </c>
      <c r="U200" s="223"/>
      <c r="V200" s="224">
        <f t="shared" si="18"/>
        <v>3</v>
      </c>
      <c r="W200" s="244">
        <f t="shared" si="19"/>
        <v>0.75</v>
      </c>
    </row>
    <row r="201" spans="1:23" ht="18" customHeight="1">
      <c r="A201" s="246"/>
      <c r="B201" s="221"/>
      <c r="C201" s="221"/>
      <c r="D201" s="221"/>
      <c r="E201" s="221"/>
      <c r="F201" s="221"/>
      <c r="G201" s="221"/>
      <c r="H201" s="221"/>
      <c r="I201" s="225" t="s">
        <v>396</v>
      </c>
      <c r="J201" s="252">
        <v>58</v>
      </c>
      <c r="K201" s="227" t="s">
        <v>177</v>
      </c>
      <c r="L201" s="207">
        <f t="shared" si="16"/>
        <v>2</v>
      </c>
      <c r="M201" s="209">
        <f t="shared" si="17"/>
        <v>2</v>
      </c>
      <c r="N201" s="210">
        <v>1</v>
      </c>
      <c r="O201" s="223">
        <v>0</v>
      </c>
      <c r="P201" s="223">
        <v>0</v>
      </c>
      <c r="Q201" s="209">
        <v>1</v>
      </c>
      <c r="R201" s="207">
        <v>1</v>
      </c>
      <c r="S201" s="314">
        <v>0</v>
      </c>
      <c r="T201" s="223">
        <v>0</v>
      </c>
      <c r="U201" s="223"/>
      <c r="V201" s="224">
        <f t="shared" si="18"/>
        <v>1</v>
      </c>
      <c r="W201" s="244">
        <f t="shared" si="19"/>
        <v>0.5</v>
      </c>
    </row>
    <row r="202" spans="1:23" ht="21.75" customHeight="1" thickBot="1">
      <c r="A202" s="247"/>
      <c r="B202" s="228"/>
      <c r="C202" s="228"/>
      <c r="D202" s="228"/>
      <c r="E202" s="228"/>
      <c r="F202" s="228"/>
      <c r="G202" s="228"/>
      <c r="H202" s="228"/>
      <c r="I202" s="229" t="s">
        <v>471</v>
      </c>
      <c r="J202" s="253">
        <v>176</v>
      </c>
      <c r="K202" s="255"/>
      <c r="L202" s="230"/>
      <c r="M202" s="231"/>
      <c r="N202" s="232"/>
      <c r="O202" s="211"/>
      <c r="P202" s="211"/>
      <c r="Q202" s="212"/>
      <c r="R202" s="230"/>
      <c r="S202" s="315"/>
      <c r="T202" s="243"/>
      <c r="U202" s="243"/>
      <c r="V202" s="256" t="s">
        <v>150</v>
      </c>
      <c r="W202" s="257" t="s">
        <v>150</v>
      </c>
    </row>
    <row r="203" spans="1:164" ht="12.75">
      <c r="A203" s="181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</row>
    <row r="204" spans="1:164" ht="12.75">
      <c r="A204" s="181"/>
      <c r="G204" s="110"/>
      <c r="H204" s="110"/>
      <c r="I204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</row>
    <row r="205" spans="1:164" ht="12.75">
      <c r="A205" s="181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</row>
    <row r="206" spans="1:164" ht="20.25">
      <c r="A206" s="181"/>
      <c r="B206" s="389" t="s">
        <v>526</v>
      </c>
      <c r="C206" s="389"/>
      <c r="D206" s="389"/>
      <c r="E206" s="389"/>
      <c r="F206" s="389"/>
      <c r="G206" s="389"/>
      <c r="H206" s="389"/>
      <c r="I206" s="389"/>
      <c r="J206" s="110"/>
      <c r="K206" s="110"/>
      <c r="L206" s="390" t="s">
        <v>527</v>
      </c>
      <c r="M206" s="390"/>
      <c r="N206" s="390"/>
      <c r="O206" s="390"/>
      <c r="P206" s="390"/>
      <c r="Q206" s="390"/>
      <c r="R206" s="390"/>
      <c r="S206" s="390"/>
      <c r="T206" s="390"/>
      <c r="U206" s="390"/>
      <c r="V206" s="110"/>
      <c r="W206" s="110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</row>
    <row r="207" spans="1:164" ht="20.25">
      <c r="A207" s="181"/>
      <c r="B207" s="389" t="s">
        <v>524</v>
      </c>
      <c r="C207" s="389"/>
      <c r="D207" s="389"/>
      <c r="E207" s="389"/>
      <c r="F207" s="389"/>
      <c r="G207" s="389"/>
      <c r="H207" s="389"/>
      <c r="I207" s="389"/>
      <c r="J207" s="346" t="s">
        <v>150</v>
      </c>
      <c r="K207" s="345" t="s">
        <v>150</v>
      </c>
      <c r="L207" s="391" t="s">
        <v>525</v>
      </c>
      <c r="M207" s="391"/>
      <c r="N207" s="391"/>
      <c r="O207" s="391"/>
      <c r="P207" s="391"/>
      <c r="Q207" s="391"/>
      <c r="R207" s="391"/>
      <c r="S207" s="391"/>
      <c r="T207" s="391"/>
      <c r="U207" s="391"/>
      <c r="V207" s="110"/>
      <c r="W207" s="110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</row>
    <row r="208" spans="11:164" ht="20.25" customHeight="1">
      <c r="K208" s="179"/>
      <c r="V208" s="110"/>
      <c r="W208" s="110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</row>
    <row r="209" spans="22:164" ht="14.25" customHeight="1">
      <c r="V209" s="110"/>
      <c r="W209" s="110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</row>
  </sheetData>
  <sheetProtection/>
  <mergeCells count="37">
    <mergeCell ref="B9:D9"/>
    <mergeCell ref="F11:F12"/>
    <mergeCell ref="G11:G12"/>
    <mergeCell ref="A10:H10"/>
    <mergeCell ref="W11:W12"/>
    <mergeCell ref="D11:D12"/>
    <mergeCell ref="E11:E12"/>
    <mergeCell ref="K5:L5"/>
    <mergeCell ref="J10:J12"/>
    <mergeCell ref="S5:W5"/>
    <mergeCell ref="A7:H7"/>
    <mergeCell ref="I8:W8"/>
    <mergeCell ref="B8:G8"/>
    <mergeCell ref="H11:H12"/>
    <mergeCell ref="R11:V11"/>
    <mergeCell ref="L10:W10"/>
    <mergeCell ref="M11:M12"/>
    <mergeCell ref="S1:W1"/>
    <mergeCell ref="O1:Q1"/>
    <mergeCell ref="I10:I12"/>
    <mergeCell ref="K10:K12"/>
    <mergeCell ref="L11:L12"/>
    <mergeCell ref="N11:Q11"/>
    <mergeCell ref="Q5:R5"/>
    <mergeCell ref="A6:W6"/>
    <mergeCell ref="I7:W7"/>
    <mergeCell ref="C11:C12"/>
    <mergeCell ref="A2:U2"/>
    <mergeCell ref="A3:U3"/>
    <mergeCell ref="A4:U4"/>
    <mergeCell ref="B206:I206"/>
    <mergeCell ref="B207:I207"/>
    <mergeCell ref="L206:U206"/>
    <mergeCell ref="L207:U207"/>
    <mergeCell ref="I9:W9"/>
    <mergeCell ref="E9:G9"/>
    <mergeCell ref="B11:B12"/>
  </mergeCells>
  <printOptions horizontalCentered="1"/>
  <pageMargins left="0.1968503937007874" right="0.15748031496062992" top="0.7480314960629921" bottom="0.31496062992125984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Ramón Osbaldo Borbón Borbón</cp:lastModifiedBy>
  <cp:lastPrinted>2011-10-31T17:13:25Z</cp:lastPrinted>
  <dcterms:created xsi:type="dcterms:W3CDTF">1999-04-27T18:26:38Z</dcterms:created>
  <dcterms:modified xsi:type="dcterms:W3CDTF">2011-10-31T17:16:24Z</dcterms:modified>
  <cp:category/>
  <cp:version/>
  <cp:contentType/>
  <cp:contentStatus/>
</cp:coreProperties>
</file>