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7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1680" windowWidth="28800" windowHeight="10755" tabRatio="901" activeTab="7"/>
  </bookViews>
  <sheets>
    <sheet name="Hoja1" sheetId="81" r:id="rId1"/>
    <sheet name="Lista  FORMATOS  " sheetId="68" r:id="rId2"/>
    <sheet name="ETCA-I-01" sheetId="2" r:id="rId3"/>
    <sheet name="ETCA-I-02" sheetId="51" r:id="rId4"/>
    <sheet name="ETCA-I-03" sheetId="1" r:id="rId5"/>
    <sheet name="ETCA-I-04" sheetId="80" r:id="rId6"/>
    <sheet name="ETCA-I-05" sheetId="74" r:id="rId7"/>
    <sheet name="ETCA-I-06" sheetId="23" r:id="rId8"/>
    <sheet name="ETCA-I-07" sheetId="6" r:id="rId9"/>
    <sheet name="ETCA-I-08" sheetId="75" r:id="rId10"/>
    <sheet name="ETCA-I-09" sheetId="52" r:id="rId11"/>
    <sheet name="ETCA-I-10" sheetId="53" r:id="rId12"/>
    <sheet name="ETCA-I-11" sheetId="26" r:id="rId13"/>
    <sheet name="ETCA-I-12 (NOTAS)" sheetId="13" r:id="rId14"/>
    <sheet name="ETCA-II-01" sheetId="67" r:id="rId15"/>
    <sheet name="ETCA-II-02" sheetId="55" r:id="rId16"/>
    <sheet name="ETCA-II-03" sheetId="21" r:id="rId17"/>
    <sheet name="ETCA II-04" sheetId="70" r:id="rId18"/>
    <sheet name="ETCA-II-05" sheetId="71" r:id="rId19"/>
    <sheet name="ETCA-II-06" sheetId="37" r:id="rId20"/>
    <sheet name="ETCA-II-07" sheetId="38" r:id="rId21"/>
    <sheet name="ETCA-II-08" sheetId="61" r:id="rId22"/>
    <sheet name="ETCA-II-09" sheetId="44" r:id="rId23"/>
    <sheet name="ETCA-II-10" sheetId="45" r:id="rId24"/>
    <sheet name="ETCA-II-11" sheetId="72" r:id="rId25"/>
    <sheet name="ETCA-II-12" sheetId="62" r:id="rId26"/>
    <sheet name="ETCA-II-13" sheetId="50" r:id="rId27"/>
    <sheet name="ETCA-II-14" sheetId="65" r:id="rId28"/>
    <sheet name="ETCA-II-15" sheetId="24" r:id="rId29"/>
    <sheet name="ETCA-II-16" sheetId="16" r:id="rId30"/>
    <sheet name="ETCA-II-17" sheetId="19" r:id="rId31"/>
    <sheet name="ETCA-III-01" sheetId="42" r:id="rId32"/>
    <sheet name="ETCA III-02" sheetId="76" r:id="rId33"/>
    <sheet name="ETCA-III-03" sheetId="32" r:id="rId34"/>
    <sheet name="ETCA-IV-01" sheetId="20" r:id="rId35"/>
    <sheet name="ETCA-IV-02" sheetId="54" r:id="rId36"/>
    <sheet name="ETCA-IV-03" sheetId="27" r:id="rId37"/>
    <sheet name="ETCA-IV-05" sheetId="33" r:id="rId38"/>
    <sheet name="ANEXO" sheetId="64" r:id="rId39"/>
  </sheets>
  <externalReferences>
    <externalReference r:id="rId40"/>
    <externalReference r:id="rId41"/>
    <externalReference r:id="rId42"/>
  </externalReferences>
  <definedNames>
    <definedName name="_xlnm._FilterDatabase" localSheetId="2" hidden="1">'ETCA-I-01'!#REF!</definedName>
    <definedName name="_ftn1" localSheetId="4">'ETCA-I-03'!#REF!</definedName>
    <definedName name="_ftnref1" localSheetId="4">'ETCA-I-03'!#REF!</definedName>
    <definedName name="_Toc478717399" localSheetId="1">'Lista  FORMATOS  '!#REF!</definedName>
    <definedName name="_xlnm.Print_Area" localSheetId="17">'ETCA II-04'!$A$1:$G$92</definedName>
    <definedName name="_xlnm.Print_Area" localSheetId="32">'ETCA III-02'!$A$1:$G$50</definedName>
    <definedName name="_xlnm.Print_Area" localSheetId="2">'ETCA-I-01'!$A$1:$G$59</definedName>
    <definedName name="_xlnm.Print_Area" localSheetId="3">'ETCA-I-02'!$A$1:$G$79</definedName>
    <definedName name="_xlnm.Print_Area" localSheetId="4">'ETCA-I-03'!$A$1:$D$72</definedName>
    <definedName name="_xlnm.Print_Area" localSheetId="6">'ETCA-I-05'!$A$1:$C$70</definedName>
    <definedName name="_xlnm.Print_Area" localSheetId="7">'ETCA-I-06'!$A$1:$D$72</definedName>
    <definedName name="_xlnm.Print_Area" localSheetId="8">'ETCA-I-07'!$A$1:$G$34</definedName>
    <definedName name="_xlnm.Print_Area" localSheetId="9">'ETCA-I-08'!$A$1:$F$50</definedName>
    <definedName name="_xlnm.Print_Area" localSheetId="10">'ETCA-I-09'!$A$1:$I$45</definedName>
    <definedName name="_xlnm.Print_Area" localSheetId="12">'ETCA-I-11'!$A$1:$I$51</definedName>
    <definedName name="_xlnm.Print_Area" localSheetId="13">'ETCA-I-12 (NOTAS)'!$A$1:$J$50</definedName>
    <definedName name="_xlnm.Print_Area" localSheetId="14">'ETCA-II-01'!$A$1:$H$55</definedName>
    <definedName name="_xlnm.Print_Area" localSheetId="15">'ETCA-II-02'!$A$1:$I$87</definedName>
    <definedName name="_xlnm.Print_Area" localSheetId="16">'ETCA-II-03'!$A$1:$D$35</definedName>
    <definedName name="_xlnm.Print_Area" localSheetId="18">'ETCA-II-05'!$A$1:$H$168</definedName>
    <definedName name="_xlnm.Print_Area" localSheetId="19">'ETCA-II-06'!$A$1:$G$26</definedName>
    <definedName name="_xlnm.Print_Area" localSheetId="20">'ETCA-II-07'!$A$1:$G$37</definedName>
    <definedName name="_xlnm.Print_Area" localSheetId="21">'ETCA-II-08'!$A$1:$G$42</definedName>
    <definedName name="_xlnm.Print_Area" localSheetId="22">'ETCA-II-09'!$A$1:$G$21</definedName>
    <definedName name="_xlnm.Print_Area" localSheetId="23">'ETCA-II-10'!$A$1:$G$27</definedName>
    <definedName name="_xlnm.Print_Area" localSheetId="24">'ETCA-II-11'!$A$1:$G$51</definedName>
    <definedName name="_xlnm.Print_Area" localSheetId="25">'ETCA-II-12'!$A$1:$H$91</definedName>
    <definedName name="_xlnm.Print_Area" localSheetId="26">'ETCA-II-13'!$A$1:$I$221</definedName>
    <definedName name="_xlnm.Print_Area" localSheetId="27">'ETCA-II-14'!$A$1:$G$39</definedName>
    <definedName name="_xlnm.Print_Area" localSheetId="28">'ETCA-II-15'!$A$1:$C$43</definedName>
    <definedName name="_xlnm.Print_Area" localSheetId="29">'ETCA-II-16'!$A$1:$E$37</definedName>
    <definedName name="_xlnm.Print_Area" localSheetId="30">'ETCA-II-17'!$A$1:$D$38</definedName>
    <definedName name="_xlnm.Print_Area" localSheetId="31">'ETCA-III-01'!$A$1:$G$45</definedName>
    <definedName name="_xlnm.Print_Area" localSheetId="33">'ETCA-III-03'!$A$1:$E$44</definedName>
    <definedName name="_xlnm.Print_Area" localSheetId="34">'ETCA-IV-01'!$A$1:$E$34</definedName>
    <definedName name="_xlnm.Print_Area" localSheetId="35">'ETCA-IV-02'!$A$1:$E$95</definedName>
    <definedName name="_xlnm.Print_Area" localSheetId="36">'ETCA-IV-03'!$A$1:$D$31</definedName>
    <definedName name="_xlnm.Print_Area" localSheetId="37">'ETCA-IV-05'!$A$1:$E$37</definedName>
    <definedName name="_xlnm.Database" localSheetId="38">#REF!</definedName>
    <definedName name="_xlnm.Database" localSheetId="12">#REF!</definedName>
    <definedName name="_xlnm.Database" localSheetId="14">#REF!</definedName>
    <definedName name="_xlnm.Database" localSheetId="16">#REF!</definedName>
    <definedName name="_xlnm.Database" localSheetId="19">#REF!</definedName>
    <definedName name="_xlnm.Database" localSheetId="20">#REF!</definedName>
    <definedName name="_xlnm.Database" localSheetId="26">#REF!</definedName>
    <definedName name="_xlnm.Database" localSheetId="28">#REF!</definedName>
    <definedName name="_xlnm.Database" localSheetId="30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Hidden_13">[1]Hidden_1!$A$1:$A$3</definedName>
    <definedName name="ppto">[2]Hoja2!$B$3:$M$95</definedName>
    <definedName name="qw" localSheetId="38">#REF!</definedName>
    <definedName name="qw" localSheetId="26">#REF!</definedName>
    <definedName name="qw">#REF!</definedName>
    <definedName name="_xlnm.Print_Titles" localSheetId="3">'ETCA-I-02'!$6:$6</definedName>
    <definedName name="_xlnm.Print_Titles" localSheetId="4">'ETCA-I-03'!$2:$5</definedName>
    <definedName name="_xlnm.Print_Titles" localSheetId="14">'ETCA-II-01'!$1:$5</definedName>
    <definedName name="_xlnm.Print_Titles" localSheetId="15">'ETCA-II-02'!$6:$8</definedName>
    <definedName name="_xlnm.Print_Titles" localSheetId="25">'ETCA-II-12'!$7:$8</definedName>
    <definedName name="_xlnm.Print_Titles" localSheetId="26">'ETCA-II-13'!$7:$8</definedName>
    <definedName name="_xlnm.Print_Titles" localSheetId="35">'ETCA-IV-02'!$1:$5</definedName>
  </definedNames>
  <calcPr calcId="145621"/>
</workbook>
</file>

<file path=xl/calcChain.xml><?xml version="1.0" encoding="utf-8"?>
<calcChain xmlns="http://schemas.openxmlformats.org/spreadsheetml/2006/main">
  <c r="I14" i="55" l="1"/>
  <c r="I44" i="55"/>
  <c r="I37" i="55"/>
  <c r="H14" i="55"/>
  <c r="G14" i="55"/>
  <c r="D14" i="55"/>
  <c r="H46" i="67"/>
  <c r="H44" i="67"/>
  <c r="H24" i="67"/>
  <c r="H22" i="67"/>
  <c r="H12" i="67"/>
  <c r="G24" i="67"/>
  <c r="F24" i="67"/>
  <c r="C24" i="67"/>
  <c r="C13" i="67"/>
  <c r="C16" i="67"/>
  <c r="F38" i="80" l="1"/>
  <c r="E38" i="80"/>
  <c r="F35" i="80"/>
  <c r="F34" i="80"/>
  <c r="F32" i="80"/>
  <c r="D32" i="80"/>
  <c r="E31" i="80"/>
  <c r="D31" i="80"/>
  <c r="F29" i="80"/>
  <c r="F28" i="80"/>
  <c r="F27" i="80"/>
  <c r="E26" i="80"/>
  <c r="F26" i="80" s="1"/>
  <c r="B26" i="80"/>
  <c r="D24" i="80"/>
  <c r="D43" i="80" s="1"/>
  <c r="C24" i="80"/>
  <c r="F18" i="80"/>
  <c r="F17" i="80"/>
  <c r="F16" i="80"/>
  <c r="F15" i="80"/>
  <c r="F14" i="80"/>
  <c r="E13" i="80"/>
  <c r="D13" i="80"/>
  <c r="C13" i="80"/>
  <c r="F13" i="80" s="1"/>
  <c r="F11" i="80"/>
  <c r="F10" i="80"/>
  <c r="F9" i="80"/>
  <c r="E8" i="80"/>
  <c r="B8" i="80"/>
  <c r="B24" i="80" s="1"/>
  <c r="A4" i="80"/>
  <c r="A3" i="80"/>
  <c r="B43" i="80" l="1"/>
  <c r="F24" i="80"/>
  <c r="F8" i="80"/>
  <c r="C33" i="80"/>
  <c r="E43" i="80"/>
  <c r="F17" i="72"/>
  <c r="E17" i="72"/>
  <c r="C17" i="72"/>
  <c r="B17" i="72"/>
  <c r="C31" i="80" l="1"/>
  <c r="F33" i="80"/>
  <c r="F193" i="50"/>
  <c r="G193" i="50"/>
  <c r="E193" i="50"/>
  <c r="D193" i="50"/>
  <c r="F31" i="80" l="1"/>
  <c r="C43" i="80"/>
  <c r="F43" i="80" s="1"/>
  <c r="C11" i="20"/>
  <c r="C11" i="54" s="1"/>
  <c r="B35" i="24"/>
  <c r="B11" i="24"/>
  <c r="B10" i="24"/>
  <c r="F110" i="50"/>
  <c r="F132" i="50"/>
  <c r="F111" i="50"/>
  <c r="F181" i="50"/>
  <c r="E151" i="50"/>
  <c r="I151" i="50" s="1"/>
  <c r="H151" i="50"/>
  <c r="G124" i="50"/>
  <c r="F124" i="50"/>
  <c r="I147" i="50" l="1"/>
  <c r="H147" i="50"/>
  <c r="H129" i="50"/>
  <c r="H113" i="50"/>
  <c r="G58" i="50"/>
  <c r="F78" i="50"/>
  <c r="F58" i="50"/>
  <c r="H104" i="50"/>
  <c r="F63" i="50" l="1"/>
  <c r="G12" i="62" l="1"/>
  <c r="F12" i="62"/>
  <c r="D12" i="62"/>
  <c r="C12" i="62"/>
  <c r="B10" i="45"/>
  <c r="B10" i="44"/>
  <c r="E10" i="61"/>
  <c r="C10" i="61"/>
  <c r="G31" i="71"/>
  <c r="F34" i="71"/>
  <c r="F33" i="71"/>
  <c r="F32" i="71"/>
  <c r="F29" i="71" s="1"/>
  <c r="F31" i="71"/>
  <c r="F30" i="71"/>
  <c r="E27" i="70"/>
  <c r="F49" i="71"/>
  <c r="F19" i="71"/>
  <c r="F11" i="71"/>
  <c r="G51" i="71"/>
  <c r="G50" i="71"/>
  <c r="F51" i="71"/>
  <c r="F50" i="71"/>
  <c r="D51" i="71"/>
  <c r="D50" i="71"/>
  <c r="D35" i="70"/>
  <c r="D36" i="70"/>
  <c r="C13" i="21" l="1"/>
  <c r="C19" i="1" l="1"/>
  <c r="F68" i="51"/>
  <c r="F65" i="51"/>
  <c r="F64" i="51"/>
  <c r="F16" i="51"/>
  <c r="F11" i="51"/>
  <c r="B53" i="51"/>
  <c r="B52" i="51"/>
  <c r="B51" i="51"/>
  <c r="B50" i="51"/>
  <c r="B39" i="51"/>
  <c r="B19" i="51"/>
  <c r="B11" i="51"/>
  <c r="F40" i="2"/>
  <c r="G40" i="2"/>
  <c r="D20" i="1" l="1"/>
  <c r="G68" i="51" l="1"/>
  <c r="G65" i="51"/>
  <c r="G64" i="51"/>
  <c r="G16" i="51"/>
  <c r="G11" i="51"/>
  <c r="C53" i="51"/>
  <c r="C52" i="51"/>
  <c r="C51" i="51"/>
  <c r="C50" i="51"/>
  <c r="C39" i="51"/>
  <c r="C19" i="51"/>
  <c r="C11" i="51"/>
  <c r="B19" i="61" l="1"/>
  <c r="B18" i="61"/>
  <c r="B17" i="61"/>
  <c r="B16" i="61"/>
  <c r="B15" i="61"/>
  <c r="B14" i="61"/>
  <c r="B13" i="61"/>
  <c r="B12" i="61"/>
  <c r="B11" i="61"/>
  <c r="B10" i="37"/>
  <c r="D58" i="71"/>
  <c r="D52" i="71"/>
  <c r="D32" i="71"/>
  <c r="D33" i="71"/>
  <c r="D34" i="71"/>
  <c r="D36" i="71"/>
  <c r="D38" i="71"/>
  <c r="C38" i="71"/>
  <c r="C36" i="71"/>
  <c r="C34" i="71"/>
  <c r="C33" i="71"/>
  <c r="C32" i="71"/>
  <c r="C31" i="71"/>
  <c r="C30" i="71"/>
  <c r="D24" i="71"/>
  <c r="C28" i="71"/>
  <c r="C26" i="71"/>
  <c r="C25" i="71"/>
  <c r="C24" i="71"/>
  <c r="C23" i="71"/>
  <c r="C21" i="71"/>
  <c r="C20" i="71"/>
  <c r="C15" i="71"/>
  <c r="C14" i="71"/>
  <c r="C12" i="71"/>
  <c r="E199" i="50" l="1"/>
  <c r="E197" i="50"/>
  <c r="C133" i="50"/>
  <c r="E126" i="50"/>
  <c r="C124" i="50"/>
  <c r="E121" i="50"/>
  <c r="E174" i="50"/>
  <c r="E172" i="50"/>
  <c r="E164" i="50"/>
  <c r="E158" i="50"/>
  <c r="E159" i="50"/>
  <c r="E157" i="50" s="1"/>
  <c r="E153" i="50"/>
  <c r="E147" i="50"/>
  <c r="C137" i="50"/>
  <c r="E136" i="50"/>
  <c r="E140" i="50"/>
  <c r="E139" i="50" s="1"/>
  <c r="D146" i="50"/>
  <c r="C157" i="50" l="1"/>
  <c r="E87" i="50"/>
  <c r="C84" i="50"/>
  <c r="C83" i="50" s="1"/>
  <c r="E94" i="50"/>
  <c r="E105" i="50"/>
  <c r="E100" i="50"/>
  <c r="E99" i="50"/>
  <c r="C92" i="50"/>
  <c r="C91" i="50" s="1"/>
  <c r="D52" i="50"/>
  <c r="C52" i="50"/>
  <c r="C51" i="50" s="1"/>
  <c r="C50" i="50" s="1"/>
  <c r="C33" i="50"/>
  <c r="C30" i="50"/>
  <c r="E117" i="50" l="1"/>
  <c r="D51" i="50" l="1"/>
  <c r="D50" i="50" s="1"/>
  <c r="E213" i="50" l="1"/>
  <c r="E211" i="50"/>
  <c r="E187" i="50"/>
  <c r="E123" i="50"/>
  <c r="E171" i="50"/>
  <c r="E145" i="50"/>
  <c r="E134" i="50"/>
  <c r="H121" i="50"/>
  <c r="E115" i="50"/>
  <c r="H117" i="50"/>
  <c r="E60" i="50"/>
  <c r="D83" i="50"/>
  <c r="E106" i="50"/>
  <c r="F83" i="50"/>
  <c r="E82" i="50"/>
  <c r="E76" i="50"/>
  <c r="D25" i="50"/>
  <c r="D28" i="71" l="1"/>
  <c r="D26" i="71"/>
  <c r="D25" i="71"/>
  <c r="D23" i="71"/>
  <c r="D21" i="71"/>
  <c r="D20" i="71"/>
  <c r="D16" i="71"/>
  <c r="D15" i="71"/>
  <c r="D14" i="71"/>
  <c r="D12" i="71"/>
  <c r="D19" i="71" l="1"/>
  <c r="G209" i="50"/>
  <c r="F209" i="50"/>
  <c r="H123" i="50"/>
  <c r="I87" i="50"/>
  <c r="H87" i="50"/>
  <c r="F10" i="61"/>
  <c r="D14" i="61"/>
  <c r="G14" i="61" s="1"/>
  <c r="D24" i="61"/>
  <c r="G24" i="61" s="1"/>
  <c r="G49" i="71"/>
  <c r="G38" i="71" l="1"/>
  <c r="G36" i="71"/>
  <c r="G34" i="71"/>
  <c r="G33" i="71"/>
  <c r="G32" i="71"/>
  <c r="G30" i="71" l="1"/>
  <c r="G25" i="71"/>
  <c r="F25" i="71"/>
  <c r="G28" i="71"/>
  <c r="F28" i="71"/>
  <c r="G24" i="71"/>
  <c r="F24" i="71"/>
  <c r="G23" i="71"/>
  <c r="F23" i="71"/>
  <c r="G21" i="71"/>
  <c r="F21" i="71"/>
  <c r="G20" i="71"/>
  <c r="F20" i="71"/>
  <c r="G15" i="71"/>
  <c r="F15" i="71"/>
  <c r="G14" i="71"/>
  <c r="F14" i="71"/>
  <c r="G12" i="71"/>
  <c r="F12" i="71"/>
  <c r="D31" i="70"/>
  <c r="G46" i="67"/>
  <c r="F46" i="67"/>
  <c r="E203" i="50" l="1"/>
  <c r="E200" i="50" s="1"/>
  <c r="D203" i="50"/>
  <c r="E210" i="50"/>
  <c r="D210" i="50"/>
  <c r="E207" i="50"/>
  <c r="E206" i="50" s="1"/>
  <c r="I206" i="50" s="1"/>
  <c r="D207" i="50"/>
  <c r="D206" i="50" s="1"/>
  <c r="I205" i="50"/>
  <c r="I208" i="50"/>
  <c r="E131" i="50"/>
  <c r="E177" i="50"/>
  <c r="E162" i="50"/>
  <c r="E161" i="50"/>
  <c r="E156" i="50"/>
  <c r="E155" i="50"/>
  <c r="E148" i="50"/>
  <c r="E146" i="50" s="1"/>
  <c r="E138" i="50"/>
  <c r="E125" i="50"/>
  <c r="E124" i="50" s="1"/>
  <c r="E113" i="50"/>
  <c r="D69" i="50"/>
  <c r="D65" i="50"/>
  <c r="D63" i="50"/>
  <c r="D61" i="50"/>
  <c r="I207" i="50" l="1"/>
  <c r="D58" i="50"/>
  <c r="E104" i="50"/>
  <c r="E102" i="50"/>
  <c r="G96" i="50"/>
  <c r="E97" i="50"/>
  <c r="E93" i="50"/>
  <c r="E92" i="50" s="1"/>
  <c r="E90" i="50"/>
  <c r="E86" i="50"/>
  <c r="E85" i="50"/>
  <c r="E81" i="50"/>
  <c r="E79" i="50"/>
  <c r="E74" i="50"/>
  <c r="E73" i="50"/>
  <c r="E70" i="50"/>
  <c r="E64" i="50"/>
  <c r="E66" i="50"/>
  <c r="E68" i="50"/>
  <c r="E62" i="50"/>
  <c r="E83" i="50" l="1"/>
  <c r="D46" i="50"/>
  <c r="D44" i="50"/>
  <c r="D42" i="50"/>
  <c r="D33" i="50"/>
  <c r="D30" i="50"/>
  <c r="D22" i="50" s="1"/>
  <c r="G25" i="50"/>
  <c r="G192" i="50"/>
  <c r="G203" i="50"/>
  <c r="G200" i="50" s="1"/>
  <c r="F203" i="50"/>
  <c r="F200" i="50" s="1"/>
  <c r="F192" i="50"/>
  <c r="D32" i="50" l="1"/>
  <c r="D10" i="50"/>
  <c r="F96" i="50"/>
  <c r="F89" i="50"/>
  <c r="E22" i="61"/>
  <c r="F22" i="61"/>
  <c r="C10" i="65" l="1"/>
  <c r="C9" i="65" s="1"/>
  <c r="D54" i="50"/>
  <c r="E46" i="67" l="1"/>
  <c r="G39" i="67" l="1"/>
  <c r="G190" i="50" l="1"/>
  <c r="F190" i="50"/>
  <c r="I174" i="50"/>
  <c r="I177" i="50"/>
  <c r="H177" i="50"/>
  <c r="G176" i="50"/>
  <c r="G175" i="50" s="1"/>
  <c r="F176" i="50"/>
  <c r="F175" i="50" s="1"/>
  <c r="G168" i="50"/>
  <c r="E129" i="50" l="1"/>
  <c r="E167" i="50"/>
  <c r="E168" i="50"/>
  <c r="D176" i="50"/>
  <c r="E176" i="50" s="1"/>
  <c r="D168" i="50"/>
  <c r="E130" i="50"/>
  <c r="G84" i="50"/>
  <c r="G83" i="50" s="1"/>
  <c r="G78" i="50"/>
  <c r="G67" i="50"/>
  <c r="F67" i="50"/>
  <c r="E128" i="50" l="1"/>
  <c r="H176" i="50"/>
  <c r="I176" i="50"/>
  <c r="D175" i="50"/>
  <c r="E175" i="50" s="1"/>
  <c r="E31" i="71"/>
  <c r="E30" i="71"/>
  <c r="E105" i="71"/>
  <c r="F105" i="71" s="1"/>
  <c r="D103" i="71"/>
  <c r="G105" i="71" l="1"/>
  <c r="F103" i="71"/>
  <c r="H175" i="50"/>
  <c r="I175" i="50"/>
  <c r="E9" i="70"/>
  <c r="G44" i="67"/>
  <c r="F44" i="67"/>
  <c r="B60" i="74" l="1"/>
  <c r="G16" i="6"/>
  <c r="C18" i="52"/>
  <c r="B8" i="74"/>
  <c r="C9" i="20" l="1"/>
  <c r="I213" i="50" l="1"/>
  <c r="I211" i="50"/>
  <c r="I210" i="50"/>
  <c r="I204" i="50"/>
  <c r="I202" i="50"/>
  <c r="I201" i="50"/>
  <c r="I199" i="50"/>
  <c r="I197" i="50"/>
  <c r="I194" i="50"/>
  <c r="I193" i="50"/>
  <c r="I191" i="50"/>
  <c r="I189" i="50"/>
  <c r="I187" i="50"/>
  <c r="G186" i="50"/>
  <c r="G185" i="50" s="1"/>
  <c r="F186" i="50"/>
  <c r="F185" i="50" s="1"/>
  <c r="H187" i="50"/>
  <c r="H189" i="50"/>
  <c r="H191" i="50"/>
  <c r="H193" i="50"/>
  <c r="H194" i="50"/>
  <c r="H197" i="50"/>
  <c r="H199" i="50"/>
  <c r="H201" i="50"/>
  <c r="H202" i="50"/>
  <c r="H204" i="50"/>
  <c r="H210" i="50"/>
  <c r="H211" i="50"/>
  <c r="H213" i="50"/>
  <c r="I113" i="50"/>
  <c r="I115" i="50"/>
  <c r="I117" i="50"/>
  <c r="I118" i="50"/>
  <c r="I119" i="50"/>
  <c r="I121" i="50"/>
  <c r="I123" i="50"/>
  <c r="I125" i="50"/>
  <c r="I129" i="50"/>
  <c r="I130" i="50"/>
  <c r="I131" i="50"/>
  <c r="I134" i="50"/>
  <c r="I136" i="50"/>
  <c r="I138" i="50"/>
  <c r="I140" i="50"/>
  <c r="I142" i="50"/>
  <c r="I145" i="50"/>
  <c r="I148" i="50"/>
  <c r="I153" i="50"/>
  <c r="I155" i="50"/>
  <c r="I156" i="50"/>
  <c r="I159" i="50"/>
  <c r="I161" i="50"/>
  <c r="I162" i="50"/>
  <c r="I164" i="50"/>
  <c r="I167" i="50"/>
  <c r="I171" i="50"/>
  <c r="I172" i="50"/>
  <c r="H138" i="50"/>
  <c r="H140" i="50"/>
  <c r="H142" i="50"/>
  <c r="H145" i="50"/>
  <c r="H148" i="50"/>
  <c r="H153" i="50"/>
  <c r="H155" i="50"/>
  <c r="H156" i="50"/>
  <c r="H159" i="50"/>
  <c r="H161" i="50"/>
  <c r="H162" i="50"/>
  <c r="H164" i="50"/>
  <c r="H167" i="50"/>
  <c r="H171" i="50"/>
  <c r="H172" i="50"/>
  <c r="H174" i="50"/>
  <c r="H130" i="50"/>
  <c r="H131" i="50"/>
  <c r="H134" i="50"/>
  <c r="H136" i="50"/>
  <c r="H118" i="50"/>
  <c r="H119" i="50"/>
  <c r="H125" i="50"/>
  <c r="H115" i="50"/>
  <c r="G214" i="50" l="1"/>
  <c r="G184" i="50"/>
  <c r="F184" i="50"/>
  <c r="F214" i="50"/>
  <c r="G112" i="50"/>
  <c r="F112" i="50"/>
  <c r="G114" i="50"/>
  <c r="F114" i="50"/>
  <c r="G116" i="50"/>
  <c r="F116" i="50"/>
  <c r="G120" i="50"/>
  <c r="F120" i="50"/>
  <c r="G122" i="50"/>
  <c r="F122" i="50"/>
  <c r="G128" i="50"/>
  <c r="G127" i="50" s="1"/>
  <c r="F128" i="50"/>
  <c r="G133" i="50"/>
  <c r="F133" i="50"/>
  <c r="G135" i="50"/>
  <c r="F135" i="50"/>
  <c r="G137" i="50"/>
  <c r="F137" i="50"/>
  <c r="G139" i="50"/>
  <c r="F139" i="50"/>
  <c r="G141" i="50"/>
  <c r="F141" i="50"/>
  <c r="G144" i="50"/>
  <c r="F144" i="50"/>
  <c r="G146" i="50"/>
  <c r="F146" i="50"/>
  <c r="G150" i="50"/>
  <c r="F150" i="50"/>
  <c r="G152" i="50"/>
  <c r="F152" i="50"/>
  <c r="G154" i="50"/>
  <c r="F154" i="50"/>
  <c r="G157" i="50"/>
  <c r="F157" i="50"/>
  <c r="G160" i="50"/>
  <c r="F160" i="50"/>
  <c r="G163" i="50"/>
  <c r="F163" i="50"/>
  <c r="G166" i="50"/>
  <c r="F166" i="50"/>
  <c r="G170" i="50"/>
  <c r="F170" i="50"/>
  <c r="F165" i="50" s="1"/>
  <c r="G173" i="50"/>
  <c r="F173" i="50"/>
  <c r="G179" i="50"/>
  <c r="G178" i="50" s="1"/>
  <c r="F179" i="50"/>
  <c r="F178" i="50" s="1"/>
  <c r="G165" i="50" l="1"/>
  <c r="G143" i="50"/>
  <c r="G149" i="50"/>
  <c r="F149" i="50"/>
  <c r="F143" i="50"/>
  <c r="G132" i="50"/>
  <c r="I128" i="50"/>
  <c r="H128" i="50"/>
  <c r="F127" i="50"/>
  <c r="G111" i="50"/>
  <c r="H106" i="50"/>
  <c r="H102" i="50"/>
  <c r="H100" i="50"/>
  <c r="H99" i="50"/>
  <c r="H97" i="50"/>
  <c r="H93" i="50"/>
  <c r="H86" i="50"/>
  <c r="H85" i="50"/>
  <c r="H82" i="50"/>
  <c r="H81" i="50"/>
  <c r="H79" i="50"/>
  <c r="H76" i="50"/>
  <c r="H74" i="50"/>
  <c r="H73" i="50"/>
  <c r="H70" i="50"/>
  <c r="H68" i="50"/>
  <c r="H66" i="50"/>
  <c r="H64" i="50"/>
  <c r="H62" i="50"/>
  <c r="I106" i="50"/>
  <c r="I105" i="50"/>
  <c r="I104" i="50"/>
  <c r="I102" i="50"/>
  <c r="I100" i="50"/>
  <c r="I99" i="50"/>
  <c r="I97" i="50"/>
  <c r="I93" i="50"/>
  <c r="I90" i="50"/>
  <c r="I86" i="50"/>
  <c r="I85" i="50"/>
  <c r="I82" i="50"/>
  <c r="I81" i="50"/>
  <c r="I79" i="50"/>
  <c r="I76" i="50"/>
  <c r="I74" i="50"/>
  <c r="I73" i="50"/>
  <c r="I70" i="50"/>
  <c r="I68" i="50"/>
  <c r="I66" i="50"/>
  <c r="I64" i="50"/>
  <c r="I62" i="50"/>
  <c r="I60" i="50"/>
  <c r="G92" i="50"/>
  <c r="G91" i="50" s="1"/>
  <c r="F92" i="50"/>
  <c r="F91" i="50" s="1"/>
  <c r="G72" i="50"/>
  <c r="G71" i="50" s="1"/>
  <c r="F72" i="50"/>
  <c r="G69" i="50"/>
  <c r="F69" i="50"/>
  <c r="G65" i="50"/>
  <c r="F65" i="50"/>
  <c r="G63" i="50"/>
  <c r="G61" i="50"/>
  <c r="F61" i="50"/>
  <c r="G59" i="50"/>
  <c r="F59" i="50"/>
  <c r="G80" i="50"/>
  <c r="G77" i="50" s="1"/>
  <c r="F80" i="50"/>
  <c r="F77" i="50" s="1"/>
  <c r="G89" i="50"/>
  <c r="G98" i="50"/>
  <c r="F98" i="50"/>
  <c r="G103" i="50"/>
  <c r="F103" i="50"/>
  <c r="H103" i="50" s="1"/>
  <c r="E212" i="50"/>
  <c r="E198" i="50"/>
  <c r="E196" i="50"/>
  <c r="E190" i="50"/>
  <c r="E188" i="50"/>
  <c r="E186" i="50"/>
  <c r="I53" i="50"/>
  <c r="F33" i="50"/>
  <c r="F25" i="50"/>
  <c r="C25" i="50"/>
  <c r="C22" i="50" s="1"/>
  <c r="E22" i="50" s="1"/>
  <c r="G30" i="50"/>
  <c r="G22" i="50" s="1"/>
  <c r="F30" i="50"/>
  <c r="G33" i="50"/>
  <c r="G46" i="50"/>
  <c r="F46" i="50"/>
  <c r="G44" i="50"/>
  <c r="F44" i="50"/>
  <c r="G42" i="50"/>
  <c r="F42" i="50"/>
  <c r="G12" i="50"/>
  <c r="G11" i="50" s="1"/>
  <c r="F12" i="50"/>
  <c r="F11" i="50" s="1"/>
  <c r="D212" i="50"/>
  <c r="D200" i="50"/>
  <c r="D198" i="50"/>
  <c r="D196" i="50"/>
  <c r="D190" i="50"/>
  <c r="D188" i="50"/>
  <c r="D186" i="50"/>
  <c r="C203" i="50"/>
  <c r="C200" i="50"/>
  <c r="C198" i="50"/>
  <c r="C196" i="50"/>
  <c r="C193" i="50"/>
  <c r="C186" i="50"/>
  <c r="C212" i="50"/>
  <c r="C211" i="50" s="1"/>
  <c r="C210" i="50" s="1"/>
  <c r="C209" i="50" s="1"/>
  <c r="D112" i="50"/>
  <c r="E112" i="50"/>
  <c r="H112" i="50" s="1"/>
  <c r="D114" i="50"/>
  <c r="E114" i="50"/>
  <c r="H114" i="50" s="1"/>
  <c r="D116" i="50"/>
  <c r="E116" i="50"/>
  <c r="H116" i="50" s="1"/>
  <c r="D120" i="50"/>
  <c r="E120" i="50"/>
  <c r="D122" i="50"/>
  <c r="E122" i="50"/>
  <c r="H122" i="50" s="1"/>
  <c r="D124" i="50"/>
  <c r="E127" i="50"/>
  <c r="D128" i="50"/>
  <c r="D127" i="50" s="1"/>
  <c r="D135" i="50"/>
  <c r="D133" i="50" s="1"/>
  <c r="E135" i="50"/>
  <c r="D137" i="50"/>
  <c r="E137" i="50"/>
  <c r="I137" i="50" s="1"/>
  <c r="D139" i="50"/>
  <c r="H139" i="50"/>
  <c r="D141" i="50"/>
  <c r="E141" i="50"/>
  <c r="H141" i="50" s="1"/>
  <c r="D144" i="50"/>
  <c r="E144" i="50"/>
  <c r="H144" i="50" s="1"/>
  <c r="I146" i="50"/>
  <c r="D150" i="50"/>
  <c r="E150" i="50"/>
  <c r="D152" i="50"/>
  <c r="E152" i="50"/>
  <c r="D154" i="50"/>
  <c r="E154" i="50"/>
  <c r="I154" i="50" s="1"/>
  <c r="D157" i="50"/>
  <c r="H157" i="50"/>
  <c r="D160" i="50"/>
  <c r="E160" i="50"/>
  <c r="H160" i="50" s="1"/>
  <c r="D163" i="50"/>
  <c r="E163" i="50"/>
  <c r="I163" i="50" s="1"/>
  <c r="D166" i="50"/>
  <c r="E166" i="50"/>
  <c r="I166" i="50" s="1"/>
  <c r="D170" i="50"/>
  <c r="E170" i="50"/>
  <c r="I170" i="50" s="1"/>
  <c r="D173" i="50"/>
  <c r="E173" i="50"/>
  <c r="D179" i="50"/>
  <c r="D178" i="50" s="1"/>
  <c r="E180" i="50"/>
  <c r="C179" i="50"/>
  <c r="C178" i="50" s="1"/>
  <c r="C173" i="50"/>
  <c r="C170" i="50"/>
  <c r="C166" i="50"/>
  <c r="C163" i="50"/>
  <c r="C160" i="50"/>
  <c r="C152" i="50"/>
  <c r="C150" i="50"/>
  <c r="C146" i="50"/>
  <c r="C144" i="50"/>
  <c r="C141" i="50"/>
  <c r="C139" i="50"/>
  <c r="C135" i="50"/>
  <c r="C128" i="50"/>
  <c r="C127" i="50" s="1"/>
  <c r="C122" i="50"/>
  <c r="C120" i="50"/>
  <c r="C116" i="50"/>
  <c r="C114" i="50"/>
  <c r="C112" i="50"/>
  <c r="D103" i="50"/>
  <c r="E103" i="50"/>
  <c r="D101" i="50"/>
  <c r="E101" i="50"/>
  <c r="H101" i="50" s="1"/>
  <c r="D98" i="50"/>
  <c r="E98" i="50"/>
  <c r="D96" i="50"/>
  <c r="E96" i="50"/>
  <c r="H96" i="50" s="1"/>
  <c r="D92" i="50"/>
  <c r="D91" i="50" s="1"/>
  <c r="E91" i="50"/>
  <c r="D89" i="50"/>
  <c r="D88" i="50" s="1"/>
  <c r="E89" i="50"/>
  <c r="E88" i="50" s="1"/>
  <c r="D84" i="50"/>
  <c r="E84" i="50"/>
  <c r="I84" i="50" s="1"/>
  <c r="D80" i="50"/>
  <c r="E80" i="50"/>
  <c r="D78" i="50"/>
  <c r="E78" i="50"/>
  <c r="H78" i="50" s="1"/>
  <c r="D75" i="50"/>
  <c r="D72" i="50"/>
  <c r="E72" i="50"/>
  <c r="E69" i="50"/>
  <c r="H69" i="50" s="1"/>
  <c r="E61" i="50"/>
  <c r="E59" i="50"/>
  <c r="C103" i="50"/>
  <c r="C101" i="50"/>
  <c r="C98" i="50"/>
  <c r="C96" i="50"/>
  <c r="C89" i="50"/>
  <c r="C88" i="50" s="1"/>
  <c r="C80" i="50"/>
  <c r="C78" i="50"/>
  <c r="C75" i="50"/>
  <c r="C72" i="50"/>
  <c r="C69" i="50"/>
  <c r="C67" i="50"/>
  <c r="E67" i="50" s="1"/>
  <c r="H67" i="50" s="1"/>
  <c r="C65" i="50"/>
  <c r="E65" i="50" s="1"/>
  <c r="C63" i="50"/>
  <c r="E63" i="50" s="1"/>
  <c r="C61" i="50"/>
  <c r="C59" i="50"/>
  <c r="E41" i="50"/>
  <c r="I41" i="50" s="1"/>
  <c r="E43" i="50"/>
  <c r="I43" i="50" s="1"/>
  <c r="E45" i="50"/>
  <c r="I45" i="50" s="1"/>
  <c r="E47" i="50"/>
  <c r="I47" i="50" s="1"/>
  <c r="E48" i="50"/>
  <c r="I48" i="50" s="1"/>
  <c r="E49" i="50"/>
  <c r="I49" i="50" s="1"/>
  <c r="E52" i="50"/>
  <c r="H52" i="50" s="1"/>
  <c r="E34" i="50"/>
  <c r="I34" i="50" s="1"/>
  <c r="E35" i="50"/>
  <c r="I35" i="50" s="1"/>
  <c r="E36" i="50"/>
  <c r="I36" i="50" s="1"/>
  <c r="E37" i="50"/>
  <c r="I37" i="50" s="1"/>
  <c r="E38" i="50"/>
  <c r="I38" i="50" s="1"/>
  <c r="E39" i="50"/>
  <c r="I39" i="50" s="1"/>
  <c r="E40" i="50"/>
  <c r="I40" i="50" s="1"/>
  <c r="C11" i="50"/>
  <c r="E11" i="50" s="1"/>
  <c r="E51" i="50"/>
  <c r="H51" i="50" s="1"/>
  <c r="C46" i="50"/>
  <c r="E46" i="50" s="1"/>
  <c r="C44" i="50"/>
  <c r="E44" i="50" s="1"/>
  <c r="I44" i="50" s="1"/>
  <c r="C42" i="50"/>
  <c r="E42" i="50" s="1"/>
  <c r="I42" i="50" s="1"/>
  <c r="D165" i="50" l="1"/>
  <c r="C132" i="50"/>
  <c r="E75" i="50"/>
  <c r="H75" i="50" s="1"/>
  <c r="C111" i="50"/>
  <c r="H120" i="50"/>
  <c r="E111" i="50"/>
  <c r="C95" i="50"/>
  <c r="F95" i="50"/>
  <c r="G32" i="50"/>
  <c r="G10" i="50" s="1"/>
  <c r="F10" i="65" s="1"/>
  <c r="F9" i="65" s="1"/>
  <c r="G95" i="50"/>
  <c r="G107" i="50" s="1"/>
  <c r="D77" i="50"/>
  <c r="C71" i="50"/>
  <c r="E58" i="50"/>
  <c r="I124" i="50"/>
  <c r="H124" i="50"/>
  <c r="E77" i="50"/>
  <c r="H77" i="50" s="1"/>
  <c r="D149" i="50"/>
  <c r="D111" i="50"/>
  <c r="C149" i="50"/>
  <c r="G181" i="50"/>
  <c r="D95" i="50"/>
  <c r="I83" i="50"/>
  <c r="I91" i="50"/>
  <c r="H91" i="50"/>
  <c r="I173" i="50"/>
  <c r="H173" i="50"/>
  <c r="E149" i="50"/>
  <c r="H149" i="50" s="1"/>
  <c r="E133" i="50"/>
  <c r="I135" i="50"/>
  <c r="H135" i="50"/>
  <c r="H61" i="50"/>
  <c r="I65" i="50"/>
  <c r="I72" i="50"/>
  <c r="I69" i="50"/>
  <c r="I75" i="50"/>
  <c r="I80" i="50"/>
  <c r="I92" i="50"/>
  <c r="H84" i="50"/>
  <c r="I112" i="50"/>
  <c r="I122" i="50"/>
  <c r="I157" i="50"/>
  <c r="H163" i="50"/>
  <c r="H137" i="50"/>
  <c r="H146" i="50"/>
  <c r="D132" i="50"/>
  <c r="H80" i="50"/>
  <c r="H92" i="50"/>
  <c r="I116" i="50"/>
  <c r="I144" i="50"/>
  <c r="H150" i="50"/>
  <c r="G110" i="50"/>
  <c r="I152" i="50"/>
  <c r="H152" i="50"/>
  <c r="E143" i="50"/>
  <c r="I143" i="50" s="1"/>
  <c r="I111" i="50"/>
  <c r="E185" i="50"/>
  <c r="I98" i="50"/>
  <c r="H63" i="50"/>
  <c r="E95" i="50"/>
  <c r="I67" i="50"/>
  <c r="I78" i="50"/>
  <c r="I96" i="50"/>
  <c r="I101" i="50"/>
  <c r="I114" i="50"/>
  <c r="I141" i="50"/>
  <c r="I150" i="50"/>
  <c r="I160" i="50"/>
  <c r="H170" i="50"/>
  <c r="I139" i="50"/>
  <c r="H154" i="50"/>
  <c r="C143" i="50"/>
  <c r="C165" i="50"/>
  <c r="D143" i="50"/>
  <c r="F71" i="50"/>
  <c r="I120" i="50"/>
  <c r="I88" i="50"/>
  <c r="H88" i="50"/>
  <c r="H89" i="50"/>
  <c r="I89" i="50"/>
  <c r="I63" i="50"/>
  <c r="I61" i="50"/>
  <c r="I59" i="50"/>
  <c r="F22" i="50"/>
  <c r="E165" i="50"/>
  <c r="H165" i="50" s="1"/>
  <c r="E179" i="50"/>
  <c r="H179" i="50" s="1"/>
  <c r="E178" i="50"/>
  <c r="H166" i="50"/>
  <c r="H49" i="50"/>
  <c r="H127" i="50"/>
  <c r="I127" i="50"/>
  <c r="I103" i="50"/>
  <c r="H98" i="50"/>
  <c r="H72" i="50"/>
  <c r="H65" i="50"/>
  <c r="H59" i="50"/>
  <c r="I46" i="50"/>
  <c r="F32" i="50"/>
  <c r="I212" i="50"/>
  <c r="H212" i="50"/>
  <c r="E209" i="50"/>
  <c r="H203" i="50"/>
  <c r="I203" i="50"/>
  <c r="H198" i="50"/>
  <c r="I198" i="50"/>
  <c r="E192" i="50"/>
  <c r="H192" i="50" s="1"/>
  <c r="I196" i="50"/>
  <c r="H196" i="50"/>
  <c r="I190" i="50"/>
  <c r="H190" i="50"/>
  <c r="I188" i="50"/>
  <c r="H188" i="50"/>
  <c r="H186" i="50"/>
  <c r="I186" i="50"/>
  <c r="D185" i="50"/>
  <c r="D192" i="50"/>
  <c r="D209" i="50"/>
  <c r="I180" i="50"/>
  <c r="D71" i="50"/>
  <c r="H37" i="50"/>
  <c r="H41" i="50"/>
  <c r="H36" i="50"/>
  <c r="H48" i="50"/>
  <c r="H44" i="50"/>
  <c r="H40" i="50"/>
  <c r="I52" i="50"/>
  <c r="H39" i="50"/>
  <c r="H35" i="50"/>
  <c r="H47" i="50"/>
  <c r="H43" i="50"/>
  <c r="I51" i="50"/>
  <c r="C58" i="50"/>
  <c r="H38" i="50"/>
  <c r="H34" i="50"/>
  <c r="H46" i="50"/>
  <c r="H42" i="50"/>
  <c r="C77" i="50"/>
  <c r="E71" i="50"/>
  <c r="E50" i="50"/>
  <c r="H50" i="50" s="1"/>
  <c r="D19" i="61"/>
  <c r="G19" i="61" s="1"/>
  <c r="B10" i="61"/>
  <c r="B22" i="61"/>
  <c r="C22" i="61"/>
  <c r="D23" i="61"/>
  <c r="D25" i="61"/>
  <c r="G25" i="61" s="1"/>
  <c r="D26" i="61"/>
  <c r="G26" i="61" s="1"/>
  <c r="D27" i="61"/>
  <c r="G27" i="61"/>
  <c r="D11" i="61"/>
  <c r="G11" i="61" s="1"/>
  <c r="D9" i="38"/>
  <c r="G9" i="38" s="1"/>
  <c r="G11" i="71"/>
  <c r="H37" i="55"/>
  <c r="G37" i="55"/>
  <c r="D37" i="55"/>
  <c r="G57" i="50" l="1"/>
  <c r="D181" i="50"/>
  <c r="C181" i="50"/>
  <c r="I77" i="50"/>
  <c r="G54" i="50"/>
  <c r="F107" i="50"/>
  <c r="D184" i="50"/>
  <c r="D57" i="50"/>
  <c r="I165" i="50"/>
  <c r="E57" i="50"/>
  <c r="H44" i="55"/>
  <c r="I179" i="50"/>
  <c r="D107" i="50"/>
  <c r="F54" i="50"/>
  <c r="F10" i="50"/>
  <c r="E10" i="65" s="1"/>
  <c r="D214" i="50"/>
  <c r="I185" i="50"/>
  <c r="E214" i="50"/>
  <c r="C110" i="50"/>
  <c r="H185" i="50"/>
  <c r="I149" i="50"/>
  <c r="H143" i="50"/>
  <c r="H111" i="50"/>
  <c r="H83" i="50"/>
  <c r="C107" i="50"/>
  <c r="I71" i="50"/>
  <c r="H71" i="50"/>
  <c r="E132" i="50"/>
  <c r="E110" i="50" s="1"/>
  <c r="I110" i="50" s="1"/>
  <c r="H133" i="50"/>
  <c r="I133" i="50"/>
  <c r="D110" i="50"/>
  <c r="I178" i="50"/>
  <c r="H178" i="50"/>
  <c r="E184" i="50"/>
  <c r="I95" i="50"/>
  <c r="H95" i="50"/>
  <c r="F57" i="50"/>
  <c r="I58" i="50"/>
  <c r="H58" i="50"/>
  <c r="H209" i="50"/>
  <c r="I209" i="50"/>
  <c r="H200" i="50"/>
  <c r="I200" i="50"/>
  <c r="I192" i="50"/>
  <c r="C57" i="50"/>
  <c r="E107" i="50"/>
  <c r="I50" i="50"/>
  <c r="G23" i="61"/>
  <c r="D215" i="50" l="1"/>
  <c r="I132" i="50"/>
  <c r="H132" i="50"/>
  <c r="H181" i="50" s="1"/>
  <c r="E181" i="50"/>
  <c r="I181" i="50" s="1"/>
  <c r="H110" i="50"/>
  <c r="I184" i="50"/>
  <c r="H184" i="50"/>
  <c r="I214" i="50"/>
  <c r="H214" i="50"/>
  <c r="G215" i="50"/>
  <c r="E14" i="20" s="1"/>
  <c r="H107" i="50"/>
  <c r="I107" i="50"/>
  <c r="H57" i="50"/>
  <c r="I57" i="50"/>
  <c r="F215" i="50"/>
  <c r="D14" i="20" s="1"/>
  <c r="F60" i="51"/>
  <c r="G60" i="51"/>
  <c r="D16" i="54" l="1"/>
  <c r="D12" i="20"/>
  <c r="E16" i="54"/>
  <c r="E12" i="20"/>
  <c r="F12" i="76"/>
  <c r="F11" i="76" s="1"/>
  <c r="F15" i="42"/>
  <c r="E15" i="42"/>
  <c r="E14" i="42" s="1"/>
  <c r="E12" i="76"/>
  <c r="C12" i="76"/>
  <c r="C15" i="42"/>
  <c r="G13" i="65"/>
  <c r="D13" i="76"/>
  <c r="D14" i="76"/>
  <c r="G14" i="76" s="1"/>
  <c r="D15" i="76"/>
  <c r="G15" i="76" s="1"/>
  <c r="D16" i="76"/>
  <c r="G16" i="76" s="1"/>
  <c r="D17" i="76"/>
  <c r="G17" i="76" s="1"/>
  <c r="D18" i="76"/>
  <c r="G18" i="76" s="1"/>
  <c r="D19" i="76"/>
  <c r="G19" i="76" s="1"/>
  <c r="D20" i="76"/>
  <c r="G20" i="76" s="1"/>
  <c r="B21" i="76"/>
  <c r="C21" i="76"/>
  <c r="E21" i="76"/>
  <c r="F21" i="76"/>
  <c r="D22" i="76"/>
  <c r="D23" i="76"/>
  <c r="G23" i="76"/>
  <c r="D24" i="76"/>
  <c r="G24" i="76" s="1"/>
  <c r="B25" i="76"/>
  <c r="C25" i="76"/>
  <c r="E25" i="76"/>
  <c r="F25" i="76"/>
  <c r="D26" i="76"/>
  <c r="D28" i="76"/>
  <c r="G28" i="76"/>
  <c r="B29" i="76"/>
  <c r="C29" i="76"/>
  <c r="E29" i="76"/>
  <c r="F29" i="76"/>
  <c r="D30" i="76"/>
  <c r="G30" i="76" s="1"/>
  <c r="D31" i="76"/>
  <c r="G31" i="76" s="1"/>
  <c r="D32" i="76"/>
  <c r="G32" i="76" s="1"/>
  <c r="D33" i="76"/>
  <c r="G33" i="76" s="1"/>
  <c r="B34" i="76"/>
  <c r="C34" i="76"/>
  <c r="E34" i="76"/>
  <c r="F34" i="76"/>
  <c r="D35" i="76"/>
  <c r="D36" i="76"/>
  <c r="G36" i="76" s="1"/>
  <c r="D37" i="76"/>
  <c r="G37" i="76" s="1"/>
  <c r="D38" i="76"/>
  <c r="G38" i="76"/>
  <c r="B39" i="76"/>
  <c r="C39" i="76"/>
  <c r="E39" i="76"/>
  <c r="F39" i="76"/>
  <c r="D40" i="76"/>
  <c r="D41" i="76"/>
  <c r="G41" i="76" s="1"/>
  <c r="D42" i="76"/>
  <c r="G42" i="76" s="1"/>
  <c r="C11" i="76" l="1"/>
  <c r="C43" i="76" s="1"/>
  <c r="C14" i="42"/>
  <c r="E11" i="76"/>
  <c r="E43" i="76" s="1"/>
  <c r="F43" i="76"/>
  <c r="G13" i="76"/>
  <c r="D39" i="76"/>
  <c r="D29" i="76"/>
  <c r="D34" i="76"/>
  <c r="G40" i="76"/>
  <c r="D25" i="76"/>
  <c r="D21" i="76"/>
  <c r="G39" i="76"/>
  <c r="G29" i="76"/>
  <c r="G35" i="76"/>
  <c r="G34" i="76" s="1"/>
  <c r="G26" i="76"/>
  <c r="G25" i="76" s="1"/>
  <c r="G22" i="76"/>
  <c r="G21" i="76" s="1"/>
  <c r="F20" i="20"/>
  <c r="A5" i="50"/>
  <c r="A5" i="62"/>
  <c r="I11" i="50"/>
  <c r="H21" i="44"/>
  <c r="A5" i="61"/>
  <c r="J18" i="52"/>
  <c r="A4" i="52"/>
  <c r="F29" i="75"/>
  <c r="E29" i="75"/>
  <c r="F24" i="75"/>
  <c r="F35" i="75" s="1"/>
  <c r="E24" i="75"/>
  <c r="F15" i="75"/>
  <c r="E15" i="75"/>
  <c r="F10" i="75"/>
  <c r="F21" i="75" s="1"/>
  <c r="E10" i="75"/>
  <c r="A4" i="75"/>
  <c r="A3" i="75"/>
  <c r="A4" i="74"/>
  <c r="A3" i="74"/>
  <c r="C60" i="74"/>
  <c r="C53" i="74"/>
  <c r="C47" i="74" s="1"/>
  <c r="B53" i="74"/>
  <c r="C48" i="74"/>
  <c r="B48" i="74"/>
  <c r="C39" i="74"/>
  <c r="B39" i="74"/>
  <c r="C29" i="74"/>
  <c r="C28" i="74" s="1"/>
  <c r="B29" i="74"/>
  <c r="B28" i="74" s="1"/>
  <c r="C17" i="74"/>
  <c r="B17" i="74"/>
  <c r="B7" i="74" s="1"/>
  <c r="C8" i="74"/>
  <c r="C7" i="74" l="1"/>
  <c r="E35" i="75"/>
  <c r="E21" i="75"/>
  <c r="E39" i="75"/>
  <c r="B47" i="74"/>
  <c r="A5" i="65"/>
  <c r="E10" i="21" l="1"/>
  <c r="E11" i="21"/>
  <c r="E12" i="21"/>
  <c r="E13" i="21"/>
  <c r="D44" i="72"/>
  <c r="G44" i="72" s="1"/>
  <c r="D43" i="72"/>
  <c r="G43" i="72" s="1"/>
  <c r="D42" i="72"/>
  <c r="G42" i="72" s="1"/>
  <c r="D41" i="72"/>
  <c r="G41" i="72" s="1"/>
  <c r="F40" i="72"/>
  <c r="E40" i="72"/>
  <c r="C40" i="72"/>
  <c r="B40" i="72"/>
  <c r="D40" i="72" s="1"/>
  <c r="G40" i="72" s="1"/>
  <c r="G39" i="72"/>
  <c r="D39" i="72"/>
  <c r="D38" i="72"/>
  <c r="G38" i="72" s="1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F29" i="72"/>
  <c r="E29" i="72"/>
  <c r="C29" i="72"/>
  <c r="B29" i="72"/>
  <c r="D29" i="72" s="1"/>
  <c r="G29" i="72" s="1"/>
  <c r="G28" i="72"/>
  <c r="D28" i="72"/>
  <c r="D27" i="72"/>
  <c r="G27" i="72" s="1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F20" i="72"/>
  <c r="E20" i="72"/>
  <c r="C20" i="72"/>
  <c r="B20" i="72"/>
  <c r="D20" i="72" s="1"/>
  <c r="G20" i="72" s="1"/>
  <c r="G19" i="72"/>
  <c r="D19" i="72"/>
  <c r="D18" i="72"/>
  <c r="G18" i="72" s="1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B10" i="72"/>
  <c r="A5" i="72"/>
  <c r="A4" i="72"/>
  <c r="E158" i="71"/>
  <c r="E157" i="71"/>
  <c r="H157" i="71" s="1"/>
  <c r="E156" i="71"/>
  <c r="H156" i="71" s="1"/>
  <c r="E155" i="71"/>
  <c r="H155" i="71" s="1"/>
  <c r="H154" i="71"/>
  <c r="E154" i="71"/>
  <c r="E153" i="71"/>
  <c r="E152" i="71"/>
  <c r="H152" i="71" s="1"/>
  <c r="E151" i="71"/>
  <c r="H151" i="71" s="1"/>
  <c r="G150" i="71"/>
  <c r="F150" i="71"/>
  <c r="D150" i="71"/>
  <c r="C150" i="71"/>
  <c r="E149" i="71"/>
  <c r="H149" i="71" s="1"/>
  <c r="E148" i="71"/>
  <c r="H148" i="71" s="1"/>
  <c r="E147" i="71"/>
  <c r="G146" i="71"/>
  <c r="F146" i="71"/>
  <c r="D146" i="71"/>
  <c r="C146" i="71"/>
  <c r="E145" i="71"/>
  <c r="H145" i="71" s="1"/>
  <c r="E144" i="71"/>
  <c r="H144" i="71" s="1"/>
  <c r="E143" i="71"/>
  <c r="H143" i="71" s="1"/>
  <c r="H142" i="71"/>
  <c r="E142" i="71"/>
  <c r="E141" i="71"/>
  <c r="E140" i="71"/>
  <c r="H140" i="71" s="1"/>
  <c r="E139" i="71"/>
  <c r="H139" i="71" s="1"/>
  <c r="E138" i="71"/>
  <c r="H138" i="71" s="1"/>
  <c r="G137" i="71"/>
  <c r="F137" i="71"/>
  <c r="D137" i="71"/>
  <c r="C137" i="71"/>
  <c r="E136" i="71"/>
  <c r="H136" i="71" s="1"/>
  <c r="E135" i="71"/>
  <c r="H135" i="71" s="1"/>
  <c r="E134" i="71"/>
  <c r="H134" i="71" s="1"/>
  <c r="G133" i="71"/>
  <c r="F133" i="71"/>
  <c r="D133" i="71"/>
  <c r="C133" i="71"/>
  <c r="E132" i="71"/>
  <c r="H132" i="71" s="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G123" i="71"/>
  <c r="F123" i="71"/>
  <c r="D123" i="71"/>
  <c r="C123" i="71"/>
  <c r="E122" i="71"/>
  <c r="H122" i="71" s="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G113" i="71"/>
  <c r="F113" i="71"/>
  <c r="D113" i="71"/>
  <c r="C113" i="71"/>
  <c r="H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4" i="71"/>
  <c r="G103" i="71"/>
  <c r="C103" i="71"/>
  <c r="E102" i="71"/>
  <c r="H102" i="71" s="1"/>
  <c r="E101" i="71"/>
  <c r="H101" i="71" s="1"/>
  <c r="H100" i="71"/>
  <c r="E100" i="7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G93" i="71"/>
  <c r="F93" i="71"/>
  <c r="D93" i="71"/>
  <c r="C93" i="71"/>
  <c r="E92" i="71"/>
  <c r="H92" i="71" s="1"/>
  <c r="E91" i="71"/>
  <c r="H91" i="71" s="1"/>
  <c r="E90" i="71"/>
  <c r="H90" i="71" s="1"/>
  <c r="E89" i="71"/>
  <c r="E88" i="71"/>
  <c r="H88" i="71" s="1"/>
  <c r="E87" i="71"/>
  <c r="H87" i="71" s="1"/>
  <c r="E86" i="71"/>
  <c r="H86" i="71" s="1"/>
  <c r="G85" i="71"/>
  <c r="F85" i="71"/>
  <c r="D85" i="71"/>
  <c r="C85" i="71"/>
  <c r="E83" i="71"/>
  <c r="H83" i="71" s="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G76" i="71"/>
  <c r="F76" i="71"/>
  <c r="D76" i="71"/>
  <c r="C76" i="71"/>
  <c r="E75" i="71"/>
  <c r="H75" i="71" s="1"/>
  <c r="E74" i="71"/>
  <c r="H74" i="71" s="1"/>
  <c r="E73" i="71"/>
  <c r="H73" i="71" s="1"/>
  <c r="G72" i="71"/>
  <c r="F72" i="71"/>
  <c r="D72" i="71"/>
  <c r="C72" i="71"/>
  <c r="E71" i="71"/>
  <c r="H71" i="71" s="1"/>
  <c r="E70" i="71"/>
  <c r="H70" i="71" s="1"/>
  <c r="E69" i="71"/>
  <c r="H69" i="71" s="1"/>
  <c r="E68" i="71"/>
  <c r="H68" i="71" s="1"/>
  <c r="E67" i="71"/>
  <c r="H67" i="71" s="1"/>
  <c r="H66" i="71"/>
  <c r="E66" i="71"/>
  <c r="E65" i="71"/>
  <c r="H65" i="71" s="1"/>
  <c r="E64" i="71"/>
  <c r="H64" i="71" s="1"/>
  <c r="G63" i="71"/>
  <c r="F63" i="71"/>
  <c r="D63" i="71"/>
  <c r="C63" i="71"/>
  <c r="E62" i="71"/>
  <c r="H62" i="71" s="1"/>
  <c r="E61" i="71"/>
  <c r="H61" i="71" s="1"/>
  <c r="E60" i="71"/>
  <c r="H60" i="71" s="1"/>
  <c r="G59" i="71"/>
  <c r="F59" i="71"/>
  <c r="D59" i="71"/>
  <c r="C59" i="71"/>
  <c r="E58" i="71"/>
  <c r="H58" i="71" s="1"/>
  <c r="E57" i="71"/>
  <c r="E56" i="71"/>
  <c r="H56" i="71" s="1"/>
  <c r="E55" i="71"/>
  <c r="H55" i="71" s="1"/>
  <c r="E54" i="71"/>
  <c r="H54" i="71" s="1"/>
  <c r="E53" i="71"/>
  <c r="E52" i="71"/>
  <c r="H52" i="71" s="1"/>
  <c r="E51" i="71"/>
  <c r="H51" i="71" s="1"/>
  <c r="E50" i="71"/>
  <c r="H50" i="71" s="1"/>
  <c r="D49" i="71"/>
  <c r="C49" i="71"/>
  <c r="E48" i="71"/>
  <c r="H48" i="71" s="1"/>
  <c r="E47" i="71"/>
  <c r="H47" i="71" s="1"/>
  <c r="E46" i="71"/>
  <c r="H46" i="71" s="1"/>
  <c r="E45" i="71"/>
  <c r="H45" i="71" s="1"/>
  <c r="H44" i="71"/>
  <c r="E44" i="71"/>
  <c r="E43" i="71"/>
  <c r="E42" i="71"/>
  <c r="H42" i="71" s="1"/>
  <c r="E41" i="71"/>
  <c r="H41" i="71" s="1"/>
  <c r="E40" i="71"/>
  <c r="H40" i="71" s="1"/>
  <c r="G39" i="71"/>
  <c r="F39" i="71"/>
  <c r="F10" i="71" s="1"/>
  <c r="C39" i="71"/>
  <c r="E38" i="71"/>
  <c r="H38" i="71" s="1"/>
  <c r="E37" i="71"/>
  <c r="H37" i="71" s="1"/>
  <c r="E36" i="71"/>
  <c r="H36" i="71" s="1"/>
  <c r="E35" i="71"/>
  <c r="H35" i="71" s="1"/>
  <c r="E34" i="71"/>
  <c r="H34" i="71" s="1"/>
  <c r="E33" i="71"/>
  <c r="E32" i="71"/>
  <c r="H32" i="71" s="1"/>
  <c r="H31" i="71"/>
  <c r="H30" i="71"/>
  <c r="G29" i="71"/>
  <c r="D29" i="71"/>
  <c r="C29" i="7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E22" i="71"/>
  <c r="H22" i="71" s="1"/>
  <c r="E21" i="71"/>
  <c r="H21" i="71" s="1"/>
  <c r="E20" i="71"/>
  <c r="H20" i="71" s="1"/>
  <c r="G19" i="71"/>
  <c r="C19" i="71"/>
  <c r="E18" i="71"/>
  <c r="H18" i="71" s="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D11" i="71"/>
  <c r="C11" i="71"/>
  <c r="A2" i="71"/>
  <c r="D10" i="71" l="1"/>
  <c r="E39" i="71"/>
  <c r="H104" i="71"/>
  <c r="E103" i="71"/>
  <c r="E146" i="71"/>
  <c r="H57" i="71"/>
  <c r="E49" i="71"/>
  <c r="E19" i="71"/>
  <c r="H105" i="71"/>
  <c r="H72" i="71"/>
  <c r="F159" i="71"/>
  <c r="E29" i="71"/>
  <c r="C10" i="71"/>
  <c r="G10" i="71"/>
  <c r="H59" i="71"/>
  <c r="H76" i="71"/>
  <c r="D84" i="71"/>
  <c r="H84" i="71" s="1"/>
  <c r="H123" i="71"/>
  <c r="E72" i="71"/>
  <c r="E85" i="71"/>
  <c r="H113" i="71"/>
  <c r="E59" i="71"/>
  <c r="C84" i="71"/>
  <c r="E137" i="71"/>
  <c r="E150" i="71"/>
  <c r="B45" i="72"/>
  <c r="H133" i="71"/>
  <c r="H63" i="71"/>
  <c r="H93" i="71"/>
  <c r="H11" i="71"/>
  <c r="H103" i="71"/>
  <c r="H89" i="71"/>
  <c r="H85" i="71" s="1"/>
  <c r="H141" i="71"/>
  <c r="H137" i="71" s="1"/>
  <c r="H147" i="71"/>
  <c r="H146" i="71" s="1"/>
  <c r="H153" i="71"/>
  <c r="H150" i="71" s="1"/>
  <c r="E11" i="71"/>
  <c r="E63" i="71"/>
  <c r="E93" i="71"/>
  <c r="E113" i="71"/>
  <c r="E123" i="71"/>
  <c r="E133" i="71"/>
  <c r="E76" i="71"/>
  <c r="H23" i="71"/>
  <c r="H19" i="71" s="1"/>
  <c r="H33" i="71"/>
  <c r="H29" i="71" s="1"/>
  <c r="H43" i="71"/>
  <c r="H39" i="71" s="1"/>
  <c r="H53" i="71"/>
  <c r="D80" i="70"/>
  <c r="G80" i="70" s="1"/>
  <c r="G79" i="70"/>
  <c r="D79" i="70"/>
  <c r="D78" i="70"/>
  <c r="G78" i="70" s="1"/>
  <c r="D77" i="70"/>
  <c r="G77" i="70" s="1"/>
  <c r="D76" i="70"/>
  <c r="G76" i="70" s="1"/>
  <c r="G75" i="70"/>
  <c r="D75" i="70"/>
  <c r="D74" i="70"/>
  <c r="G74" i="70" s="1"/>
  <c r="F73" i="70"/>
  <c r="E73" i="70"/>
  <c r="C73" i="70"/>
  <c r="B73" i="70"/>
  <c r="D73" i="70" s="1"/>
  <c r="G73" i="70" s="1"/>
  <c r="D72" i="70"/>
  <c r="G72" i="70" s="1"/>
  <c r="D71" i="70"/>
  <c r="G71" i="70" s="1"/>
  <c r="D70" i="70"/>
  <c r="G70" i="70" s="1"/>
  <c r="F69" i="70"/>
  <c r="E69" i="70"/>
  <c r="C69" i="70"/>
  <c r="B69" i="70"/>
  <c r="D69" i="70" s="1"/>
  <c r="D68" i="70"/>
  <c r="G68" i="70" s="1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F61" i="70"/>
  <c r="E61" i="70"/>
  <c r="D61" i="70"/>
  <c r="G61" i="70" s="1"/>
  <c r="C61" i="70"/>
  <c r="B61" i="70"/>
  <c r="D60" i="70"/>
  <c r="G60" i="70" s="1"/>
  <c r="D59" i="70"/>
  <c r="G59" i="70" s="1"/>
  <c r="D58" i="70"/>
  <c r="G58" i="70" s="1"/>
  <c r="F57" i="70"/>
  <c r="E57" i="70"/>
  <c r="C57" i="70"/>
  <c r="B57" i="70"/>
  <c r="D56" i="70"/>
  <c r="G56" i="70" s="1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F47" i="70"/>
  <c r="E47" i="70"/>
  <c r="E10" i="37" s="1"/>
  <c r="F10" i="37" s="1"/>
  <c r="C47" i="70"/>
  <c r="C10" i="37" s="1"/>
  <c r="B47" i="70"/>
  <c r="D46" i="70"/>
  <c r="G46" i="70" s="1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F37" i="70"/>
  <c r="E37" i="70"/>
  <c r="C37" i="70"/>
  <c r="B37" i="70"/>
  <c r="G36" i="70"/>
  <c r="G35" i="70"/>
  <c r="D34" i="70"/>
  <c r="G34" i="70" s="1"/>
  <c r="D33" i="70"/>
  <c r="G33" i="70" s="1"/>
  <c r="D32" i="70"/>
  <c r="G32" i="70" s="1"/>
  <c r="G31" i="70"/>
  <c r="D30" i="70"/>
  <c r="G30" i="70" s="1"/>
  <c r="D29" i="70"/>
  <c r="G29" i="70" s="1"/>
  <c r="D28" i="70"/>
  <c r="G28" i="70" s="1"/>
  <c r="F27" i="70"/>
  <c r="C27" i="70"/>
  <c r="B27" i="70"/>
  <c r="B9" i="37" s="1"/>
  <c r="D26" i="70"/>
  <c r="G26" i="70" s="1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F17" i="70"/>
  <c r="E17" i="70"/>
  <c r="C17" i="70"/>
  <c r="B17" i="70"/>
  <c r="D16" i="70"/>
  <c r="G16" i="70" s="1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F9" i="70"/>
  <c r="C9" i="70"/>
  <c r="B9" i="70"/>
  <c r="A5" i="70"/>
  <c r="A4" i="70"/>
  <c r="C9" i="37" l="1"/>
  <c r="E10" i="71"/>
  <c r="H49" i="71"/>
  <c r="H10" i="71" s="1"/>
  <c r="E9" i="37"/>
  <c r="G159" i="71"/>
  <c r="F9" i="37"/>
  <c r="D159" i="71"/>
  <c r="D47" i="70"/>
  <c r="G47" i="70" s="1"/>
  <c r="C81" i="70"/>
  <c r="D27" i="70"/>
  <c r="G27" i="70" s="1"/>
  <c r="D17" i="70"/>
  <c r="G17" i="70" s="1"/>
  <c r="D57" i="70"/>
  <c r="G57" i="70" s="1"/>
  <c r="F81" i="70"/>
  <c r="F10" i="72" s="1"/>
  <c r="F45" i="72" s="1"/>
  <c r="C159" i="71"/>
  <c r="D37" i="70"/>
  <c r="G37" i="70" s="1"/>
  <c r="E84" i="71"/>
  <c r="D9" i="70"/>
  <c r="G9" i="70" s="1"/>
  <c r="G69" i="70"/>
  <c r="E81" i="70"/>
  <c r="B81" i="70"/>
  <c r="D11" i="72" l="1"/>
  <c r="G11" i="72" s="1"/>
  <c r="C10" i="72"/>
  <c r="H159" i="71"/>
  <c r="E10" i="72"/>
  <c r="E159" i="71"/>
  <c r="H49" i="72"/>
  <c r="H45" i="72"/>
  <c r="D81" i="70"/>
  <c r="C6" i="24"/>
  <c r="D6" i="24" s="1"/>
  <c r="D10" i="72" l="1"/>
  <c r="G10" i="72" s="1"/>
  <c r="C45" i="72"/>
  <c r="E45" i="72"/>
  <c r="G81" i="70"/>
  <c r="I67" i="55"/>
  <c r="I68" i="55"/>
  <c r="I13" i="55"/>
  <c r="H31" i="67"/>
  <c r="F67" i="55"/>
  <c r="F68" i="55"/>
  <c r="F13" i="55"/>
  <c r="E31" i="67"/>
  <c r="A4" i="67"/>
  <c r="A3" i="67"/>
  <c r="G33" i="67"/>
  <c r="G29" i="67" s="1"/>
  <c r="G36" i="67"/>
  <c r="G42" i="67"/>
  <c r="G48" i="67"/>
  <c r="C33" i="67"/>
  <c r="C29" i="67" s="1"/>
  <c r="C36" i="67"/>
  <c r="C42" i="67"/>
  <c r="C48" i="67"/>
  <c r="H30" i="67"/>
  <c r="H32" i="67"/>
  <c r="H34" i="67"/>
  <c r="H35" i="67"/>
  <c r="H37" i="67"/>
  <c r="H38" i="67"/>
  <c r="H39" i="67"/>
  <c r="H40" i="67"/>
  <c r="H43" i="67"/>
  <c r="H42" i="67"/>
  <c r="H49" i="67"/>
  <c r="H48" i="67" s="1"/>
  <c r="F33" i="67"/>
  <c r="F36" i="67"/>
  <c r="F29" i="67" s="1"/>
  <c r="F42" i="67"/>
  <c r="F48" i="67"/>
  <c r="E30" i="67"/>
  <c r="E32" i="67"/>
  <c r="E34" i="67"/>
  <c r="E33" i="67" s="1"/>
  <c r="E35" i="67"/>
  <c r="E37" i="67"/>
  <c r="E38" i="67"/>
  <c r="E39" i="67"/>
  <c r="E40" i="67"/>
  <c r="E43" i="67"/>
  <c r="E44" i="67"/>
  <c r="E45" i="67"/>
  <c r="E49" i="67"/>
  <c r="E48" i="67" s="1"/>
  <c r="D33" i="67"/>
  <c r="D29" i="67" s="1"/>
  <c r="D36" i="67"/>
  <c r="D42" i="67"/>
  <c r="D48" i="67"/>
  <c r="G13" i="67"/>
  <c r="G16" i="67"/>
  <c r="F13" i="67"/>
  <c r="F16" i="67"/>
  <c r="D13" i="67"/>
  <c r="D16" i="67"/>
  <c r="D24" i="67" s="1"/>
  <c r="H23" i="67"/>
  <c r="E23" i="67"/>
  <c r="E22" i="67"/>
  <c r="H21" i="67"/>
  <c r="E21" i="67"/>
  <c r="E20" i="67"/>
  <c r="E12" i="67"/>
  <c r="H18" i="67"/>
  <c r="E18" i="67"/>
  <c r="H17" i="67"/>
  <c r="E17" i="67"/>
  <c r="H16" i="67"/>
  <c r="H15" i="67"/>
  <c r="E15" i="67"/>
  <c r="H14" i="67"/>
  <c r="E14" i="67"/>
  <c r="E13" i="67"/>
  <c r="H11" i="67"/>
  <c r="E11" i="67"/>
  <c r="H10" i="67"/>
  <c r="E10" i="67"/>
  <c r="H9" i="67"/>
  <c r="E9" i="67"/>
  <c r="A4" i="65"/>
  <c r="A4" i="50"/>
  <c r="A4" i="54"/>
  <c r="C10" i="52"/>
  <c r="J10" i="52" s="1"/>
  <c r="C14" i="52"/>
  <c r="J14" i="52" s="1"/>
  <c r="D31" i="65"/>
  <c r="G31" i="65" s="1"/>
  <c r="D30" i="65"/>
  <c r="D28" i="65" s="1"/>
  <c r="D29" i="65"/>
  <c r="G29" i="65"/>
  <c r="F28" i="65"/>
  <c r="F21" i="65" s="1"/>
  <c r="E28" i="65"/>
  <c r="E21" i="65" s="1"/>
  <c r="C28" i="65"/>
  <c r="B28" i="65"/>
  <c r="B21" i="65" s="1"/>
  <c r="B16" i="65"/>
  <c r="D27" i="65"/>
  <c r="G27" i="65" s="1"/>
  <c r="D26" i="65"/>
  <c r="G26" i="65" s="1"/>
  <c r="D25" i="65"/>
  <c r="G25" i="65" s="1"/>
  <c r="D24" i="65"/>
  <c r="D22" i="65"/>
  <c r="G22" i="65" s="1"/>
  <c r="D23" i="65"/>
  <c r="D11" i="65"/>
  <c r="D12" i="65"/>
  <c r="G12" i="65" s="1"/>
  <c r="D14" i="65"/>
  <c r="D15" i="65"/>
  <c r="D17" i="65"/>
  <c r="G17" i="65" s="1"/>
  <c r="G16" i="65" s="1"/>
  <c r="D18" i="65"/>
  <c r="G18" i="65" s="1"/>
  <c r="D19" i="65"/>
  <c r="G19" i="65" s="1"/>
  <c r="C21" i="65"/>
  <c r="G11" i="65"/>
  <c r="G14" i="65"/>
  <c r="G15" i="65"/>
  <c r="F16" i="65"/>
  <c r="E16" i="65"/>
  <c r="E9" i="65" s="1"/>
  <c r="C16" i="65"/>
  <c r="I39" i="55"/>
  <c r="A4" i="53"/>
  <c r="A4" i="55" s="1"/>
  <c r="E19" i="54"/>
  <c r="D19" i="54"/>
  <c r="C19" i="54"/>
  <c r="H31" i="55"/>
  <c r="G31" i="55"/>
  <c r="E31" i="55"/>
  <c r="D31" i="55"/>
  <c r="C57" i="51"/>
  <c r="B57" i="51"/>
  <c r="C31" i="51"/>
  <c r="B31" i="51"/>
  <c r="C77" i="62"/>
  <c r="B9" i="51"/>
  <c r="D29" i="61"/>
  <c r="G29" i="61" s="1"/>
  <c r="D28" i="61"/>
  <c r="D18" i="61"/>
  <c r="G18" i="61" s="1"/>
  <c r="D17" i="61"/>
  <c r="G17" i="61" s="1"/>
  <c r="D16" i="61"/>
  <c r="G16" i="61" s="1"/>
  <c r="D15" i="61"/>
  <c r="G15" i="61" s="1"/>
  <c r="D13" i="61"/>
  <c r="G13" i="61" s="1"/>
  <c r="D12" i="61"/>
  <c r="I79" i="55"/>
  <c r="I78" i="55"/>
  <c r="I73" i="55"/>
  <c r="I66" i="55"/>
  <c r="I64" i="55" s="1"/>
  <c r="I65" i="55"/>
  <c r="I63" i="55"/>
  <c r="I62" i="55"/>
  <c r="I61" i="55"/>
  <c r="I59" i="55" s="1"/>
  <c r="I60" i="55"/>
  <c r="I58" i="55"/>
  <c r="I56" i="55"/>
  <c r="I55" i="55"/>
  <c r="I54" i="55"/>
  <c r="I53" i="55"/>
  <c r="I52" i="55"/>
  <c r="I51" i="55"/>
  <c r="I42" i="55"/>
  <c r="I41" i="55"/>
  <c r="C32" i="54"/>
  <c r="F32" i="54" s="1"/>
  <c r="A2" i="62"/>
  <c r="A2" i="61"/>
  <c r="F69" i="51"/>
  <c r="G25" i="52"/>
  <c r="G24" i="52" s="1"/>
  <c r="G26" i="52"/>
  <c r="G27" i="52"/>
  <c r="G15" i="52"/>
  <c r="G16" i="52"/>
  <c r="G14" i="52" s="1"/>
  <c r="J15" i="52" s="1"/>
  <c r="G17" i="52"/>
  <c r="G23" i="52"/>
  <c r="G22" i="52"/>
  <c r="G21" i="52"/>
  <c r="G13" i="52"/>
  <c r="G12" i="52"/>
  <c r="G11" i="52"/>
  <c r="E81" i="62"/>
  <c r="H81" i="62" s="1"/>
  <c r="E80" i="62"/>
  <c r="H80" i="62" s="1"/>
  <c r="E79" i="62"/>
  <c r="E78" i="62"/>
  <c r="H78" i="62" s="1"/>
  <c r="E75" i="62"/>
  <c r="H75" i="62" s="1"/>
  <c r="E67" i="62"/>
  <c r="H67" i="62" s="1"/>
  <c r="H68" i="62"/>
  <c r="E69" i="62"/>
  <c r="H69" i="62" s="1"/>
  <c r="E70" i="62"/>
  <c r="H70" i="62"/>
  <c r="E71" i="62"/>
  <c r="H71" i="62" s="1"/>
  <c r="E72" i="62"/>
  <c r="H72" i="62" s="1"/>
  <c r="E73" i="62"/>
  <c r="H73" i="62" s="1"/>
  <c r="E74" i="62"/>
  <c r="H74" i="62"/>
  <c r="E65" i="62"/>
  <c r="H65" i="62" s="1"/>
  <c r="E64" i="62"/>
  <c r="H64" i="62" s="1"/>
  <c r="E63" i="62"/>
  <c r="E62" i="62"/>
  <c r="H62" i="62" s="1"/>
  <c r="E61" i="62"/>
  <c r="E60" i="62"/>
  <c r="E59" i="62"/>
  <c r="E56" i="62"/>
  <c r="H56" i="62" s="1"/>
  <c r="E55" i="62"/>
  <c r="H55" i="62" s="1"/>
  <c r="E54" i="62"/>
  <c r="E53" i="62"/>
  <c r="E52" i="62"/>
  <c r="H52" i="62" s="1"/>
  <c r="E51" i="62"/>
  <c r="E50" i="62"/>
  <c r="E49" i="62"/>
  <c r="E45" i="62"/>
  <c r="H45" i="62" s="1"/>
  <c r="E44" i="62"/>
  <c r="E43" i="62"/>
  <c r="E42" i="62"/>
  <c r="E39" i="62"/>
  <c r="E38" i="62"/>
  <c r="H38" i="62" s="1"/>
  <c r="E37" i="62"/>
  <c r="E36" i="62"/>
  <c r="E35" i="62"/>
  <c r="H35" i="62" s="1"/>
  <c r="E34" i="62"/>
  <c r="H34" i="62" s="1"/>
  <c r="E33" i="62"/>
  <c r="E32" i="62"/>
  <c r="E31" i="62"/>
  <c r="E28" i="62"/>
  <c r="H28" i="62" s="1"/>
  <c r="E27" i="62"/>
  <c r="E26" i="62"/>
  <c r="E25" i="62"/>
  <c r="H25" i="62" s="1"/>
  <c r="E24" i="62"/>
  <c r="H24" i="62" s="1"/>
  <c r="E22" i="62"/>
  <c r="E23" i="62"/>
  <c r="E21" i="62"/>
  <c r="E19" i="62"/>
  <c r="H19" i="62" s="1"/>
  <c r="E18" i="62"/>
  <c r="E17" i="62"/>
  <c r="E16" i="62"/>
  <c r="H16" i="62" s="1"/>
  <c r="E15" i="62"/>
  <c r="H15" i="62" s="1"/>
  <c r="E14" i="62"/>
  <c r="E13" i="62"/>
  <c r="F12" i="55"/>
  <c r="D18" i="55"/>
  <c r="G42" i="51"/>
  <c r="F42" i="51"/>
  <c r="F20" i="52"/>
  <c r="F27" i="51"/>
  <c r="C25" i="51"/>
  <c r="C17" i="51"/>
  <c r="E45" i="54"/>
  <c r="F47" i="54" s="1"/>
  <c r="D45" i="54"/>
  <c r="F46" i="54" s="1"/>
  <c r="C45" i="54"/>
  <c r="F45" i="54" s="1"/>
  <c r="E42" i="54"/>
  <c r="F44" i="54" s="1"/>
  <c r="D42" i="54"/>
  <c r="F43" i="54" s="1"/>
  <c r="C42" i="54"/>
  <c r="F42" i="54" s="1"/>
  <c r="E32" i="54"/>
  <c r="F34" i="54" s="1"/>
  <c r="D32" i="54"/>
  <c r="F33" i="54" s="1"/>
  <c r="E15" i="54"/>
  <c r="D15" i="54"/>
  <c r="C10" i="54"/>
  <c r="H14" i="62"/>
  <c r="H17" i="62"/>
  <c r="H18" i="62"/>
  <c r="H22" i="62"/>
  <c r="H23" i="62"/>
  <c r="H26" i="62"/>
  <c r="H27" i="62"/>
  <c r="H32" i="62"/>
  <c r="H33" i="62"/>
  <c r="H36" i="62"/>
  <c r="H37" i="62"/>
  <c r="H42" i="62"/>
  <c r="H43" i="62"/>
  <c r="H49" i="62"/>
  <c r="H50" i="62"/>
  <c r="H53" i="62"/>
  <c r="H54" i="62"/>
  <c r="H59" i="62"/>
  <c r="H60" i="62"/>
  <c r="H63" i="62"/>
  <c r="H79" i="62"/>
  <c r="C11" i="62"/>
  <c r="C21" i="62"/>
  <c r="C30" i="62"/>
  <c r="C41" i="62"/>
  <c r="C48" i="62"/>
  <c r="C58" i="62"/>
  <c r="C66" i="62"/>
  <c r="G21" i="62"/>
  <c r="G30" i="62"/>
  <c r="G41" i="62"/>
  <c r="G48" i="62"/>
  <c r="G58" i="62"/>
  <c r="G66" i="62"/>
  <c r="G77" i="62"/>
  <c r="F21" i="62"/>
  <c r="F30" i="62"/>
  <c r="F41" i="62"/>
  <c r="F48" i="62"/>
  <c r="F47" i="62" s="1"/>
  <c r="F58" i="62"/>
  <c r="F66" i="62"/>
  <c r="F77" i="62"/>
  <c r="D21" i="62"/>
  <c r="D30" i="62"/>
  <c r="D41" i="62"/>
  <c r="D48" i="62"/>
  <c r="D58" i="62"/>
  <c r="D66" i="62"/>
  <c r="D77" i="62"/>
  <c r="C31" i="61"/>
  <c r="C10" i="44" s="1"/>
  <c r="C10" i="45" s="1"/>
  <c r="C23" i="45" s="1"/>
  <c r="H24" i="45" s="1"/>
  <c r="C32" i="38"/>
  <c r="B32" i="38"/>
  <c r="F32" i="38"/>
  <c r="D10" i="52"/>
  <c r="D9" i="52" s="1"/>
  <c r="D19" i="52" s="1"/>
  <c r="D14" i="52"/>
  <c r="E10" i="52"/>
  <c r="E14" i="52"/>
  <c r="F10" i="52"/>
  <c r="F14" i="52"/>
  <c r="F38" i="51"/>
  <c r="F31" i="51"/>
  <c r="F23" i="51"/>
  <c r="F19" i="51"/>
  <c r="F9" i="51"/>
  <c r="F55" i="51"/>
  <c r="F59" i="51"/>
  <c r="F46" i="2"/>
  <c r="F36" i="2"/>
  <c r="F31" i="2"/>
  <c r="F18" i="2"/>
  <c r="B31" i="2"/>
  <c r="B18" i="2"/>
  <c r="G38" i="51"/>
  <c r="G31" i="51"/>
  <c r="G27" i="51"/>
  <c r="G23" i="51"/>
  <c r="G19" i="51"/>
  <c r="G9" i="51"/>
  <c r="G55" i="51"/>
  <c r="G59" i="51"/>
  <c r="G63" i="51"/>
  <c r="G72" i="51" s="1"/>
  <c r="G69" i="51"/>
  <c r="G46" i="2"/>
  <c r="G36" i="2"/>
  <c r="G31" i="2"/>
  <c r="G18" i="2"/>
  <c r="B41" i="51"/>
  <c r="B38" i="51"/>
  <c r="B25" i="51"/>
  <c r="B17" i="51"/>
  <c r="C19" i="6"/>
  <c r="D19" i="6"/>
  <c r="E19" i="6"/>
  <c r="C41" i="51"/>
  <c r="C38" i="51"/>
  <c r="C9" i="51"/>
  <c r="C31" i="2"/>
  <c r="C18" i="2"/>
  <c r="B31" i="61"/>
  <c r="I14" i="52"/>
  <c r="K18" i="53"/>
  <c r="K17" i="53"/>
  <c r="K16" i="53"/>
  <c r="K15" i="53"/>
  <c r="K12" i="53"/>
  <c r="K11" i="53"/>
  <c r="K10" i="53"/>
  <c r="K9" i="53"/>
  <c r="F11" i="55"/>
  <c r="H40" i="55"/>
  <c r="G40" i="55"/>
  <c r="E40" i="55"/>
  <c r="D40" i="55"/>
  <c r="E18" i="55"/>
  <c r="H18" i="55"/>
  <c r="G18" i="55"/>
  <c r="J14" i="53"/>
  <c r="I14" i="53"/>
  <c r="H14" i="53"/>
  <c r="G14" i="53"/>
  <c r="F14" i="53"/>
  <c r="F8" i="53"/>
  <c r="E14" i="53"/>
  <c r="D14" i="53"/>
  <c r="C14" i="53"/>
  <c r="C20" i="53" s="1"/>
  <c r="B14" i="53"/>
  <c r="J8" i="53"/>
  <c r="I8" i="53"/>
  <c r="H8" i="53"/>
  <c r="H20" i="53" s="1"/>
  <c r="G8" i="53"/>
  <c r="E8" i="53"/>
  <c r="E20" i="53"/>
  <c r="D8" i="53"/>
  <c r="C8" i="53"/>
  <c r="B8" i="53"/>
  <c r="B20" i="53" s="1"/>
  <c r="A3" i="54"/>
  <c r="A3" i="55"/>
  <c r="A3" i="53"/>
  <c r="A3" i="52"/>
  <c r="A3" i="51"/>
  <c r="E78" i="54"/>
  <c r="E76" i="54"/>
  <c r="E82" i="54"/>
  <c r="E84" i="54"/>
  <c r="C79" i="54"/>
  <c r="C80" i="54"/>
  <c r="C76" i="54"/>
  <c r="C82" i="54"/>
  <c r="D78" i="54"/>
  <c r="D84" i="54"/>
  <c r="D76" i="54"/>
  <c r="E66" i="54"/>
  <c r="E62" i="54"/>
  <c r="E61" i="54"/>
  <c r="D66" i="54"/>
  <c r="D62" i="54"/>
  <c r="D60" i="54" s="1"/>
  <c r="D61" i="54"/>
  <c r="C61" i="54"/>
  <c r="C62" i="54"/>
  <c r="C58" i="54"/>
  <c r="I40" i="55"/>
  <c r="I38" i="55"/>
  <c r="I36" i="55"/>
  <c r="I35" i="55"/>
  <c r="I34" i="55"/>
  <c r="I33" i="55"/>
  <c r="I32" i="55"/>
  <c r="I30" i="55"/>
  <c r="I29" i="55"/>
  <c r="I28" i="55"/>
  <c r="I27" i="55"/>
  <c r="I26" i="55"/>
  <c r="I25" i="55"/>
  <c r="I24" i="55"/>
  <c r="I23" i="55"/>
  <c r="I22" i="55"/>
  <c r="I21" i="55"/>
  <c r="I20" i="55"/>
  <c r="I16" i="55"/>
  <c r="I15" i="55"/>
  <c r="I12" i="55"/>
  <c r="I11" i="55"/>
  <c r="F65" i="55"/>
  <c r="F64" i="55" s="1"/>
  <c r="F51" i="55"/>
  <c r="F52" i="55"/>
  <c r="F53" i="55"/>
  <c r="F54" i="55"/>
  <c r="F55" i="55"/>
  <c r="F56" i="55"/>
  <c r="F57" i="55"/>
  <c r="G57" i="55" s="1"/>
  <c r="F58" i="55"/>
  <c r="F60" i="55"/>
  <c r="F59" i="55" s="1"/>
  <c r="F42" i="55"/>
  <c r="F40" i="55" s="1"/>
  <c r="F41" i="55"/>
  <c r="F39" i="55"/>
  <c r="F38" i="55" s="1"/>
  <c r="F33" i="55"/>
  <c r="F34" i="55"/>
  <c r="F35" i="55"/>
  <c r="F36" i="55"/>
  <c r="F37" i="55"/>
  <c r="F14" i="55"/>
  <c r="F15" i="55"/>
  <c r="F16" i="55"/>
  <c r="F20" i="55"/>
  <c r="F21" i="55"/>
  <c r="F22" i="55"/>
  <c r="F23" i="55"/>
  <c r="F24" i="55"/>
  <c r="F25" i="55"/>
  <c r="F26" i="55"/>
  <c r="F27" i="55"/>
  <c r="F28" i="55"/>
  <c r="F29" i="55"/>
  <c r="F30" i="55"/>
  <c r="F72" i="55"/>
  <c r="D80" i="55"/>
  <c r="E80" i="55"/>
  <c r="F79" i="55"/>
  <c r="F78" i="55"/>
  <c r="I72" i="55"/>
  <c r="H80" i="55"/>
  <c r="H72" i="55"/>
  <c r="H59" i="55"/>
  <c r="H64" i="55"/>
  <c r="H38" i="55"/>
  <c r="G80" i="55"/>
  <c r="G72" i="55"/>
  <c r="G64" i="55"/>
  <c r="G59" i="55"/>
  <c r="G38" i="55"/>
  <c r="E72" i="55"/>
  <c r="E64" i="55"/>
  <c r="E59" i="55"/>
  <c r="E50" i="55"/>
  <c r="E70" i="55" s="1"/>
  <c r="E38" i="55"/>
  <c r="D72" i="55"/>
  <c r="D38" i="55"/>
  <c r="D50" i="55"/>
  <c r="D59" i="55"/>
  <c r="D64" i="55"/>
  <c r="C24" i="52"/>
  <c r="D24" i="52"/>
  <c r="E24" i="52"/>
  <c r="F24" i="52"/>
  <c r="C20" i="52"/>
  <c r="D20" i="52"/>
  <c r="E20" i="52"/>
  <c r="I24" i="52"/>
  <c r="H24" i="52"/>
  <c r="I20" i="52"/>
  <c r="H20" i="52"/>
  <c r="I10" i="52"/>
  <c r="H10" i="52"/>
  <c r="H14" i="52"/>
  <c r="E31" i="50"/>
  <c r="E30" i="50"/>
  <c r="I30" i="50" s="1"/>
  <c r="E29" i="50"/>
  <c r="E28" i="50"/>
  <c r="I28" i="50" s="1"/>
  <c r="E27" i="50"/>
  <c r="I27" i="50" s="1"/>
  <c r="E26" i="50"/>
  <c r="I26" i="50" s="1"/>
  <c r="E25" i="50"/>
  <c r="I25" i="50" s="1"/>
  <c r="E24" i="50"/>
  <c r="E23" i="50"/>
  <c r="H22" i="50"/>
  <c r="E21" i="50"/>
  <c r="E20" i="50"/>
  <c r="E19" i="50"/>
  <c r="I19" i="50" s="1"/>
  <c r="E18" i="50"/>
  <c r="I18" i="50" s="1"/>
  <c r="E17" i="50"/>
  <c r="E16" i="50"/>
  <c r="E15" i="50"/>
  <c r="E14" i="50"/>
  <c r="I14" i="50" s="1"/>
  <c r="E13" i="50"/>
  <c r="I13" i="50" s="1"/>
  <c r="E12" i="50"/>
  <c r="H11" i="50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G17" i="38" s="1"/>
  <c r="D18" i="38"/>
  <c r="D26" i="38"/>
  <c r="D27" i="38"/>
  <c r="D28" i="38"/>
  <c r="D29" i="38"/>
  <c r="D30" i="38"/>
  <c r="D31" i="38"/>
  <c r="D19" i="38"/>
  <c r="D20" i="38"/>
  <c r="D21" i="38"/>
  <c r="D22" i="38"/>
  <c r="D23" i="38"/>
  <c r="D24" i="38"/>
  <c r="D25" i="38"/>
  <c r="A4" i="33"/>
  <c r="A4" i="27"/>
  <c r="A4" i="20"/>
  <c r="A4" i="32"/>
  <c r="A4" i="42"/>
  <c r="B4" i="19"/>
  <c r="A4" i="16"/>
  <c r="A5" i="45"/>
  <c r="A5" i="44"/>
  <c r="A5" i="38"/>
  <c r="A5" i="37"/>
  <c r="A4" i="6"/>
  <c r="A4" i="24"/>
  <c r="A4" i="21"/>
  <c r="A4" i="13"/>
  <c r="A4" i="26"/>
  <c r="A4" i="23"/>
  <c r="A3" i="33"/>
  <c r="A3" i="27"/>
  <c r="B3" i="20"/>
  <c r="A4" i="45"/>
  <c r="A3" i="32"/>
  <c r="A3" i="42"/>
  <c r="B3" i="19"/>
  <c r="A3" i="16"/>
  <c r="A3" i="24"/>
  <c r="A4" i="44"/>
  <c r="A4" i="38"/>
  <c r="A4" i="37"/>
  <c r="A3" i="21"/>
  <c r="A3" i="13"/>
  <c r="A3" i="26"/>
  <c r="A3" i="6"/>
  <c r="A3" i="23"/>
  <c r="A3" i="1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18" i="38"/>
  <c r="D39" i="42"/>
  <c r="G39" i="42"/>
  <c r="D38" i="42"/>
  <c r="G38" i="42"/>
  <c r="D37" i="42"/>
  <c r="G37" i="42"/>
  <c r="D10" i="6"/>
  <c r="B23" i="45"/>
  <c r="H23" i="45" s="1"/>
  <c r="D61" i="1"/>
  <c r="C61" i="1"/>
  <c r="C54" i="1"/>
  <c r="C48" i="1"/>
  <c r="C34" i="1"/>
  <c r="C30" i="1"/>
  <c r="C44" i="1"/>
  <c r="C9" i="24"/>
  <c r="C29" i="24"/>
  <c r="D54" i="1"/>
  <c r="D48" i="1"/>
  <c r="D34" i="1"/>
  <c r="D30" i="1"/>
  <c r="D44" i="1"/>
  <c r="D17" i="1"/>
  <c r="D8" i="1"/>
  <c r="C20" i="1"/>
  <c r="C17" i="1"/>
  <c r="C8" i="1"/>
  <c r="D13" i="42"/>
  <c r="G13" i="42" s="1"/>
  <c r="D12" i="42"/>
  <c r="G12" i="42"/>
  <c r="G11" i="42"/>
  <c r="D22" i="42"/>
  <c r="G22" i="42" s="1"/>
  <c r="D21" i="42"/>
  <c r="D20" i="42"/>
  <c r="G20" i="42"/>
  <c r="D19" i="42"/>
  <c r="D18" i="42"/>
  <c r="G18" i="42" s="1"/>
  <c r="D17" i="42"/>
  <c r="G17" i="42" s="1"/>
  <c r="D16" i="42"/>
  <c r="G16" i="42" s="1"/>
  <c r="D26" i="42"/>
  <c r="G26" i="42" s="1"/>
  <c r="D25" i="42"/>
  <c r="G25" i="42" s="1"/>
  <c r="D24" i="42"/>
  <c r="G24" i="42" s="1"/>
  <c r="D29" i="42"/>
  <c r="G29" i="42"/>
  <c r="D28" i="42"/>
  <c r="D36" i="42"/>
  <c r="D35" i="42" s="1"/>
  <c r="D33" i="42"/>
  <c r="G33" i="42" s="1"/>
  <c r="D32" i="42"/>
  <c r="D31" i="42"/>
  <c r="G31" i="42" s="1"/>
  <c r="D34" i="42"/>
  <c r="G34" i="42" s="1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F14" i="42"/>
  <c r="F40" i="42" s="1"/>
  <c r="H44" i="42" s="1"/>
  <c r="F10" i="42"/>
  <c r="E10" i="42"/>
  <c r="C10" i="42"/>
  <c r="B10" i="42"/>
  <c r="D30" i="24"/>
  <c r="E65" i="23"/>
  <c r="D56" i="23"/>
  <c r="D51" i="23"/>
  <c r="C56" i="23"/>
  <c r="C51" i="23"/>
  <c r="C61" i="23" s="1"/>
  <c r="E31" i="33"/>
  <c r="E30" i="33"/>
  <c r="E29" i="33"/>
  <c r="E28" i="33"/>
  <c r="E27" i="33"/>
  <c r="E26" i="33"/>
  <c r="E25" i="33"/>
  <c r="E24" i="33"/>
  <c r="E23" i="33"/>
  <c r="E22" i="33"/>
  <c r="E11" i="33"/>
  <c r="E12" i="33"/>
  <c r="E13" i="33"/>
  <c r="E14" i="33"/>
  <c r="E15" i="33"/>
  <c r="E16" i="33"/>
  <c r="E17" i="33"/>
  <c r="E18" i="33"/>
  <c r="E19" i="33"/>
  <c r="E10" i="33"/>
  <c r="D32" i="33"/>
  <c r="C32" i="33"/>
  <c r="C20" i="33"/>
  <c r="D20" i="33"/>
  <c r="E27" i="20"/>
  <c r="D27" i="20"/>
  <c r="C27" i="20"/>
  <c r="D32" i="19"/>
  <c r="D33" i="19" s="1"/>
  <c r="D20" i="19"/>
  <c r="C32" i="19"/>
  <c r="C20" i="19"/>
  <c r="E30" i="16"/>
  <c r="E29" i="16"/>
  <c r="E28" i="16"/>
  <c r="E27" i="16"/>
  <c r="E26" i="16"/>
  <c r="E25" i="16"/>
  <c r="E24" i="16"/>
  <c r="E23" i="16"/>
  <c r="E22" i="16"/>
  <c r="E21" i="16"/>
  <c r="E10" i="16"/>
  <c r="E11" i="16"/>
  <c r="E12" i="16"/>
  <c r="E13" i="16"/>
  <c r="E14" i="16"/>
  <c r="E15" i="16"/>
  <c r="E16" i="16"/>
  <c r="E17" i="16"/>
  <c r="E18" i="16"/>
  <c r="E9" i="16"/>
  <c r="D31" i="16"/>
  <c r="D32" i="16" s="1"/>
  <c r="D19" i="16"/>
  <c r="C31" i="16"/>
  <c r="C19" i="16"/>
  <c r="G11" i="45"/>
  <c r="G13" i="45"/>
  <c r="G15" i="45"/>
  <c r="G17" i="45"/>
  <c r="G19" i="45"/>
  <c r="G21" i="45"/>
  <c r="D11" i="45"/>
  <c r="D12" i="45"/>
  <c r="G12" i="45" s="1"/>
  <c r="D13" i="45"/>
  <c r="D14" i="45"/>
  <c r="G14" i="45"/>
  <c r="D15" i="45"/>
  <c r="D16" i="45"/>
  <c r="G16" i="45" s="1"/>
  <c r="D17" i="45"/>
  <c r="D18" i="45"/>
  <c r="G18" i="45"/>
  <c r="D19" i="45"/>
  <c r="D20" i="45"/>
  <c r="G20" i="45" s="1"/>
  <c r="D21" i="45"/>
  <c r="D22" i="45"/>
  <c r="G22" i="45"/>
  <c r="B15" i="44"/>
  <c r="H15" i="44" s="1"/>
  <c r="D11" i="44"/>
  <c r="G11" i="44"/>
  <c r="D12" i="44"/>
  <c r="G12" i="44" s="1"/>
  <c r="D13" i="44"/>
  <c r="G13" i="44"/>
  <c r="E32" i="38"/>
  <c r="F27" i="6"/>
  <c r="G27" i="6"/>
  <c r="F28" i="6"/>
  <c r="G28" i="6" s="1"/>
  <c r="F26" i="6"/>
  <c r="G26" i="6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/>
  <c r="G12" i="6"/>
  <c r="F14" i="6"/>
  <c r="G14" i="6" s="1"/>
  <c r="F15" i="6"/>
  <c r="G15" i="6" s="1"/>
  <c r="F17" i="6"/>
  <c r="G17" i="6" s="1"/>
  <c r="F11" i="6"/>
  <c r="G11" i="6" s="1"/>
  <c r="F15" i="37"/>
  <c r="H29" i="37" s="1"/>
  <c r="E15" i="37"/>
  <c r="C15" i="37"/>
  <c r="H26" i="37" s="1"/>
  <c r="B15" i="37"/>
  <c r="H15" i="37" s="1"/>
  <c r="D13" i="37"/>
  <c r="G13" i="37" s="1"/>
  <c r="D12" i="37"/>
  <c r="G12" i="37"/>
  <c r="D11" i="37"/>
  <c r="G11" i="37" s="1"/>
  <c r="D10" i="37"/>
  <c r="G10" i="37" s="1"/>
  <c r="D9" i="37"/>
  <c r="G9" i="37" s="1"/>
  <c r="D9" i="21"/>
  <c r="D17" i="21"/>
  <c r="E10" i="6"/>
  <c r="C10" i="6"/>
  <c r="D40" i="23"/>
  <c r="D44" i="23"/>
  <c r="D48" i="23" s="1"/>
  <c r="D61" i="23"/>
  <c r="D8" i="23"/>
  <c r="D20" i="23"/>
  <c r="C40" i="23"/>
  <c r="C44" i="23"/>
  <c r="C8" i="23"/>
  <c r="C20" i="23"/>
  <c r="G19" i="42"/>
  <c r="G32" i="42"/>
  <c r="F18" i="55"/>
  <c r="D47" i="62"/>
  <c r="H21" i="62"/>
  <c r="I9" i="52"/>
  <c r="I19" i="52" s="1"/>
  <c r="H9" i="52"/>
  <c r="H19" i="52" s="1"/>
  <c r="F80" i="55"/>
  <c r="G20" i="52"/>
  <c r="G36" i="42"/>
  <c r="G35" i="42"/>
  <c r="D10" i="42"/>
  <c r="F31" i="55"/>
  <c r="G28" i="42"/>
  <c r="F50" i="55"/>
  <c r="F70" i="55" s="1"/>
  <c r="G20" i="53"/>
  <c r="J20" i="53"/>
  <c r="K20" i="53" s="1"/>
  <c r="K14" i="53"/>
  <c r="E44" i="55"/>
  <c r="G46" i="51"/>
  <c r="G57" i="51" s="1"/>
  <c r="I80" i="55"/>
  <c r="D23" i="42"/>
  <c r="G10" i="52"/>
  <c r="J11" i="52" s="1"/>
  <c r="E9" i="52"/>
  <c r="E19" i="52" s="1"/>
  <c r="G47" i="62"/>
  <c r="C47" i="62"/>
  <c r="C10" i="62"/>
  <c r="C83" i="62" s="1"/>
  <c r="I83" i="62" s="1"/>
  <c r="D30" i="42"/>
  <c r="H44" i="62"/>
  <c r="E41" i="62"/>
  <c r="H51" i="62"/>
  <c r="E48" i="62"/>
  <c r="H61" i="62"/>
  <c r="H58" i="62"/>
  <c r="E58" i="62"/>
  <c r="D49" i="54"/>
  <c r="C33" i="33"/>
  <c r="E66" i="62"/>
  <c r="I20" i="53"/>
  <c r="I31" i="55"/>
  <c r="I18" i="55"/>
  <c r="G21" i="42"/>
  <c r="C32" i="16"/>
  <c r="D27" i="42"/>
  <c r="K8" i="53"/>
  <c r="G24" i="65"/>
  <c r="G30" i="65"/>
  <c r="G28" i="65" s="1"/>
  <c r="D6" i="21" l="1"/>
  <c r="D11" i="20"/>
  <c r="C38" i="24"/>
  <c r="H19" i="50"/>
  <c r="C48" i="23"/>
  <c r="C27" i="1"/>
  <c r="C46" i="51"/>
  <c r="C59" i="51" s="1"/>
  <c r="H25" i="50"/>
  <c r="D10" i="44"/>
  <c r="F44" i="55"/>
  <c r="F75" i="55" s="1"/>
  <c r="B46" i="51"/>
  <c r="B59" i="51" s="1"/>
  <c r="D10" i="45"/>
  <c r="C15" i="44"/>
  <c r="H16" i="44" s="1"/>
  <c r="D45" i="72"/>
  <c r="H47" i="72" s="1"/>
  <c r="H46" i="72"/>
  <c r="H35" i="38"/>
  <c r="G28" i="61"/>
  <c r="G22" i="61" s="1"/>
  <c r="D22" i="61"/>
  <c r="D23" i="45"/>
  <c r="H25" i="45" s="1"/>
  <c r="F11" i="62"/>
  <c r="F10" i="62" s="1"/>
  <c r="F83" i="62" s="1"/>
  <c r="I86" i="62" s="1"/>
  <c r="H48" i="72"/>
  <c r="D64" i="1"/>
  <c r="H27" i="50"/>
  <c r="G50" i="55"/>
  <c r="G70" i="55" s="1"/>
  <c r="H57" i="55"/>
  <c r="H26" i="50"/>
  <c r="D8" i="6"/>
  <c r="D27" i="1"/>
  <c r="C60" i="54"/>
  <c r="E60" i="54"/>
  <c r="D86" i="54"/>
  <c r="D88" i="54" s="1"/>
  <c r="E86" i="54"/>
  <c r="E88" i="54" s="1"/>
  <c r="C49" i="54"/>
  <c r="E32" i="33"/>
  <c r="I31" i="50"/>
  <c r="H31" i="50"/>
  <c r="H13" i="50"/>
  <c r="H30" i="50"/>
  <c r="I22" i="50"/>
  <c r="H17" i="50"/>
  <c r="I17" i="50"/>
  <c r="H20" i="50"/>
  <c r="I20" i="50"/>
  <c r="H24" i="50"/>
  <c r="I24" i="50"/>
  <c r="H18" i="50"/>
  <c r="H21" i="50"/>
  <c r="I21" i="50"/>
  <c r="H29" i="50"/>
  <c r="I29" i="50"/>
  <c r="H15" i="50"/>
  <c r="I15" i="50"/>
  <c r="H12" i="50"/>
  <c r="I12" i="50"/>
  <c r="H16" i="50"/>
  <c r="I16" i="50"/>
  <c r="H23" i="50"/>
  <c r="I23" i="50"/>
  <c r="G12" i="61"/>
  <c r="G10" i="61" s="1"/>
  <c r="D10" i="61"/>
  <c r="H36" i="38"/>
  <c r="H32" i="61"/>
  <c r="H33" i="38"/>
  <c r="D32" i="38"/>
  <c r="G32" i="38" s="1"/>
  <c r="H31" i="61"/>
  <c r="H32" i="38"/>
  <c r="D51" i="67"/>
  <c r="F51" i="67"/>
  <c r="E6" i="21" s="1"/>
  <c r="C51" i="67"/>
  <c r="F9" i="20" s="1"/>
  <c r="F19" i="6"/>
  <c r="G19" i="6" s="1"/>
  <c r="C8" i="6"/>
  <c r="C37" i="23"/>
  <c r="C63" i="23" s="1"/>
  <c r="C66" i="23" s="1"/>
  <c r="E66" i="23" s="1"/>
  <c r="D37" i="23"/>
  <c r="D63" i="23" s="1"/>
  <c r="D66" i="23" s="1"/>
  <c r="C64" i="1"/>
  <c r="D38" i="24" s="1"/>
  <c r="F46" i="51"/>
  <c r="F57" i="51" s="1"/>
  <c r="G73" i="51"/>
  <c r="F33" i="2"/>
  <c r="G50" i="2"/>
  <c r="G33" i="2"/>
  <c r="C33" i="2"/>
  <c r="F9" i="52"/>
  <c r="F19" i="52" s="1"/>
  <c r="E49" i="54"/>
  <c r="C78" i="54"/>
  <c r="C86" i="54" s="1"/>
  <c r="C88" i="54" s="1"/>
  <c r="E75" i="55"/>
  <c r="G30" i="42"/>
  <c r="H28" i="50"/>
  <c r="H41" i="62"/>
  <c r="H48" i="62"/>
  <c r="G27" i="42"/>
  <c r="B33" i="2"/>
  <c r="H77" i="62"/>
  <c r="A5" i="71"/>
  <c r="F32" i="65"/>
  <c r="E47" i="62"/>
  <c r="E77" i="62"/>
  <c r="E19" i="16"/>
  <c r="H14" i="50"/>
  <c r="H31" i="62"/>
  <c r="H30" i="62" s="1"/>
  <c r="E30" i="62"/>
  <c r="E8" i="6"/>
  <c r="E31" i="16"/>
  <c r="C40" i="42"/>
  <c r="H41" i="42" s="1"/>
  <c r="G10" i="42"/>
  <c r="F20" i="53"/>
  <c r="F31" i="61"/>
  <c r="F16" i="54"/>
  <c r="D21" i="65"/>
  <c r="C9" i="52"/>
  <c r="C19" i="52" s="1"/>
  <c r="J21" i="52" s="1"/>
  <c r="G51" i="67"/>
  <c r="E40" i="42"/>
  <c r="H43" i="42" s="1"/>
  <c r="D70" i="55"/>
  <c r="D20" i="53"/>
  <c r="G44" i="55"/>
  <c r="F10" i="54"/>
  <c r="E36" i="67"/>
  <c r="E29" i="67" s="1"/>
  <c r="H33" i="67"/>
  <c r="H29" i="67" s="1"/>
  <c r="H51" i="67" s="1"/>
  <c r="C33" i="19"/>
  <c r="E31" i="61"/>
  <c r="E10" i="44" s="1"/>
  <c r="D44" i="55"/>
  <c r="C32" i="65"/>
  <c r="E32" i="65"/>
  <c r="E42" i="67"/>
  <c r="H36" i="67"/>
  <c r="H25" i="67"/>
  <c r="F10" i="6"/>
  <c r="H10" i="6" s="1"/>
  <c r="G9" i="52"/>
  <c r="D33" i="33"/>
  <c r="E20" i="33"/>
  <c r="E33" i="33" s="1"/>
  <c r="H66" i="62"/>
  <c r="E24" i="67"/>
  <c r="D23" i="21"/>
  <c r="D15" i="37"/>
  <c r="G23" i="42"/>
  <c r="D16" i="65"/>
  <c r="H13" i="67"/>
  <c r="G23" i="65"/>
  <c r="G21" i="65" s="1"/>
  <c r="E16" i="67"/>
  <c r="H13" i="62"/>
  <c r="D11" i="54" l="1"/>
  <c r="E11" i="20"/>
  <c r="D9" i="20"/>
  <c r="D15" i="20" s="1"/>
  <c r="D19" i="20" s="1"/>
  <c r="D21" i="20" s="1"/>
  <c r="G52" i="2"/>
  <c r="H59" i="51"/>
  <c r="G45" i="72"/>
  <c r="H50" i="72" s="1"/>
  <c r="G10" i="44"/>
  <c r="D15" i="44"/>
  <c r="H17" i="44" s="1"/>
  <c r="H73" i="51"/>
  <c r="E12" i="62"/>
  <c r="E11" i="62" s="1"/>
  <c r="E10" i="62" s="1"/>
  <c r="E83" i="62" s="1"/>
  <c r="I85" i="62" s="1"/>
  <c r="D11" i="62"/>
  <c r="D10" i="62" s="1"/>
  <c r="D83" i="62" s="1"/>
  <c r="I84" i="62" s="1"/>
  <c r="E10" i="45"/>
  <c r="E15" i="44"/>
  <c r="H18" i="44" s="1"/>
  <c r="G31" i="61"/>
  <c r="H35" i="61"/>
  <c r="F10" i="44"/>
  <c r="F37" i="75"/>
  <c r="D66" i="1"/>
  <c r="H27" i="37"/>
  <c r="G15" i="37"/>
  <c r="H30" i="37" s="1"/>
  <c r="G75" i="55"/>
  <c r="J89" i="55" s="1"/>
  <c r="H50" i="55"/>
  <c r="H70" i="55" s="1"/>
  <c r="H75" i="55" s="1"/>
  <c r="J84" i="55" s="1"/>
  <c r="I57" i="55"/>
  <c r="I50" i="55" s="1"/>
  <c r="I70" i="55" s="1"/>
  <c r="H52" i="67"/>
  <c r="I75" i="55"/>
  <c r="J85" i="55" s="1"/>
  <c r="H19" i="6"/>
  <c r="C66" i="1"/>
  <c r="H34" i="38"/>
  <c r="D75" i="55"/>
  <c r="J80" i="55" s="1"/>
  <c r="E51" i="67"/>
  <c r="J88" i="55" s="1"/>
  <c r="E23" i="21"/>
  <c r="H60" i="51"/>
  <c r="I47" i="55"/>
  <c r="E32" i="16"/>
  <c r="H47" i="62"/>
  <c r="D31" i="61"/>
  <c r="H33" i="61" s="1"/>
  <c r="J82" i="55"/>
  <c r="J81" i="55"/>
  <c r="J87" i="55"/>
  <c r="F8" i="6"/>
  <c r="H8" i="6" s="1"/>
  <c r="G10" i="6"/>
  <c r="G8" i="6" s="1"/>
  <c r="E11" i="54" l="1"/>
  <c r="E9" i="20"/>
  <c r="E15" i="20" s="1"/>
  <c r="E19" i="20" s="1"/>
  <c r="E21" i="20" s="1"/>
  <c r="D10" i="54"/>
  <c r="D58" i="54"/>
  <c r="D68" i="54"/>
  <c r="D70" i="54" s="1"/>
  <c r="J83" i="55"/>
  <c r="J86" i="55"/>
  <c r="H12" i="62"/>
  <c r="H11" i="62" s="1"/>
  <c r="H10" i="62" s="1"/>
  <c r="H83" i="62" s="1"/>
  <c r="I88" i="62" s="1"/>
  <c r="G15" i="44"/>
  <c r="F10" i="45"/>
  <c r="F15" i="44"/>
  <c r="H19" i="44" s="1"/>
  <c r="E23" i="45"/>
  <c r="G10" i="45"/>
  <c r="G18" i="52"/>
  <c r="F39" i="75"/>
  <c r="G39" i="75" s="1"/>
  <c r="H34" i="61"/>
  <c r="J91" i="55"/>
  <c r="J90" i="55"/>
  <c r="H36" i="61"/>
  <c r="H37" i="38"/>
  <c r="D23" i="54" l="1"/>
  <c r="D25" i="54" s="1"/>
  <c r="D27" i="54" s="1"/>
  <c r="D36" i="54" s="1"/>
  <c r="F11" i="54"/>
  <c r="E10" i="54"/>
  <c r="E58" i="54"/>
  <c r="E68" i="54"/>
  <c r="E70" i="54" s="1"/>
  <c r="H20" i="44"/>
  <c r="H26" i="45"/>
  <c r="G23" i="45"/>
  <c r="H28" i="45" s="1"/>
  <c r="G11" i="62"/>
  <c r="G10" i="62" s="1"/>
  <c r="G83" i="62" s="1"/>
  <c r="I87" i="62" s="1"/>
  <c r="F23" i="45"/>
  <c r="H27" i="45" s="1"/>
  <c r="F63" i="51"/>
  <c r="F72" i="51" s="1"/>
  <c r="F73" i="51" s="1"/>
  <c r="F50" i="2"/>
  <c r="F52" i="2" s="1"/>
  <c r="E66" i="1"/>
  <c r="J19" i="52"/>
  <c r="G19" i="52"/>
  <c r="J20" i="52" s="1"/>
  <c r="F12" i="54" l="1"/>
  <c r="E23" i="54"/>
  <c r="E25" i="54" s="1"/>
  <c r="E27" i="54" s="1"/>
  <c r="E36" i="54" s="1"/>
  <c r="H74" i="51"/>
  <c r="E33" i="50"/>
  <c r="H33" i="50" s="1"/>
  <c r="C32" i="50"/>
  <c r="C54" i="50" s="1"/>
  <c r="C215" i="50" l="1"/>
  <c r="I33" i="50"/>
  <c r="C10" i="50"/>
  <c r="B10" i="65" s="1"/>
  <c r="E32" i="50"/>
  <c r="B15" i="42" l="1"/>
  <c r="B12" i="76"/>
  <c r="C14" i="20"/>
  <c r="B9" i="65"/>
  <c r="B32" i="65" s="1"/>
  <c r="D10" i="65"/>
  <c r="I32" i="50"/>
  <c r="E10" i="50"/>
  <c r="H32" i="50"/>
  <c r="H54" i="50" s="1"/>
  <c r="H215" i="50" s="1"/>
  <c r="E54" i="50"/>
  <c r="C16" i="54" l="1"/>
  <c r="C12" i="20"/>
  <c r="B11" i="76"/>
  <c r="B43" i="76" s="1"/>
  <c r="D12" i="76"/>
  <c r="B14" i="42"/>
  <c r="D15" i="42"/>
  <c r="G15" i="42" s="1"/>
  <c r="G14" i="42" s="1"/>
  <c r="G40" i="42" s="1"/>
  <c r="H45" i="42" s="1"/>
  <c r="H10" i="50"/>
  <c r="I10" i="50"/>
  <c r="E215" i="50"/>
  <c r="I215" i="50" s="1"/>
  <c r="I54" i="50"/>
  <c r="D9" i="65"/>
  <c r="D32" i="65" s="1"/>
  <c r="G10" i="65"/>
  <c r="G9" i="65" s="1"/>
  <c r="G32" i="65" s="1"/>
  <c r="G12" i="76" l="1"/>
  <c r="G11" i="76" s="1"/>
  <c r="G43" i="76" s="1"/>
  <c r="D11" i="76"/>
  <c r="D43" i="76" s="1"/>
  <c r="F12" i="20"/>
  <c r="C15" i="20"/>
  <c r="C19" i="20" s="1"/>
  <c r="C21" i="20" s="1"/>
  <c r="D14" i="42"/>
  <c r="D40" i="42" s="1"/>
  <c r="H42" i="42" s="1"/>
  <c r="B40" i="42"/>
  <c r="H40" i="42" s="1"/>
  <c r="C15" i="54"/>
  <c r="C68" i="54"/>
  <c r="C70" i="54" s="1"/>
  <c r="C23" i="54" l="1"/>
  <c r="C25" i="54" s="1"/>
  <c r="C27" i="54" s="1"/>
  <c r="C36" i="54" s="1"/>
  <c r="F15" i="54"/>
</calcChain>
</file>

<file path=xl/comments1.xml><?xml version="1.0" encoding="utf-8"?>
<comments xmlns="http://schemas.openxmlformats.org/spreadsheetml/2006/main">
  <authors>
    <author>Claudia</author>
  </authors>
  <commentList>
    <comment ref="C66" author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43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acual en el mismo rubro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7.xml><?xml version="1.0" encoding="utf-8"?>
<comments xmlns="http://schemas.openxmlformats.org/spreadsheetml/2006/main">
  <authors>
    <author>Claudia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<sst xmlns="http://schemas.openxmlformats.org/spreadsheetml/2006/main" count="2292" uniqueCount="1345">
  <si>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</si>
  <si>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</si>
  <si>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</si>
  <si>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</si>
  <si>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</si>
  <si>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</si>
  <si>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</si>
  <si>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</si>
  <si>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</si>
  <si>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</si>
  <si>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</si>
  <si>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</si>
  <si>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</si>
  <si>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</si>
  <si>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</si>
  <si>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</si>
  <si>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</si>
  <si>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</si>
  <si>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</si>
  <si>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</si>
  <si>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</si>
  <si>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Relación de Bienes que Componen su Patrimonio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</si>
  <si>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</si>
  <si>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</si>
  <si>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</si>
  <si>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</si>
  <si>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</si>
  <si>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 xml:space="preserve">                                                                                                                                                                                      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</si>
  <si>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</si>
  <si>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</si>
  <si>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</si>
  <si>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</si>
  <si>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</si>
  <si>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</si>
  <si>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</si>
  <si>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</si>
  <si>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</si>
  <si>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</si>
  <si>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</si>
  <si>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</si>
  <si>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</si>
  <si>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</si>
  <si>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</si>
  <si>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</si>
  <si>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</si>
  <si>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</si>
  <si>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</si>
  <si>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</si>
  <si>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</si>
  <si>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</si>
  <si>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</si>
  <si>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</si>
  <si>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</si>
  <si>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</si>
  <si>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</si>
  <si>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</si>
  <si>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</si>
  <si>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</si>
  <si>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</si>
  <si>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</si>
  <si>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</si>
  <si>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</si>
  <si>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</si>
  <si>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</si>
  <si>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</si>
  <si>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</si>
  <si>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</si>
  <si>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</si>
  <si>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</si>
  <si>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</si>
  <si>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</si>
  <si>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</si>
  <si>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</si>
  <si>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</si>
  <si>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</si>
  <si>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</si>
  <si>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</si>
  <si>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</si>
  <si>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</si>
  <si>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</si>
  <si>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</si>
  <si>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</si>
  <si>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</si>
  <si>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</si>
  <si>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</si>
  <si>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</si>
  <si>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</si>
  <si>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</si>
  <si>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</si>
  <si>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</si>
  <si>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</si>
  <si>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</si>
  <si>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</si>
  <si>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</si>
  <si>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</si>
  <si>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</si>
  <si>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</si>
  <si>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</si>
  <si>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</si>
  <si>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</si>
  <si>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</si>
  <si>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</si>
  <si>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</si>
  <si>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</si>
  <si>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</si>
  <si>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</si>
  <si>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</si>
  <si>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</si>
  <si>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</si>
  <si>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</si>
  <si>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</si>
  <si>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</si>
  <si>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</si>
  <si>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</si>
  <si>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</si>
  <si>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</si>
  <si>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</si>
  <si>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</si>
  <si>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</si>
  <si>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</si>
  <si>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</si>
  <si>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</si>
  <si>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</si>
  <si>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</si>
  <si>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</si>
  <si>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</si>
  <si>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</si>
  <si>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</si>
  <si>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</si>
  <si>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</si>
  <si>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</si>
  <si>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</si>
  <si>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</si>
  <si>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</si>
  <si>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</si>
  <si>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</si>
  <si>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</si>
  <si>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</si>
  <si>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</si>
  <si>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</si>
  <si>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</si>
  <si>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</si>
  <si>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</si>
  <si>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</si>
  <si>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</si>
  <si>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</si>
  <si>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</si>
  <si>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</si>
  <si>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</si>
  <si>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</si>
  <si>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</si>
  <si>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</si>
  <si>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</si>
  <si>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</si>
  <si>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</si>
  <si>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</si>
  <si>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</si>
  <si>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</si>
  <si>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</si>
  <si>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</si>
  <si>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</si>
  <si>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</si>
  <si>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</si>
  <si>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</si>
  <si>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</si>
  <si>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</si>
  <si>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</si>
  <si>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</si>
  <si>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</si>
  <si>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</si>
  <si>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</si>
  <si>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</si>
  <si>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</si>
  <si>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</si>
  <si>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</si>
  <si>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</si>
  <si>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</si>
  <si>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</si>
  <si>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</si>
  <si>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</si>
  <si>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</si>
  <si>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</si>
  <si>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</si>
  <si>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</si>
  <si>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</si>
  <si>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</si>
  <si>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</si>
  <si>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</si>
  <si>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</si>
  <si>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</si>
  <si>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</si>
  <si>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</si>
  <si>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</si>
  <si>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</si>
  <si>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</si>
  <si>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</si>
  <si>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</si>
  <si>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</si>
  <si>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</si>
  <si>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</si>
  <si>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</si>
  <si>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</si>
  <si>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</si>
  <si>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</si>
  <si>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</si>
  <si>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</si>
  <si>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</si>
  <si>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</si>
  <si>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</si>
  <si>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</si>
  <si>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</si>
  <si>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</si>
  <si>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</si>
  <si>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</si>
  <si>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</si>
  <si>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</si>
  <si>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</si>
  <si>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</si>
  <si>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</si>
  <si>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</si>
  <si>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</si>
  <si>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</si>
  <si>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</si>
  <si>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</si>
  <si>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</si>
  <si>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</si>
  <si>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</si>
  <si>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</si>
  <si>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</si>
  <si>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</si>
  <si>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</si>
  <si>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</si>
  <si>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</si>
  <si>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</si>
  <si>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</si>
  <si>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</si>
  <si>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</si>
  <si>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</si>
  <si>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</si>
  <si>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</si>
  <si>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</si>
  <si>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</si>
  <si>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</si>
  <si>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</si>
  <si>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</si>
  <si>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</si>
  <si>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</si>
  <si>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</si>
  <si>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</si>
  <si>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</si>
  <si>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</si>
  <si>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</si>
  <si>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</si>
  <si>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</si>
  <si>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</si>
  <si>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</si>
  <si>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</si>
  <si>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</si>
  <si>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</si>
  <si>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</si>
  <si>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 xml:space="preserve">                                                                                          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</si>
  <si>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</si>
  <si>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</si>
  <si>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</si>
  <si>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</si>
  <si>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</si>
  <si>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</si>
  <si>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</si>
  <si>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</si>
  <si>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</si>
  <si>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</si>
  <si>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</si>
  <si>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</si>
  <si>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</si>
  <si>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</si>
  <si>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</si>
  <si>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</si>
  <si>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</si>
  <si>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</si>
  <si>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</si>
  <si>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</si>
  <si>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</si>
  <si>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</si>
  <si>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</si>
  <si>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</si>
  <si>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</si>
  <si>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</si>
  <si>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</si>
  <si>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</si>
  <si>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</si>
  <si>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</si>
  <si>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</si>
  <si>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</si>
  <si>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</si>
  <si>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</si>
  <si>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</si>
  <si>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</si>
  <si>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</si>
  <si>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</si>
  <si>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      (PESOS)</t>
  </si>
  <si>
    <t>Saldo
Inicial
1</t>
  </si>
  <si>
    <t>Cargos del Periodo
2</t>
  </si>
  <si>
    <t>Abonos del Periodo
3</t>
  </si>
  <si>
    <t>Saldo
Final
4 (1+2-3)</t>
  </si>
  <si>
    <t>Variación del Periodo
(4-1)</t>
  </si>
  <si>
    <t xml:space="preserve">     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</si>
  <si>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</si>
  <si>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</si>
  <si>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</si>
  <si>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</si>
  <si>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</si>
  <si>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</si>
  <si>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</si>
  <si>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</si>
  <si>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</si>
  <si>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</si>
  <si>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</si>
  <si>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</si>
  <si>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</si>
  <si>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</si>
  <si>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</si>
  <si>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</si>
  <si>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</si>
  <si>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</si>
  <si>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</si>
  <si>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</si>
  <si>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</si>
  <si>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</si>
  <si>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</si>
  <si>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</si>
  <si>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</si>
  <si>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</si>
  <si>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</si>
  <si>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</si>
  <si>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</si>
  <si>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</si>
  <si>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</si>
  <si>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</si>
  <si>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</si>
  <si>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</si>
  <si>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</si>
  <si>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</si>
  <si>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</si>
  <si>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</si>
  <si>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</si>
  <si>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</si>
  <si>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</si>
  <si>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</si>
  <si>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</si>
  <si>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</si>
  <si>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</si>
  <si>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</si>
  <si>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</si>
  <si>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</si>
  <si>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</si>
  <si>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</si>
  <si>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</si>
  <si>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</si>
  <si>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</si>
  <si>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</si>
  <si>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</si>
  <si>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</si>
  <si>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</si>
  <si>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</si>
  <si>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</si>
  <si>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</si>
  <si>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</si>
  <si>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</si>
  <si>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</si>
  <si>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</si>
  <si>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</si>
  <si>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</si>
  <si>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</si>
  <si>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</si>
  <si>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</si>
  <si>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</si>
  <si>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</si>
  <si>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</si>
  <si>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</si>
  <si>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</si>
  <si>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</si>
  <si>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</si>
  <si>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</si>
  <si>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</si>
  <si>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</si>
  <si>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</si>
  <si>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</si>
  <si>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</si>
  <si>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</si>
  <si>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</si>
  <si>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</si>
  <si>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(PESOS)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</si>
  <si>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</si>
  <si>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</si>
  <si>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</si>
  <si>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</si>
  <si>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 xml:space="preserve">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</si>
  <si>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</si>
  <si>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</si>
  <si>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</si>
  <si>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</si>
  <si>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</si>
  <si>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</si>
  <si>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</si>
  <si>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</si>
  <si>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</si>
  <si>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</si>
  <si>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</si>
  <si>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</si>
  <si>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</si>
  <si>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</si>
  <si>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</si>
  <si>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</si>
  <si>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</si>
  <si>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</si>
  <si>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</si>
  <si>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</si>
  <si>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</si>
  <si>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</si>
  <si>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</si>
  <si>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</si>
  <si>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</si>
  <si>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</si>
  <si>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</si>
  <si>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</si>
  <si>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</si>
  <si>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</si>
  <si>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</si>
  <si>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</si>
  <si>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</si>
  <si>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</si>
  <si>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</si>
  <si>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</si>
  <si>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</si>
  <si>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</si>
  <si>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</si>
  <si>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</si>
  <si>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</si>
  <si>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</si>
  <si>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</si>
  <si>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</si>
  <si>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</si>
  <si>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</si>
  <si>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</si>
  <si>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</si>
  <si>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</si>
  <si>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</si>
  <si>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</si>
  <si>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</si>
  <si>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</si>
  <si>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</si>
  <si>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</si>
  <si>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</si>
  <si>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</si>
  <si>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</si>
  <si>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</si>
  <si>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</si>
  <si>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</si>
  <si>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</si>
  <si>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</si>
  <si>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</si>
  <si>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</si>
  <si>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</si>
  <si>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</si>
  <si>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</si>
  <si>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</si>
  <si>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</si>
  <si>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</si>
  <si>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</si>
  <si>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</si>
  <si>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</si>
  <si>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</si>
  <si>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</si>
  <si>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</si>
  <si>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</si>
  <si>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</si>
  <si>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</si>
  <si>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</si>
  <si>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</si>
  <si>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</si>
  <si>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</si>
  <si>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</si>
  <si>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</si>
  <si>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</si>
  <si>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</si>
  <si>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</si>
  <si>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</si>
  <si>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</si>
  <si>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</si>
  <si>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</si>
  <si>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</si>
  <si>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</si>
  <si>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</si>
  <si>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</si>
  <si>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</si>
  <si>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</si>
  <si>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</si>
  <si>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</si>
  <si>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</si>
  <si>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</si>
  <si>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</si>
  <si>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</si>
  <si>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</si>
  <si>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</si>
  <si>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</si>
  <si>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</si>
  <si>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</si>
  <si>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</si>
  <si>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</si>
  <si>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</si>
  <si>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</si>
  <si>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</si>
  <si>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</si>
  <si>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</si>
  <si>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</si>
  <si>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</si>
  <si>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</si>
  <si>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</si>
  <si>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</si>
  <si>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</si>
  <si>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</si>
  <si>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</si>
  <si>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</si>
  <si>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</si>
  <si>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</si>
  <si>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</si>
  <si>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</si>
  <si>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</si>
  <si>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</si>
  <si>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</si>
  <si>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</si>
  <si>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</si>
  <si>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</si>
  <si>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</si>
  <si>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</si>
  <si>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</si>
  <si>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</si>
  <si>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</si>
  <si>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</si>
  <si>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</si>
  <si>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</si>
  <si>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</si>
  <si>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</si>
  <si>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</si>
  <si>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</si>
  <si>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</si>
  <si>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</si>
  <si>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</si>
  <si>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</si>
  <si>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 xml:space="preserve">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</si>
  <si>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</si>
  <si>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</si>
  <si>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</si>
  <si>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</si>
  <si>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</si>
  <si>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</si>
  <si>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</si>
  <si>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</si>
  <si>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</si>
  <si>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</si>
  <si>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</si>
  <si>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</si>
  <si>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</si>
  <si>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</si>
  <si>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</si>
  <si>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</si>
  <si>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</si>
  <si>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</si>
  <si>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</si>
  <si>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</si>
  <si>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</si>
  <si>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</si>
  <si>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</si>
  <si>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</si>
  <si>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</si>
  <si>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</si>
  <si>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</si>
  <si>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</si>
  <si>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</si>
  <si>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</si>
  <si>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</si>
  <si>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</si>
  <si>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</si>
  <si>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</si>
  <si>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</si>
  <si>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</si>
  <si>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</si>
  <si>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</si>
  <si>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</si>
  <si>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</si>
  <si>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</si>
  <si>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</si>
  <si>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</si>
  <si>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</si>
  <si>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</si>
  <si>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</si>
  <si>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</si>
  <si>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</si>
  <si>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</si>
  <si>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</si>
  <si>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</si>
  <si>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</si>
  <si>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</si>
  <si>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</si>
  <si>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</si>
  <si>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</si>
  <si>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</si>
  <si>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</si>
  <si>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</si>
  <si>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</si>
  <si>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</si>
  <si>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</si>
  <si>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</si>
  <si>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</si>
  <si>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</si>
  <si>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</si>
  <si>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</si>
  <si>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</si>
  <si>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</si>
  <si>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</si>
  <si>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</si>
  <si>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</si>
  <si>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</si>
  <si>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</si>
  <si>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</si>
  <si>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</si>
  <si>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</si>
  <si>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</si>
  <si>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</si>
  <si>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</si>
  <si>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</si>
  <si>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</si>
  <si>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</si>
  <si>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</si>
  <si>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</si>
  <si>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</si>
  <si>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</si>
  <si>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</si>
  <si>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</si>
  <si>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</si>
  <si>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</si>
  <si>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</si>
  <si>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</si>
  <si>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</si>
  <si>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</si>
  <si>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</si>
  <si>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</si>
  <si>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</si>
  <si>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</si>
  <si>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</si>
  <si>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</si>
  <si>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</si>
  <si>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</si>
  <si>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</si>
  <si>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</si>
  <si>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</si>
  <si>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</si>
  <si>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</si>
  <si>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</si>
  <si>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</si>
  <si>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</si>
  <si>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</si>
  <si>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</si>
  <si>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</si>
  <si>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</si>
  <si>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</si>
  <si>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</si>
  <si>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</si>
  <si>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</si>
  <si>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</si>
  <si>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</si>
  <si>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</si>
  <si>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</si>
  <si>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</si>
  <si>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</si>
  <si>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</si>
  <si>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</si>
  <si>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</si>
  <si>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</si>
  <si>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</si>
  <si>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</si>
  <si>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</si>
  <si>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</si>
  <si>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</si>
  <si>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</si>
  <si>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</si>
  <si>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</si>
  <si>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</si>
  <si>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</si>
  <si>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</si>
  <si>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</si>
  <si>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</si>
  <si>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</si>
  <si>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</si>
  <si>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</si>
  <si>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</si>
  <si>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</si>
  <si>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</si>
  <si>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</si>
  <si>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</si>
  <si>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</si>
  <si>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</si>
  <si>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</si>
  <si>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</si>
  <si>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</si>
  <si>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</si>
  <si>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</si>
  <si>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</si>
  <si>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</si>
  <si>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</si>
  <si>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</si>
  <si>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</si>
  <si>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</si>
  <si>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</si>
  <si>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</si>
  <si>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</si>
  <si>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</si>
  <si>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</si>
  <si>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</si>
  <si>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</si>
  <si>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</si>
  <si>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</si>
  <si>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</si>
  <si>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</si>
  <si>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</si>
  <si>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</si>
  <si>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</si>
  <si>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</si>
  <si>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(PESOS)</t>
  </si>
  <si>
    <t>Clasificación Administrativa</t>
  </si>
  <si>
    <t>Pagado</t>
  </si>
  <si>
    <t>I. Gasto No Etiquetado</t>
  </si>
  <si>
    <t>(I=A+B+C+D+E+F+G+H)</t>
  </si>
  <si>
    <t>II. Gasto Etiquetado</t>
  </si>
  <si>
    <t>(II=A+B+C+D+E+F+G+H)</t>
  </si>
  <si>
    <t>Clasificación Administrativa (Por Poderes)</t>
  </si>
  <si>
    <t xml:space="preserve">                                                                                                                                     (PESOS)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</si>
  <si>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</si>
  <si>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</si>
  <si>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</si>
  <si>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</si>
  <si>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</si>
  <si>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</si>
  <si>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</si>
  <si>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</si>
  <si>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</si>
  <si>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</si>
  <si>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</si>
  <si>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</si>
  <si>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</si>
  <si>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</si>
  <si>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</si>
  <si>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</si>
  <si>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</si>
  <si>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</si>
  <si>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</si>
  <si>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</si>
  <si>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</si>
  <si>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</si>
  <si>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</si>
  <si>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</si>
  <si>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</si>
  <si>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</si>
  <si>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</si>
  <si>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</si>
  <si>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</si>
  <si>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</si>
  <si>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</si>
  <si>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</si>
  <si>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</si>
  <si>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</si>
  <si>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</si>
  <si>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</si>
  <si>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</si>
  <si>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</si>
  <si>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</si>
  <si>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</si>
  <si>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</si>
  <si>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</si>
  <si>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</si>
  <si>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</si>
  <si>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</si>
  <si>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</si>
  <si>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</si>
  <si>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</si>
  <si>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</si>
  <si>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</si>
  <si>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</si>
  <si>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</si>
  <si>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</si>
  <si>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</si>
  <si>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</si>
  <si>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</si>
  <si>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</si>
  <si>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</si>
  <si>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</si>
  <si>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</si>
  <si>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</si>
  <si>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</si>
  <si>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</si>
  <si>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</si>
  <si>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</si>
  <si>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</si>
  <si>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</si>
  <si>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</si>
  <si>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</si>
  <si>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</si>
  <si>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</si>
  <si>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</si>
  <si>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</si>
  <si>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</si>
  <si>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</si>
  <si>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</si>
  <si>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</si>
  <si>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</si>
  <si>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</si>
  <si>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</si>
  <si>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 xml:space="preserve">                               (PESOS)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</si>
  <si>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</si>
  <si>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</si>
  <si>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</si>
  <si>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</si>
  <si>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</si>
  <si>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</si>
  <si>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</si>
  <si>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</si>
  <si>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</si>
  <si>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</si>
  <si>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</si>
  <si>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</si>
  <si>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</si>
  <si>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</si>
  <si>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</si>
  <si>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</si>
  <si>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</si>
  <si>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</si>
  <si>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</si>
  <si>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</si>
  <si>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</si>
  <si>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</si>
  <si>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</si>
  <si>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</si>
  <si>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…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</si>
  <si>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</si>
  <si>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</si>
  <si>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</si>
  <si>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</si>
  <si>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</si>
  <si>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</si>
  <si>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</si>
  <si>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</si>
  <si>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</si>
  <si>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</si>
  <si>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</si>
  <si>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</si>
  <si>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</si>
  <si>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</si>
  <si>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</si>
  <si>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</si>
  <si>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</si>
  <si>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</si>
  <si>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</si>
  <si>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</si>
  <si>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</si>
  <si>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</si>
  <si>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</si>
  <si>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</si>
  <si>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</si>
  <si>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</si>
  <si>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</si>
  <si>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</si>
  <si>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</si>
  <si>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</si>
  <si>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</si>
  <si>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</si>
  <si>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</si>
  <si>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</si>
  <si>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</si>
  <si>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</si>
  <si>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</si>
  <si>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</si>
  <si>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</si>
  <si>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</si>
  <si>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</si>
  <si>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</si>
  <si>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</si>
  <si>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</si>
  <si>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</si>
  <si>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</si>
  <si>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</si>
  <si>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</si>
  <si>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</si>
  <si>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</si>
  <si>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</si>
  <si>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</si>
  <si>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</si>
  <si>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</si>
  <si>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</si>
  <si>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</si>
  <si>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(pesos)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</si>
  <si>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</si>
  <si>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</si>
  <si>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</si>
  <si>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</si>
  <si>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</si>
  <si>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</si>
  <si>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</si>
  <si>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</si>
  <si>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</si>
  <si>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</si>
  <si>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</si>
  <si>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</si>
  <si>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</si>
  <si>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</si>
  <si>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</si>
  <si>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</si>
  <si>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</si>
  <si>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</si>
  <si>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</si>
  <si>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</si>
  <si>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</si>
  <si>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</si>
  <si>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</si>
  <si>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</si>
  <si>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</si>
  <si>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</si>
  <si>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</si>
  <si>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</si>
  <si>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</si>
  <si>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</si>
  <si>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</si>
  <si>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</si>
  <si>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</si>
  <si>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</si>
  <si>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</si>
  <si>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</si>
  <si>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 xml:space="preserve"> Sistema Estatal de Evaluación</t>
  </si>
  <si>
    <t>Gastos por proyectos de Inversión</t>
  </si>
  <si>
    <t xml:space="preserve">                 (pesos)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</si>
  <si>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</si>
  <si>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</si>
  <si>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</si>
  <si>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</si>
  <si>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</si>
  <si>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</si>
  <si>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</si>
  <si>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</si>
  <si>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</si>
  <si>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</si>
  <si>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</si>
  <si>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</si>
  <si>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</si>
  <si>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</si>
  <si>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</si>
  <si>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</si>
  <si>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</si>
  <si>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</si>
  <si>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</si>
  <si>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</si>
  <si>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</si>
  <si>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</si>
  <si>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</si>
  <si>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</si>
  <si>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</si>
  <si>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</si>
  <si>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</si>
  <si>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</si>
  <si>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</si>
  <si>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</si>
  <si>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</si>
  <si>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</si>
  <si>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</si>
  <si>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</si>
  <si>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</si>
  <si>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</si>
  <si>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</si>
  <si>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</si>
  <si>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</si>
  <si>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</si>
  <si>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</si>
  <si>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</si>
  <si>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</si>
  <si>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</si>
  <si>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</si>
  <si>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</si>
  <si>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</si>
  <si>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</si>
  <si>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</si>
  <si>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</si>
  <si>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</si>
  <si>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</si>
  <si>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</si>
  <si>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</si>
  <si>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</si>
  <si>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</si>
  <si>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</si>
  <si>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</si>
  <si>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</si>
  <si>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</si>
  <si>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</si>
  <si>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</si>
  <si>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</si>
  <si>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</si>
  <si>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</si>
  <si>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</si>
  <si>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</si>
  <si>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</si>
  <si>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</si>
  <si>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</si>
  <si>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</si>
  <si>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 xml:space="preserve">                              Sistema Estatal de Evaluación</t>
  </si>
  <si>
    <t xml:space="preserve">                Relación de esquemas bursátiles y de coberturas financieras</t>
  </si>
  <si>
    <t xml:space="preserve">          (pesos)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</si>
  <si>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</si>
  <si>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</si>
  <si>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</si>
  <si>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</si>
  <si>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</si>
  <si>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</si>
  <si>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</si>
  <si>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</si>
  <si>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</si>
  <si>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Matriz de Indicadores de Resultados</t>
  </si>
  <si>
    <t>I.- Información contable</t>
  </si>
  <si>
    <t>ETCA-I-01</t>
  </si>
  <si>
    <t>ETCA-I-02</t>
  </si>
  <si>
    <t>Estado de Situación Financiera-Detallado-LDF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</si>
  <si>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</si>
  <si>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</si>
  <si>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</si>
  <si>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</si>
  <si>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</si>
  <si>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</si>
  <si>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</si>
  <si>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</si>
  <si>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Informe Analítico de Obligaciones Diferentes de Financiamiento-LDF</t>
  </si>
  <si>
    <t>ETCA-I-11</t>
  </si>
  <si>
    <t>ETCA-I-12</t>
  </si>
  <si>
    <t>ETCA-II-01</t>
  </si>
  <si>
    <t>ETCA-II-02</t>
  </si>
  <si>
    <t xml:space="preserve">Estado Analítico de Ingresos Detallado-LDF                                 </t>
  </si>
  <si>
    <t>ETCA-II-03</t>
  </si>
  <si>
    <t xml:space="preserve">Conciliación entre los Ingresos Presupuestarios y Contables      </t>
  </si>
  <si>
    <t>ETCA-II-04</t>
  </si>
  <si>
    <t>ETCA-II-05</t>
  </si>
  <si>
    <t>Estado Analítico del Ejercicio Presupuesto de Egresos Detallado-LDF</t>
  </si>
  <si>
    <t>Clasificación Por Objeto del Gasto</t>
  </si>
  <si>
    <t>ETCA-II-06</t>
  </si>
  <si>
    <t>Clasificación Económica (Por Tipo de Gasto)</t>
  </si>
  <si>
    <t>ETCA-II-07</t>
  </si>
  <si>
    <t>Por Unidad Administrativa</t>
  </si>
  <si>
    <t>ETCA-II-08</t>
  </si>
  <si>
    <t>ETCA-II-09</t>
  </si>
  <si>
    <t>Clasificación Administrativa, Por Poderes</t>
  </si>
  <si>
    <t>ETCA-II-10</t>
  </si>
  <si>
    <t>Clasificación Administrativa, Por tipo de Organismo o Entidad Paraestatal</t>
  </si>
  <si>
    <t>ETCA-II-11</t>
  </si>
  <si>
    <t>ETCA-II-12</t>
  </si>
  <si>
    <t>Estado Analítico del Ejercicio Presupuesto de Egresos -Detallado-LDF</t>
  </si>
  <si>
    <t>ETCA-II-13</t>
  </si>
  <si>
    <t>ETCA-II-14</t>
  </si>
  <si>
    <t xml:space="preserve">Estado Analítico del Ejercicio Presupuesto de Egresos - Detallado-LDF  </t>
  </si>
  <si>
    <t>ETCA-II-15</t>
  </si>
  <si>
    <t>Conciliación entre los Egresos Presupuestarios y los Gastos Contables</t>
  </si>
  <si>
    <t>ETCA-II-16</t>
  </si>
  <si>
    <t>ETCA-II-17</t>
  </si>
  <si>
    <t xml:space="preserve">Intereses de la Deuda                                                        </t>
  </si>
  <si>
    <t>ETCA-III-01</t>
  </si>
  <si>
    <t>ETCA-III-02</t>
  </si>
  <si>
    <t>Gasto por Programa Presupuestario</t>
  </si>
  <si>
    <t>ETCA-III-03</t>
  </si>
  <si>
    <t>ETCA-III-04</t>
  </si>
  <si>
    <t xml:space="preserve">Informe de Avance Programático </t>
  </si>
  <si>
    <t>ETCA-III-05</t>
  </si>
  <si>
    <t xml:space="preserve">IV.- Información Complementaria-Anexos. 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</si>
  <si>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</si>
  <si>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</si>
  <si>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</si>
  <si>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</si>
  <si>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</si>
  <si>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</si>
  <si>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Monto pagado de la inversión al XX de XXXXXX de 2017 (k)</t>
  </si>
  <si>
    <t>Monto pagado de la inversión actualizado al XX de XXXXXX de 2017 (l)</t>
  </si>
  <si>
    <t>Saldo pendiente por pagar de la inversión al XX de XXXXXX de 2017 (m = g – l)</t>
  </si>
  <si>
    <t xml:space="preserve">                                                                              (PESOS)</t>
  </si>
  <si>
    <t>Nombre del Programa Presupeustario</t>
  </si>
  <si>
    <t>Eje 6 Gobierno Promotor de los Derechos Humanos e Igualdad de Género</t>
  </si>
  <si>
    <t>Eje 5 Gobierno Eficiente, Innovador, Transparente y con Sensibilidad Social</t>
  </si>
  <si>
    <t>Eje 4 Todos los Sonorenses Todas las Oportunidades</t>
  </si>
  <si>
    <t>Eje 3 Economía con Futuro</t>
  </si>
  <si>
    <t>Eje 2 Sonora y Ciudades con Calidad de Vida</t>
  </si>
  <si>
    <t xml:space="preserve">Eje 1 Sonora en Paz y Tranquilidad </t>
  </si>
  <si>
    <t>Gasto Por Programa Presupuestario</t>
  </si>
  <si>
    <t>Centro de Evaluacion y Control de Confianza del Estado de Sonora</t>
  </si>
  <si>
    <t>Reviso</t>
  </si>
  <si>
    <t>Lic. Juan Carlos Salazar Platt</t>
  </si>
  <si>
    <t>Director Administrativo</t>
  </si>
  <si>
    <t>Peso</t>
  </si>
  <si>
    <t>México</t>
  </si>
  <si>
    <t>No Aplica</t>
  </si>
  <si>
    <t>Direccion Administrativa</t>
  </si>
  <si>
    <t>Direccion Juridica</t>
  </si>
  <si>
    <t>Direccion de Tecnologia y Sistemas</t>
  </si>
  <si>
    <t>direccion de Evaluacion Psicologica</t>
  </si>
  <si>
    <t>Direccion de Evaluacion de Poligrafia</t>
  </si>
  <si>
    <t>Direccion General</t>
  </si>
  <si>
    <t>Direccion de iInvestigacion Socioeconomica</t>
  </si>
  <si>
    <t>Direccion de Evaluacion Medica Toxicologica</t>
  </si>
  <si>
    <t>Direccion General de Desarrollo Organizacional y Planeacion</t>
  </si>
  <si>
    <t>Aportaciones de Seguridad Social</t>
  </si>
  <si>
    <t>Cuotas por Seguro de Vida al ISSSTESON</t>
  </si>
  <si>
    <t>Cuotas Por Seguro de Retiro al ISSSTESON</t>
  </si>
  <si>
    <t>Asignacion para prestamos a Corto Plazo</t>
  </si>
  <si>
    <t>Otras Prestaciones de Seguridad Social</t>
  </si>
  <si>
    <t>Mantenimiento Hospitalario</t>
  </si>
  <si>
    <t>Aportaciones para la Atencion a Enfermedades Preexistentes</t>
  </si>
  <si>
    <t>Cuotas por Servicio Medico ISSSTESON</t>
  </si>
  <si>
    <t>Asignacion para prestamos Prendarios</t>
  </si>
  <si>
    <t>Aportaciones a Fondo de Vivienda</t>
  </si>
  <si>
    <t>Cuotas al FOVISSSTESON</t>
  </si>
  <si>
    <t>Aportaciones al Sistema para el Retiro</t>
  </si>
  <si>
    <t>Pagos de Defunciones, Pensiones y Jubilaciones</t>
  </si>
  <si>
    <t>Aportaciones para Seguros</t>
  </si>
  <si>
    <t>Seguro Retiro Estatal</t>
  </si>
  <si>
    <t>Otras Cuotas de Seguros Colectivos</t>
  </si>
  <si>
    <t>Seguro por defuncion familiar</t>
  </si>
  <si>
    <t>Otras prestaciones sociales y económicas</t>
  </si>
  <si>
    <t>Indemnizaciones</t>
  </si>
  <si>
    <t>Materiales de administración</t>
  </si>
  <si>
    <t>Materiales, útiles y equipos menores de oficina</t>
  </si>
  <si>
    <t>Materiales, utiles y equipos menores de oficina</t>
  </si>
  <si>
    <t>Materiales y útiles de impresión y reproducción</t>
  </si>
  <si>
    <t>Materiales y Utiles de Impresión y reproducción</t>
  </si>
  <si>
    <t>Materiales, utiles y equipos menores de Tec.de la Inf.</t>
  </si>
  <si>
    <t>Materiales, utiles para el Proc.de Eq.y Bienes Informaticos</t>
  </si>
  <si>
    <t>Material impreso e información digital</t>
  </si>
  <si>
    <t>Material para información</t>
  </si>
  <si>
    <t>Material de limpieza</t>
  </si>
  <si>
    <t>Materiales para Registro e Ident. De Bienes y Personas</t>
  </si>
  <si>
    <t>Placas, Engomados, Calcamonias y Hologramas</t>
  </si>
  <si>
    <t>Productos Alimenticios  para personas</t>
  </si>
  <si>
    <t>Productos alimenticios para el personal en las instalaciones</t>
  </si>
  <si>
    <t>Adquisición Agua Potable</t>
  </si>
  <si>
    <t>Utensilios para el servicio de alimentación</t>
  </si>
  <si>
    <t>Utensilios para servicio de Alim.</t>
  </si>
  <si>
    <t>Materiales y artículos de construcción y de reparación</t>
  </si>
  <si>
    <t>Material eléctrico y electrónico</t>
  </si>
  <si>
    <t>Material Electrico y electronico</t>
  </si>
  <si>
    <t>Material complementario</t>
  </si>
  <si>
    <t>Materiales complementarios</t>
  </si>
  <si>
    <t>Otros materiales y articulos de Construccion y reparacion</t>
  </si>
  <si>
    <t>Productos quimícos, famacéuticos y de laboratorio</t>
  </si>
  <si>
    <t>Medicinas y productos famacéuticos</t>
  </si>
  <si>
    <t>Fertilizantes Pesticidas</t>
  </si>
  <si>
    <t>Medicinas y productos farmaceuticos</t>
  </si>
  <si>
    <t>Combustibles, lubricantes y aditivos</t>
  </si>
  <si>
    <t>Combustibles</t>
  </si>
  <si>
    <t>Vestuarios, Blancos,Prendas de Seguridad y Proteccion Personal</t>
  </si>
  <si>
    <t>Vestuarios y Uniformes</t>
  </si>
  <si>
    <t>Herramientas, refacciones y accesorios menores</t>
  </si>
  <si>
    <t>Herramientas menores</t>
  </si>
  <si>
    <t>Refacciones y Accesorios menores de Edificios</t>
  </si>
  <si>
    <t>Refacciones y Accesorios menores de Mob. Eq.de Admon.</t>
  </si>
  <si>
    <t>Refacciones y accesorios menores de equipo de computo y tecnologías de la información</t>
  </si>
  <si>
    <t>Refacc.y Accesorios Menores de Eq.de Transporte</t>
  </si>
  <si>
    <t>Refacciones y Accesorios Menores de Eq.de Transporte</t>
  </si>
  <si>
    <t>Refacciones y accesorios menores de maquinaria y otros equipos</t>
  </si>
  <si>
    <t>Refacciones y Accesorios y Otros Bienes Muebles</t>
  </si>
  <si>
    <t>Servicios básicos</t>
  </si>
  <si>
    <t>Energía eléctrica</t>
  </si>
  <si>
    <t>Energia eléctrica</t>
  </si>
  <si>
    <t>Agua</t>
  </si>
  <si>
    <t>Telefonía tradicional</t>
  </si>
  <si>
    <t>Telefonia Celular</t>
  </si>
  <si>
    <t>Servicios de Telecomunicaciones y satelites</t>
  </si>
  <si>
    <t>Servicios de acceso a internet, redes y procesamiento de información</t>
  </si>
  <si>
    <t>Servicio de  Acceso a Internet, redes y procesamientos de informacion</t>
  </si>
  <si>
    <t>Servicios postales y telegráficos</t>
  </si>
  <si>
    <t>Servicio Postal</t>
  </si>
  <si>
    <t>Servicio de arrendamiento</t>
  </si>
  <si>
    <t>Arrendamiento de mobiliario y equipo de administración, educacional y recreativo</t>
  </si>
  <si>
    <t>Arrendamiento de muebles, maquinaria y equipo</t>
  </si>
  <si>
    <t>Patentes, Regalias y Otros</t>
  </si>
  <si>
    <t>Otros arrendamientos</t>
  </si>
  <si>
    <t>Servicios profesionales, científicos, técnicos y otros servicios</t>
  </si>
  <si>
    <t>Servicios legales, de contabilidad, auditorias y relacionados</t>
  </si>
  <si>
    <t>Servicios legales, de contabilidad, auditorias
 y relacionados</t>
  </si>
  <si>
    <t>Servicios de consultoría en tecnologías de la información</t>
  </si>
  <si>
    <t>Servicios de Informática</t>
  </si>
  <si>
    <t>Servicios de Capacitacion</t>
  </si>
  <si>
    <t>Servicios de apoyo administrativo, traducción, fotocopiado e impresión</t>
  </si>
  <si>
    <t>Licitaciones convenios y convocatorias</t>
  </si>
  <si>
    <t>Servicios de vigilancia</t>
  </si>
  <si>
    <t>Servicio de vigilancia</t>
  </si>
  <si>
    <t>Servicios financieros, bancarios y comerciales</t>
  </si>
  <si>
    <t>Servicios financieros y bancarios</t>
  </si>
  <si>
    <t>Seguros de bienes patrimoniales</t>
  </si>
  <si>
    <t>Servicios mantenimiento y conservación e instalación</t>
  </si>
  <si>
    <t>Conservación y mantenimiento menor de inmuebles</t>
  </si>
  <si>
    <t>Mnto y conservacion de inmuebles</t>
  </si>
  <si>
    <t>Instalación, reparación y mantenimiento de mobiliario y equipo de administración, educacional y recreativo</t>
  </si>
  <si>
    <t>Mant. y cons. de mob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</si>
  <si>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</si>
  <si>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</si>
  <si>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</si>
  <si>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</si>
  <si>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</si>
  <si>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</si>
  <si>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Mnto y conservación de maq y equipo</t>
  </si>
  <si>
    <t>Mnto y conservación de herraminetas,maq y otros equipos</t>
  </si>
  <si>
    <t>Servicios de limpieza y manejo de desechos</t>
  </si>
  <si>
    <t>Servicios de traslado y viáticos</t>
  </si>
  <si>
    <t>Pasajes aéreos</t>
  </si>
  <si>
    <t>Pasajes aereos</t>
  </si>
  <si>
    <t>Viáticos en el país</t>
  </si>
  <si>
    <t>Viaticos</t>
  </si>
  <si>
    <t>Gastos de camino</t>
  </si>
  <si>
    <t>Otros servicios de traslado y hospedaje</t>
  </si>
  <si>
    <t>Cuotas</t>
  </si>
  <si>
    <t>Servicios Diversos</t>
  </si>
  <si>
    <t>Otros servicios generales</t>
  </si>
  <si>
    <t>Subrogados</t>
  </si>
  <si>
    <t>Bienes muebles, inmuebles e intangibles</t>
  </si>
  <si>
    <t>Muebles de oficina y estantería</t>
  </si>
  <si>
    <t>Muebles de Oficina y estanteria</t>
  </si>
  <si>
    <t>Equipo de cómputo y de tecnologías de la información</t>
  </si>
  <si>
    <t>Bienes informáticos</t>
  </si>
  <si>
    <t>Otros mobiliarios y equipo de administración</t>
  </si>
  <si>
    <t>Otros mobiliarios y equipo de Administración</t>
  </si>
  <si>
    <t>Equipo y aparatos audiovisuales</t>
  </si>
  <si>
    <t>Camaras Fotograficas y de Video</t>
  </si>
  <si>
    <t>Instrumental medico y de laboratorio</t>
  </si>
  <si>
    <t>Sistemas de Aire Acondicionado, Calefacción y de Refrigeración Industrial y Comercial</t>
  </si>
  <si>
    <t>Equipo de Comunicación y telecomunicacion</t>
  </si>
  <si>
    <t>software</t>
  </si>
  <si>
    <t>Licencias Informáticas e Intelectuales</t>
  </si>
  <si>
    <t xml:space="preserve">Pago de Liquidaciones </t>
  </si>
  <si>
    <t>NO APLICA</t>
  </si>
  <si>
    <t>EL CENTRO DE EVALUACION NO CUENTA CON NINGUN PROYECTO</t>
  </si>
  <si>
    <t>DE INVERSION</t>
  </si>
  <si>
    <t>NO APLICA PARA ESTE CENTRO</t>
  </si>
  <si>
    <t>Pasajes Terrestres</t>
  </si>
  <si>
    <t>Gastos de Ceremonial</t>
  </si>
  <si>
    <t>Centro de Evaluación y Control de Confianza del Estado de Sonora</t>
  </si>
  <si>
    <t>.</t>
  </si>
  <si>
    <t>Maquinaria  y equipo Electrico y Electronico</t>
  </si>
  <si>
    <t>Otros Bienes Inmuebles</t>
  </si>
  <si>
    <t>Del 01 de Enero  al 31  de Diciembre de 2017</t>
  </si>
  <si>
    <t>Al 31 de Marzo de 2018</t>
  </si>
  <si>
    <t xml:space="preserve"> al 31 de Marzo  de 2018 (b)</t>
  </si>
  <si>
    <t>Del 01 de Enero  al 31 de Marzo de 2018</t>
  </si>
  <si>
    <t>TRIMESTRE PRIMERO</t>
  </si>
  <si>
    <t>31 de diciembre de 2017</t>
  </si>
  <si>
    <t>Hacienda Pública / Patrimonio Neto Final del Ejercicio 2017</t>
  </si>
  <si>
    <t>prendas de Seguridad y Proteccion Personal</t>
  </si>
  <si>
    <t>Materiales, Accesorios y Suministros Medicos</t>
  </si>
  <si>
    <t>Servicios Integrales y Otros Servicios</t>
  </si>
  <si>
    <t>Seguros y Fianzas</t>
  </si>
  <si>
    <t>Instalacion, Reparacion y Mtto. De Instr. Medico  y Laboratorio</t>
  </si>
  <si>
    <t>al 31 de diciembre de 2017(d)</t>
  </si>
  <si>
    <t>NO SE  CUENTA CON NINGUNA CUENTA PRODUCTIVA</t>
  </si>
  <si>
    <t>Otro Mobiliario y Equipo  Educacional y Recreativo</t>
  </si>
  <si>
    <t>Hacienda Pública/Patrimonio Contribuido Neto 2017</t>
  </si>
  <si>
    <t>Hacienda Pública / Patrimonio Generado Neto 2017</t>
  </si>
  <si>
    <t>Exceso o Insuficiencia en la Actualización de la Hacienda Pública/Patrimonio Neto 2017</t>
  </si>
  <si>
    <t>Resultado por Tenencia  de Activos no Monetarios</t>
  </si>
  <si>
    <t>Cambios en la Hacienda Pública / Patrimonio ContribuidoNeto del Ejercicio 2018</t>
  </si>
  <si>
    <t>Variaciones de la Hacienda Pública / Patrimonio Generado Neto 2018</t>
  </si>
  <si>
    <t>Cambios en el Exceso o Insuficiencia en la Actualización de la Hacienda Pública/Patrimonio Neo 2018</t>
  </si>
  <si>
    <t>Hacienda Pública / Patrimonio Neto Final 20182018</t>
  </si>
  <si>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</si>
  <si>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</si>
  <si>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</si>
  <si>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</si>
  <si>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</si>
  <si>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</si>
  <si>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</si>
  <si>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</si>
  <si>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</si>
  <si>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</si>
  <si>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</si>
  <si>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</si>
  <si>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</si>
  <si>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</si>
  <si>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</si>
  <si>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</si>
  <si>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</si>
  <si>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</si>
  <si>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</si>
  <si>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</si>
  <si>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</si>
  <si>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</si>
  <si>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</si>
  <si>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</si>
  <si>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</si>
  <si>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</si>
  <si>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</si>
  <si>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</si>
  <si>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</si>
  <si>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</si>
  <si>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</si>
  <si>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</si>
  <si>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</si>
  <si>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</si>
  <si>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</si>
  <si>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</si>
  <si>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</si>
  <si>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</si>
  <si>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 xml:space="preserve">Estado de Situación Financiera </t>
  </si>
  <si>
    <t>AREA ADMINISTRATIVA</t>
  </si>
  <si>
    <t xml:space="preserve">Estado de Situación Financiera-Detallado-LDF </t>
  </si>
  <si>
    <t xml:space="preserve">Estado de Actividades </t>
  </si>
  <si>
    <t xml:space="preserve">Estado de Cambios en la Situación Financiera </t>
  </si>
  <si>
    <t xml:space="preserve">Estado de Flujos de Efectivo </t>
  </si>
  <si>
    <t xml:space="preserve">Estado Analítico del Activo </t>
  </si>
  <si>
    <t xml:space="preserve">Estado Analítico de la Deuda y Otros Pasivos </t>
  </si>
  <si>
    <t xml:space="preserve">Informe Analítico de la Deuda y Otros Pasivos-Detallado-LDF </t>
  </si>
  <si>
    <t xml:space="preserve">Informe Analítico de Obligaciones Diferentes de Financiamiento-LDF </t>
  </si>
  <si>
    <t xml:space="preserve">Informe sobre Pasivos Contingentes </t>
  </si>
  <si>
    <t xml:space="preserve">Notas a los Estados Financieros </t>
  </si>
  <si>
    <t>Presupuestal</t>
  </si>
  <si>
    <t xml:space="preserve">Estado Analítico de Ingresos </t>
  </si>
  <si>
    <t xml:space="preserve">Estado Analítico de Ingresos Detallado-LDF </t>
  </si>
  <si>
    <t xml:space="preserve">Conciliación entre los Ingresos Presupuestarios y Contables </t>
  </si>
  <si>
    <t xml:space="preserve">Estado Analítico del Ejercicio Presupuesto de Egresos </t>
  </si>
  <si>
    <t xml:space="preserve">Estado Analítico del Ejercicio Presupuesto de Egresos Detallado-LDF Clasificación Por Objeto del Gasto </t>
  </si>
  <si>
    <t xml:space="preserve">Estado Analítico del Ejercicio Presupuesto de Egresos Clasificación Económica (Por Tipo de Gasto) </t>
  </si>
  <si>
    <t xml:space="preserve">Estado Analítico del Ejercicio Presupuesto de Egresos Por Unidad Administrativa </t>
  </si>
  <si>
    <t xml:space="preserve">Estado Analítico del Ejercicio Presupuesto de Egresos Detallado-LDF Por Unidad Administrativa </t>
  </si>
  <si>
    <t xml:space="preserve">Estado Analítico del Ejercicio Presupuesto de Egresos Clasificación Administrativa, Por Poderes </t>
  </si>
  <si>
    <t xml:space="preserve">Estado Analítico del Ejercicio Presupuesto de Egresos Clasificación Administrativa, Por tipo de Organismo o Entidad Paraestatal </t>
  </si>
  <si>
    <t xml:space="preserve">Estado Analítico del Ejercicio Presupuesto de Egresos Clasificación Funcional (Finalidad y Función) </t>
  </si>
  <si>
    <t xml:space="preserve">Estado Analítico del Ejercicio Presupuesto de Egresos -Detallado-LDF Clasificación Funcional (Finalidad y Función) </t>
  </si>
  <si>
    <t xml:space="preserve">Estado Analítico del Ejercicio Presupuesto de Egresos Por Partida del Gasto </t>
  </si>
  <si>
    <t xml:space="preserve">Estado Analítico del Ejercicio Presupuesto de Egresos - Detallado-LDF (Clasificación de Servicios Personales por Categoría) </t>
  </si>
  <si>
    <t xml:space="preserve">Conciliación entre los Egresos Presupuestarios y los Gastos Contables </t>
  </si>
  <si>
    <t xml:space="preserve">Endeudamiento Neto </t>
  </si>
  <si>
    <t xml:space="preserve">Intereses de la Deuda </t>
  </si>
  <si>
    <t>Programático</t>
  </si>
  <si>
    <t xml:space="preserve">Gasto por Categoría Programática </t>
  </si>
  <si>
    <t xml:space="preserve">Gasto por Programa Presupuestario </t>
  </si>
  <si>
    <t xml:space="preserve">Gasto por Proyectos de Inversión </t>
  </si>
  <si>
    <t xml:space="preserve">Justificación de variaciones de indicadores de la MIR </t>
  </si>
  <si>
    <t>sir.sonora.gob.mx</t>
  </si>
  <si>
    <t>se anexan la información en las hojas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</si>
</sst>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%"/>
    <numFmt numFmtId="166" formatCode="_-* #,##0.00_-;\-* #,##0.00_-;_-* &quot;-&quot;_-;_-@_-"/>
    <numFmt numFmtId="167" formatCode="_-* #,##0.0000_-;\-* #,##0.0000_-;_-* &quot;-&quot;??_-;_-@_-"/>
    <numFmt numFmtId="168" formatCode="#,##0.0000"/>
  </numFmts>
  <fonts count="9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Times New Roman"/>
      <family val="1"/>
    </font>
    <font>
      <sz val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slantDashDot">
        <color auto="1"/>
      </left>
      <right style="slantDashDot">
        <color auto="1"/>
      </right>
      <top/>
      <bottom/>
      <diagonal/>
    </border>
  </borders>
  <cellStyleXfs count="1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8" fillId="0" borderId="0"/>
    <xf numFmtId="0" fontId="9" fillId="0" borderId="0"/>
  </cellStyleXfs>
  <cellXfs count="1353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5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41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4" fontId="7" fillId="2" borderId="45" xfId="0" applyNumberFormat="1" applyFont="1" applyFill="1" applyBorder="1" applyAlignment="1" applyProtection="1">
      <alignment horizontal="right" vertical="center" wrapText="1"/>
    </xf>
    <xf numFmtId="0" fontId="23" fillId="3" borderId="44" xfId="0" applyFont="1" applyFill="1" applyBorder="1" applyAlignment="1" applyProtection="1">
      <alignment vertical="center"/>
      <protection locked="0"/>
    </xf>
    <xf numFmtId="0" fontId="23" fillId="3" borderId="22" xfId="0" applyFont="1" applyFill="1" applyBorder="1" applyAlignment="1" applyProtection="1">
      <alignment vertical="center"/>
      <protection locked="0"/>
    </xf>
    <xf numFmtId="0" fontId="17" fillId="3" borderId="22" xfId="0" applyFont="1" applyFill="1" applyBorder="1" applyAlignment="1" applyProtection="1">
      <alignment horizontal="justify" vertical="center"/>
      <protection locked="0"/>
    </xf>
    <xf numFmtId="4" fontId="7" fillId="0" borderId="45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4" xfId="0" applyFont="1" applyFill="1" applyBorder="1" applyAlignment="1" applyProtection="1">
      <alignment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17" fillId="2" borderId="22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28" xfId="0" applyFont="1" applyFill="1" applyBorder="1" applyAlignment="1" applyProtection="1">
      <alignment horizontal="justify" vertical="center"/>
      <protection locked="0"/>
    </xf>
    <xf numFmtId="0" fontId="21" fillId="3" borderId="28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horizontal="justify"/>
      <protection locked="0"/>
    </xf>
    <xf numFmtId="0" fontId="55" fillId="0" borderId="0" xfId="0" applyFont="1" applyFill="1" applyAlignment="1" applyProtection="1">
      <alignment horizontal="right"/>
      <protection locked="0"/>
    </xf>
    <xf numFmtId="0" fontId="1" fillId="0" borderId="48" xfId="0" applyFont="1" applyFill="1" applyBorder="1" applyAlignment="1" applyProtection="1">
      <alignment horizontal="left" vertical="center" wrapText="1" indent="2"/>
      <protection locked="0"/>
    </xf>
    <xf numFmtId="0" fontId="1" fillId="0" borderId="49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48" xfId="0" applyFont="1" applyFill="1" applyBorder="1" applyAlignment="1" applyProtection="1">
      <alignment horizontal="justify" vertical="center" wrapText="1"/>
      <protection locked="0"/>
    </xf>
    <xf numFmtId="0" fontId="3" fillId="0" borderId="44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7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center" wrapText="1" indent="1"/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7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6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2" xfId="0" applyNumberFormat="1" applyFont="1" applyBorder="1" applyAlignment="1" applyProtection="1">
      <alignment horizontal="right" vertical="center"/>
    </xf>
    <xf numFmtId="4" fontId="41" fillId="0" borderId="45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57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44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47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4" fontId="41" fillId="0" borderId="47" xfId="0" applyNumberFormat="1" applyFont="1" applyBorder="1" applyAlignment="1" applyProtection="1">
      <alignment horizontal="right" vertical="center"/>
    </xf>
    <xf numFmtId="0" fontId="58" fillId="0" borderId="0" xfId="0" applyFont="1"/>
    <xf numFmtId="0" fontId="40" fillId="0" borderId="0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5" fillId="0" borderId="0" xfId="12" applyFont="1" applyAlignment="1" applyProtection="1">
      <alignment horizontal="center" vertical="center"/>
      <protection locked="0"/>
    </xf>
    <xf numFmtId="0" fontId="59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left" vertical="center" indent="3"/>
      <protection locked="0"/>
    </xf>
    <xf numFmtId="0" fontId="23" fillId="0" borderId="4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47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56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47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1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60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1" fillId="0" borderId="48" xfId="0" applyFont="1" applyFill="1" applyBorder="1" applyAlignment="1" applyProtection="1">
      <alignment horizontal="left" vertical="top" wrapText="1" indent="2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4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0" fontId="1" fillId="0" borderId="49" xfId="0" applyFont="1" applyFill="1" applyBorder="1" applyAlignment="1" applyProtection="1">
      <alignment horizontal="justify" vertical="center" wrapText="1"/>
    </xf>
    <xf numFmtId="0" fontId="1" fillId="0" borderId="48" xfId="0" applyFont="1" applyFill="1" applyBorder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7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43" fontId="7" fillId="2" borderId="0" xfId="13" applyFont="1" applyFill="1" applyBorder="1" applyAlignment="1" applyProtection="1">
      <alignment horizontal="right" vertical="top"/>
    </xf>
    <xf numFmtId="43" fontId="7" fillId="2" borderId="6" xfId="13" applyFont="1" applyFill="1" applyBorder="1" applyAlignment="1" applyProtection="1">
      <alignment horizontal="right" vertical="top"/>
    </xf>
    <xf numFmtId="43" fontId="5" fillId="0" borderId="0" xfId="13" applyFont="1" applyBorder="1" applyAlignment="1" applyProtection="1">
      <alignment horizontal="right" vertical="top"/>
      <protection locked="0"/>
    </xf>
    <xf numFmtId="43" fontId="5" fillId="0" borderId="6" xfId="13" applyFont="1" applyBorder="1" applyAlignment="1" applyProtection="1">
      <alignment horizontal="right" vertical="top"/>
      <protection locked="0"/>
    </xf>
    <xf numFmtId="43" fontId="8" fillId="2" borderId="0" xfId="13" applyFont="1" applyFill="1" applyBorder="1" applyAlignment="1" applyProtection="1">
      <alignment horizontal="right" vertical="top"/>
    </xf>
    <xf numFmtId="43" fontId="8" fillId="2" borderId="6" xfId="13" applyFont="1" applyFill="1" applyBorder="1" applyAlignment="1" applyProtection="1">
      <alignment horizontal="right" vertical="top"/>
    </xf>
    <xf numFmtId="0" fontId="23" fillId="0" borderId="1" xfId="0" applyFont="1" applyFill="1" applyBorder="1" applyAlignment="1" applyProtection="1">
      <alignment vertical="center"/>
      <protection locked="0"/>
    </xf>
    <xf numFmtId="0" fontId="23" fillId="0" borderId="27" xfId="0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horizontal="justify" vertical="center"/>
      <protection locked="0"/>
    </xf>
    <xf numFmtId="4" fontId="17" fillId="0" borderId="47" xfId="0" applyNumberFormat="1" applyFont="1" applyFill="1" applyBorder="1" applyAlignment="1" applyProtection="1">
      <alignment horizontal="justify"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4" fontId="21" fillId="0" borderId="17" xfId="0" applyNumberFormat="1" applyFont="1" applyFill="1" applyBorder="1" applyAlignment="1" applyProtection="1">
      <alignment horizontal="right" vertical="center"/>
    </xf>
    <xf numFmtId="4" fontId="38" fillId="0" borderId="17" xfId="0" applyNumberFormat="1" applyFont="1" applyFill="1" applyBorder="1" applyAlignment="1" applyProtection="1">
      <alignment horizontal="right" vertical="center"/>
    </xf>
    <xf numFmtId="4" fontId="38" fillId="0" borderId="47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justify" vertical="center"/>
      <protection locked="0"/>
    </xf>
    <xf numFmtId="0" fontId="37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7" xfId="0" applyNumberFormat="1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justify" vertical="center"/>
      <protection locked="0"/>
    </xf>
    <xf numFmtId="0" fontId="17" fillId="0" borderId="28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center" vertical="center"/>
    </xf>
    <xf numFmtId="4" fontId="25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39" fillId="0" borderId="0" xfId="0" applyNumberFormat="1" applyFont="1" applyFill="1" applyBorder="1" applyAlignment="1" applyProtection="1">
      <alignment horizontal="right" vertical="center" wrapText="1"/>
    </xf>
    <xf numFmtId="4" fontId="5" fillId="0" borderId="50" xfId="0" applyNumberFormat="1" applyFont="1" applyBorder="1" applyAlignment="1" applyProtection="1">
      <alignment horizontal="left" vertical="top"/>
      <protection locked="0"/>
    </xf>
    <xf numFmtId="0" fontId="64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vertical="center"/>
      <protection locked="0"/>
    </xf>
    <xf numFmtId="4" fontId="41" fillId="0" borderId="23" xfId="0" applyNumberFormat="1" applyFont="1" applyBorder="1" applyAlignment="1" applyProtection="1">
      <alignment horizontal="right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41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41" fillId="0" borderId="33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7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justify" vertical="center" wrapText="1"/>
    </xf>
    <xf numFmtId="0" fontId="72" fillId="6" borderId="6" xfId="0" applyFont="1" applyFill="1" applyBorder="1" applyAlignment="1">
      <alignment horizontal="center" vertical="center" wrapText="1"/>
    </xf>
    <xf numFmtId="0" fontId="72" fillId="6" borderId="9" xfId="0" applyFont="1" applyFill="1" applyBorder="1" applyAlignment="1">
      <alignment horizontal="center" vertical="center" wrapText="1"/>
    </xf>
    <xf numFmtId="0" fontId="73" fillId="0" borderId="6" xfId="0" applyFont="1" applyBorder="1" applyAlignment="1">
      <alignment horizontal="justify" vertical="center" wrapText="1"/>
    </xf>
    <xf numFmtId="0" fontId="68" fillId="4" borderId="6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justify" vertical="center" wrapText="1"/>
    </xf>
    <xf numFmtId="0" fontId="72" fillId="6" borderId="3" xfId="0" applyFont="1" applyFill="1" applyBorder="1" applyAlignment="1">
      <alignment horizontal="center" vertical="center" wrapText="1"/>
    </xf>
    <xf numFmtId="0" fontId="74" fillId="6" borderId="9" xfId="0" applyFont="1" applyFill="1" applyBorder="1" applyAlignment="1">
      <alignment vertical="center" wrapText="1"/>
    </xf>
    <xf numFmtId="0" fontId="72" fillId="0" borderId="4" xfId="0" applyFont="1" applyBorder="1" applyAlignment="1">
      <alignment horizontal="left" vertical="center" wrapText="1"/>
    </xf>
    <xf numFmtId="0" fontId="73" fillId="0" borderId="4" xfId="0" applyFont="1" applyBorder="1" applyAlignment="1">
      <alignment horizontal="justify" vertical="center" wrapText="1"/>
    </xf>
    <xf numFmtId="0" fontId="73" fillId="0" borderId="13" xfId="0" applyFont="1" applyBorder="1" applyAlignment="1">
      <alignment horizontal="justify" vertical="center" wrapText="1"/>
    </xf>
    <xf numFmtId="0" fontId="66" fillId="0" borderId="0" xfId="0" applyFont="1" applyAlignment="1">
      <alignment horizontal="center" vertical="center"/>
    </xf>
    <xf numFmtId="0" fontId="66" fillId="0" borderId="9" xfId="0" applyFont="1" applyBorder="1" applyAlignment="1">
      <alignment vertical="center" wrapText="1"/>
    </xf>
    <xf numFmtId="0" fontId="66" fillId="0" borderId="7" xfId="0" applyFont="1" applyBorder="1" applyAlignment="1">
      <alignment vertical="center" wrapText="1"/>
    </xf>
    <xf numFmtId="0" fontId="68" fillId="6" borderId="9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vertical="center" wrapText="1"/>
    </xf>
    <xf numFmtId="0" fontId="68" fillId="0" borderId="6" xfId="0" applyFont="1" applyBorder="1" applyAlignment="1">
      <alignment vertical="center" wrapText="1"/>
    </xf>
    <xf numFmtId="0" fontId="69" fillId="0" borderId="6" xfId="0" applyFont="1" applyBorder="1" applyAlignment="1">
      <alignment horizontal="left" vertical="center" wrapText="1" indent="5"/>
    </xf>
    <xf numFmtId="0" fontId="69" fillId="0" borderId="7" xfId="0" applyFont="1" applyBorder="1" applyAlignment="1">
      <alignment vertical="center" wrapText="1"/>
    </xf>
    <xf numFmtId="0" fontId="68" fillId="0" borderId="9" xfId="0" applyFont="1" applyBorder="1" applyAlignment="1">
      <alignment vertical="center" wrapText="1"/>
    </xf>
    <xf numFmtId="0" fontId="69" fillId="0" borderId="9" xfId="0" applyFont="1" applyBorder="1" applyAlignment="1">
      <alignment vertical="center" wrapText="1"/>
    </xf>
    <xf numFmtId="0" fontId="75" fillId="0" borderId="7" xfId="0" applyFont="1" applyBorder="1" applyAlignment="1">
      <alignment horizontal="left" vertical="center"/>
    </xf>
    <xf numFmtId="0" fontId="69" fillId="0" borderId="7" xfId="0" applyFont="1" applyBorder="1" applyAlignment="1">
      <alignment horizontal="left" vertical="center"/>
    </xf>
    <xf numFmtId="0" fontId="68" fillId="6" borderId="3" xfId="0" applyFont="1" applyFill="1" applyBorder="1" applyAlignment="1">
      <alignment horizontal="center" vertical="center"/>
    </xf>
    <xf numFmtId="0" fontId="68" fillId="6" borderId="9" xfId="0" applyFont="1" applyFill="1" applyBorder="1" applyAlignment="1">
      <alignment horizontal="center" vertical="center"/>
    </xf>
    <xf numFmtId="0" fontId="69" fillId="0" borderId="6" xfId="0" applyFont="1" applyBorder="1" applyAlignment="1">
      <alignment vertical="center"/>
    </xf>
    <xf numFmtId="0" fontId="69" fillId="0" borderId="6" xfId="0" applyFont="1" applyBorder="1" applyAlignment="1">
      <alignment horizontal="left" vertical="center" indent="5"/>
    </xf>
    <xf numFmtId="0" fontId="69" fillId="0" borderId="6" xfId="0" applyFont="1" applyBorder="1" applyAlignment="1">
      <alignment horizontal="justify" vertical="center"/>
    </xf>
    <xf numFmtId="0" fontId="68" fillId="0" borderId="6" xfId="0" applyFont="1" applyBorder="1" applyAlignment="1">
      <alignment horizontal="left" vertical="center" indent="1"/>
    </xf>
    <xf numFmtId="0" fontId="69" fillId="0" borderId="9" xfId="0" applyFont="1" applyBorder="1" applyAlignment="1">
      <alignment horizontal="left" vertical="center" indent="1"/>
    </xf>
    <xf numFmtId="0" fontId="68" fillId="0" borderId="0" xfId="0" applyFont="1" applyBorder="1" applyAlignment="1">
      <alignment vertical="center"/>
    </xf>
    <xf numFmtId="0" fontId="68" fillId="0" borderId="5" xfId="0" applyFont="1" applyBorder="1" applyAlignment="1">
      <alignment horizontal="left" vertical="center" wrapText="1"/>
    </xf>
    <xf numFmtId="0" fontId="69" fillId="0" borderId="5" xfId="0" applyFont="1" applyBorder="1" applyAlignment="1">
      <alignment horizontal="left" vertical="center" wrapText="1"/>
    </xf>
    <xf numFmtId="0" fontId="69" fillId="0" borderId="5" xfId="0" applyFont="1" applyBorder="1" applyAlignment="1">
      <alignment horizontal="left" vertical="center" wrapText="1" indent="1"/>
    </xf>
    <xf numFmtId="0" fontId="68" fillId="0" borderId="7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47" fillId="4" borderId="0" xfId="0" applyFont="1" applyFill="1" applyBorder="1" applyAlignment="1">
      <alignment vertical="center" wrapText="1"/>
    </xf>
    <xf numFmtId="0" fontId="67" fillId="4" borderId="0" xfId="0" applyFont="1" applyFill="1" applyBorder="1" applyAlignment="1">
      <alignment vertical="center" wrapText="1"/>
    </xf>
    <xf numFmtId="0" fontId="48" fillId="0" borderId="0" xfId="0" applyFont="1"/>
    <xf numFmtId="0" fontId="69" fillId="0" borderId="6" xfId="0" applyFont="1" applyBorder="1" applyAlignment="1">
      <alignment horizontal="right" vertical="center"/>
    </xf>
    <xf numFmtId="0" fontId="69" fillId="0" borderId="13" xfId="0" applyFont="1" applyBorder="1" applyAlignment="1">
      <alignment horizontal="right" vertical="center"/>
    </xf>
    <xf numFmtId="0" fontId="69" fillId="0" borderId="9" xfId="0" applyFont="1" applyBorder="1" applyAlignment="1">
      <alignment horizontal="right" vertical="center"/>
    </xf>
    <xf numFmtId="43" fontId="68" fillId="0" borderId="6" xfId="0" applyNumberFormat="1" applyFont="1" applyBorder="1" applyAlignment="1">
      <alignment horizontal="right" vertical="center" wrapText="1"/>
    </xf>
    <xf numFmtId="43" fontId="69" fillId="0" borderId="6" xfId="0" applyNumberFormat="1" applyFont="1" applyBorder="1" applyAlignment="1">
      <alignment horizontal="right" vertical="center" wrapText="1"/>
    </xf>
    <xf numFmtId="43" fontId="69" fillId="0" borderId="9" xfId="0" applyNumberFormat="1" applyFont="1" applyBorder="1" applyAlignment="1">
      <alignment horizontal="right" vertical="center" wrapText="1"/>
    </xf>
    <xf numFmtId="0" fontId="70" fillId="0" borderId="9" xfId="0" applyFont="1" applyBorder="1" applyAlignment="1">
      <alignment horizontal="right" vertical="center" wrapText="1"/>
    </xf>
    <xf numFmtId="43" fontId="27" fillId="0" borderId="6" xfId="0" applyNumberFormat="1" applyFont="1" applyBorder="1" applyAlignment="1">
      <alignment horizontal="right" vertical="center" wrapText="1"/>
    </xf>
    <xf numFmtId="0" fontId="68" fillId="0" borderId="52" xfId="0" applyFont="1" applyBorder="1" applyAlignment="1">
      <alignment vertical="center"/>
    </xf>
    <xf numFmtId="43" fontId="69" fillId="0" borderId="6" xfId="0" applyNumberFormat="1" applyFont="1" applyBorder="1" applyAlignment="1">
      <alignment horizontal="right" vertical="center"/>
    </xf>
    <xf numFmtId="43" fontId="69" fillId="0" borderId="9" xfId="0" applyNumberFormat="1" applyFont="1" applyBorder="1" applyAlignment="1">
      <alignment horizontal="right" vertical="center"/>
    </xf>
    <xf numFmtId="43" fontId="68" fillId="0" borderId="6" xfId="0" applyNumberFormat="1" applyFont="1" applyBorder="1" applyAlignment="1">
      <alignment horizontal="right" vertical="center"/>
    </xf>
    <xf numFmtId="0" fontId="69" fillId="0" borderId="6" xfId="0" applyFont="1" applyBorder="1" applyAlignment="1" applyProtection="1">
      <alignment horizontal="right" vertical="center"/>
    </xf>
    <xf numFmtId="43" fontId="69" fillId="0" borderId="6" xfId="0" applyNumberFormat="1" applyFont="1" applyBorder="1" applyAlignment="1" applyProtection="1">
      <alignment horizontal="right" vertical="center"/>
    </xf>
    <xf numFmtId="43" fontId="69" fillId="0" borderId="6" xfId="0" applyNumberFormat="1" applyFont="1" applyBorder="1" applyAlignment="1" applyProtection="1">
      <alignment horizontal="right" vertical="center"/>
      <protection locked="0"/>
    </xf>
    <xf numFmtId="43" fontId="69" fillId="0" borderId="9" xfId="0" applyNumberFormat="1" applyFont="1" applyBorder="1" applyAlignment="1" applyProtection="1">
      <alignment horizontal="right" vertical="center"/>
      <protection locked="0"/>
    </xf>
    <xf numFmtId="43" fontId="69" fillId="6" borderId="6" xfId="0" applyNumberFormat="1" applyFont="1" applyFill="1" applyBorder="1" applyAlignment="1" applyProtection="1">
      <alignment horizontal="right" vertical="center"/>
    </xf>
    <xf numFmtId="43" fontId="69" fillId="0" borderId="6" xfId="0" applyNumberFormat="1" applyFont="1" applyFill="1" applyBorder="1" applyAlignment="1" applyProtection="1">
      <alignment horizontal="right" vertical="center"/>
    </xf>
    <xf numFmtId="43" fontId="27" fillId="0" borderId="6" xfId="0" applyNumberFormat="1" applyFont="1" applyBorder="1" applyAlignment="1" applyProtection="1">
      <alignment horizontal="right" vertical="center" wrapText="1"/>
      <protection locked="0"/>
    </xf>
    <xf numFmtId="43" fontId="27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68" fillId="6" borderId="3" xfId="0" applyFont="1" applyFill="1" applyBorder="1" applyAlignment="1">
      <alignment horizontal="center" vertical="center" wrapText="1"/>
    </xf>
    <xf numFmtId="43" fontId="69" fillId="0" borderId="6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left" vertical="center" wrapText="1"/>
    </xf>
    <xf numFmtId="43" fontId="13" fillId="0" borderId="9" xfId="0" applyNumberFormat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27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43" fontId="13" fillId="0" borderId="6" xfId="0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justify" vertical="center" wrapText="1"/>
    </xf>
    <xf numFmtId="43" fontId="27" fillId="0" borderId="9" xfId="0" applyNumberFormat="1" applyFont="1" applyBorder="1" applyAlignment="1">
      <alignment horizontal="right" vertical="center" wrapText="1"/>
    </xf>
    <xf numFmtId="43" fontId="68" fillId="6" borderId="6" xfId="0" applyNumberFormat="1" applyFont="1" applyFill="1" applyBorder="1" applyAlignment="1">
      <alignment horizontal="right" vertical="center" wrapText="1"/>
    </xf>
    <xf numFmtId="43" fontId="68" fillId="0" borderId="4" xfId="0" applyNumberFormat="1" applyFont="1" applyBorder="1" applyAlignment="1">
      <alignment horizontal="right" wrapText="1"/>
    </xf>
    <xf numFmtId="43" fontId="68" fillId="0" borderId="6" xfId="0" applyNumberFormat="1" applyFont="1" applyBorder="1" applyAlignment="1">
      <alignment horizontal="right" wrapText="1"/>
    </xf>
    <xf numFmtId="43" fontId="68" fillId="0" borderId="4" xfId="0" applyNumberFormat="1" applyFont="1" applyBorder="1" applyAlignment="1" applyProtection="1">
      <alignment horizontal="right" wrapText="1"/>
      <protection locked="0"/>
    </xf>
    <xf numFmtId="43" fontId="68" fillId="0" borderId="6" xfId="0" applyNumberFormat="1" applyFont="1" applyBorder="1" applyAlignment="1" applyProtection="1">
      <alignment horizontal="right" wrapText="1"/>
      <protection locked="0"/>
    </xf>
    <xf numFmtId="0" fontId="27" fillId="0" borderId="51" xfId="0" applyFont="1" applyBorder="1" applyAlignment="1">
      <alignment horizontal="justify" vertical="center" wrapText="1"/>
    </xf>
    <xf numFmtId="43" fontId="27" fillId="0" borderId="3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justify" vertical="center" wrapText="1"/>
    </xf>
    <xf numFmtId="0" fontId="69" fillId="0" borderId="8" xfId="0" applyFont="1" applyBorder="1" applyAlignment="1">
      <alignment horizontal="left" vertical="center"/>
    </xf>
    <xf numFmtId="0" fontId="69" fillId="0" borderId="53" xfId="0" applyFont="1" applyBorder="1" applyAlignment="1">
      <alignment horizontal="left" vertical="justify"/>
    </xf>
    <xf numFmtId="0" fontId="27" fillId="0" borderId="0" xfId="0" applyFont="1" applyFill="1" applyAlignment="1" applyProtection="1">
      <alignment vertical="center"/>
    </xf>
    <xf numFmtId="0" fontId="63" fillId="0" borderId="0" xfId="0" applyFont="1" applyFill="1"/>
    <xf numFmtId="43" fontId="13" fillId="0" borderId="6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3" fontId="13" fillId="0" borderId="6" xfId="0" applyNumberFormat="1" applyFont="1" applyBorder="1" applyAlignment="1" applyProtection="1">
      <alignment vertical="center"/>
      <protection locked="0"/>
    </xf>
    <xf numFmtId="0" fontId="27" fillId="0" borderId="5" xfId="0" applyFont="1" applyBorder="1" applyAlignment="1">
      <alignment horizontal="justify" vertical="center"/>
    </xf>
    <xf numFmtId="0" fontId="27" fillId="0" borderId="6" xfId="0" applyFont="1" applyBorder="1" applyAlignment="1">
      <alignment horizontal="justify" vertical="center"/>
    </xf>
    <xf numFmtId="43" fontId="27" fillId="0" borderId="6" xfId="0" applyNumberFormat="1" applyFont="1" applyBorder="1" applyAlignment="1" applyProtection="1">
      <alignment vertical="center"/>
    </xf>
    <xf numFmtId="43" fontId="13" fillId="0" borderId="6" xfId="0" applyNumberFormat="1" applyFont="1" applyBorder="1" applyAlignment="1" applyProtection="1">
      <alignment vertical="center"/>
    </xf>
    <xf numFmtId="43" fontId="27" fillId="0" borderId="6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3" fontId="13" fillId="0" borderId="9" xfId="0" applyNumberFormat="1" applyFont="1" applyBorder="1" applyAlignment="1" applyProtection="1">
      <alignment vertical="center"/>
      <protection locked="0"/>
    </xf>
    <xf numFmtId="43" fontId="13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3" fontId="13" fillId="0" borderId="0" xfId="0" applyNumberFormat="1" applyFont="1" applyBorder="1" applyAlignment="1" applyProtection="1">
      <alignment vertical="center"/>
      <protection locked="0"/>
    </xf>
    <xf numFmtId="43" fontId="13" fillId="0" borderId="0" xfId="0" applyNumberFormat="1" applyFont="1" applyBorder="1" applyAlignment="1">
      <alignment vertical="center"/>
    </xf>
    <xf numFmtId="41" fontId="69" fillId="0" borderId="6" xfId="0" applyNumberFormat="1" applyFont="1" applyBorder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 wrapText="1"/>
    </xf>
    <xf numFmtId="43" fontId="69" fillId="0" borderId="9" xfId="0" applyNumberFormat="1" applyFont="1" applyBorder="1" applyAlignment="1" applyProtection="1">
      <alignment horizontal="right" vertical="center"/>
    </xf>
    <xf numFmtId="43" fontId="68" fillId="0" borderId="6" xfId="0" applyNumberFormat="1" applyFont="1" applyBorder="1" applyAlignment="1" applyProtection="1">
      <alignment horizontal="right" vertical="center"/>
    </xf>
    <xf numFmtId="43" fontId="68" fillId="0" borderId="6" xfId="0" applyNumberFormat="1" applyFont="1" applyFill="1" applyBorder="1" applyAlignment="1">
      <alignment horizontal="right" vertical="center" wrapText="1"/>
    </xf>
    <xf numFmtId="43" fontId="27" fillId="0" borderId="9" xfId="0" applyNumberFormat="1" applyFont="1" applyFill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vertical="center"/>
    </xf>
    <xf numFmtId="41" fontId="69" fillId="0" borderId="6" xfId="0" applyNumberFormat="1" applyFont="1" applyBorder="1" applyAlignment="1">
      <alignment vertical="center" wrapText="1"/>
    </xf>
    <xf numFmtId="41" fontId="69" fillId="0" borderId="6" xfId="0" applyNumberFormat="1" applyFont="1" applyBorder="1" applyAlignment="1">
      <alignment horizontal="right" vertical="center"/>
    </xf>
    <xf numFmtId="41" fontId="69" fillId="6" borderId="6" xfId="0" applyNumberFormat="1" applyFont="1" applyFill="1" applyBorder="1" applyAlignment="1">
      <alignment horizontal="right" vertical="center" wrapText="1"/>
    </xf>
    <xf numFmtId="41" fontId="68" fillId="0" borderId="6" xfId="0" applyNumberFormat="1" applyFont="1" applyBorder="1" applyAlignment="1">
      <alignment horizontal="right" vertical="center" wrapText="1"/>
    </xf>
    <xf numFmtId="41" fontId="68" fillId="0" borderId="6" xfId="0" applyNumberFormat="1" applyFont="1" applyBorder="1" applyAlignment="1">
      <alignment horizontal="right" vertical="center"/>
    </xf>
    <xf numFmtId="41" fontId="68" fillId="0" borderId="6" xfId="0" applyNumberFormat="1" applyFont="1" applyBorder="1" applyAlignment="1">
      <alignment vertical="center" wrapText="1"/>
    </xf>
    <xf numFmtId="41" fontId="68" fillId="0" borderId="6" xfId="0" applyNumberFormat="1" applyFont="1" applyBorder="1" applyAlignment="1" applyProtection="1">
      <alignment vertical="center" wrapText="1"/>
      <protection locked="0"/>
    </xf>
    <xf numFmtId="41" fontId="69" fillId="0" borderId="6" xfId="0" applyNumberFormat="1" applyFont="1" applyFill="1" applyBorder="1" applyAlignment="1">
      <alignment horizontal="right" vertical="center" wrapText="1"/>
    </xf>
    <xf numFmtId="0" fontId="78" fillId="0" borderId="6" xfId="0" applyFont="1" applyFill="1" applyBorder="1" applyAlignment="1">
      <alignment horizontal="center" vertical="center"/>
    </xf>
    <xf numFmtId="0" fontId="78" fillId="0" borderId="4" xfId="0" applyFont="1" applyFill="1" applyBorder="1" applyAlignment="1">
      <alignment horizontal="center" vertical="center"/>
    </xf>
    <xf numFmtId="43" fontId="68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0" applyFont="1" applyAlignment="1" applyProtection="1">
      <protection locked="0"/>
    </xf>
    <xf numFmtId="0" fontId="81" fillId="0" borderId="0" xfId="0" applyFont="1" applyAlignment="1" applyProtection="1">
      <protection locked="0"/>
    </xf>
    <xf numFmtId="0" fontId="43" fillId="0" borderId="0" xfId="0" applyFont="1" applyFill="1" applyBorder="1" applyAlignment="1" applyProtection="1">
      <alignment horizontal="right" vertical="top"/>
      <protection locked="0"/>
    </xf>
    <xf numFmtId="0" fontId="80" fillId="0" borderId="0" xfId="0" applyFont="1" applyProtection="1">
      <protection locked="0"/>
    </xf>
    <xf numFmtId="0" fontId="82" fillId="0" borderId="0" xfId="0" applyFont="1" applyFill="1" applyProtection="1">
      <protection locked="0"/>
    </xf>
    <xf numFmtId="0" fontId="81" fillId="0" borderId="0" xfId="0" applyFont="1" applyProtection="1">
      <protection locked="0"/>
    </xf>
    <xf numFmtId="0" fontId="75" fillId="0" borderId="3" xfId="0" applyFont="1" applyBorder="1" applyAlignment="1">
      <alignment horizontal="center" vertical="center"/>
    </xf>
    <xf numFmtId="43" fontId="69" fillId="0" borderId="4" xfId="0" applyNumberFormat="1" applyFont="1" applyBorder="1" applyAlignment="1" applyProtection="1">
      <alignment horizontal="right" vertical="center"/>
      <protection locked="0"/>
    </xf>
    <xf numFmtId="43" fontId="69" fillId="0" borderId="4" xfId="0" applyNumberFormat="1" applyFont="1" applyBorder="1" applyAlignment="1" applyProtection="1">
      <alignment horizontal="right" vertical="center"/>
    </xf>
    <xf numFmtId="0" fontId="69" fillId="0" borderId="5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40" fillId="0" borderId="0" xfId="0" applyFont="1" applyProtection="1">
      <protection locked="0"/>
    </xf>
    <xf numFmtId="0" fontId="68" fillId="0" borderId="5" xfId="0" applyFont="1" applyBorder="1" applyAlignment="1">
      <alignment horizontal="justify" vertical="center" wrapText="1"/>
    </xf>
    <xf numFmtId="0" fontId="68" fillId="0" borderId="6" xfId="0" applyFont="1" applyBorder="1" applyAlignment="1">
      <alignment horizontal="justify" vertical="center" wrapText="1"/>
    </xf>
    <xf numFmtId="0" fontId="68" fillId="4" borderId="9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justify" vertical="center" wrapText="1"/>
    </xf>
    <xf numFmtId="0" fontId="69" fillId="0" borderId="6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left" vertical="center"/>
    </xf>
    <xf numFmtId="0" fontId="69" fillId="0" borderId="52" xfId="0" applyFont="1" applyBorder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0" fontId="69" fillId="0" borderId="52" xfId="0" applyFont="1" applyBorder="1" applyAlignment="1">
      <alignment horizontal="left" vertical="justify"/>
    </xf>
    <xf numFmtId="0" fontId="27" fillId="0" borderId="9" xfId="0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vertical="center" wrapText="1"/>
    </xf>
    <xf numFmtId="0" fontId="68" fillId="6" borderId="51" xfId="0" applyFont="1" applyFill="1" applyBorder="1" applyAlignment="1">
      <alignment horizontal="center" vertical="center" wrapText="1"/>
    </xf>
    <xf numFmtId="0" fontId="68" fillId="6" borderId="13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68" fillId="0" borderId="5" xfId="0" applyFont="1" applyBorder="1" applyAlignment="1">
      <alignment vertical="center"/>
    </xf>
    <xf numFmtId="0" fontId="69" fillId="0" borderId="5" xfId="0" applyFont="1" applyBorder="1" applyAlignment="1">
      <alignment vertical="center"/>
    </xf>
    <xf numFmtId="0" fontId="69" fillId="0" borderId="6" xfId="0" applyFont="1" applyBorder="1" applyAlignment="1">
      <alignment horizontal="left" vertical="center" indent="1"/>
    </xf>
    <xf numFmtId="0" fontId="68" fillId="0" borderId="6" xfId="0" applyFont="1" applyBorder="1" applyAlignment="1">
      <alignment vertical="center"/>
    </xf>
    <xf numFmtId="0" fontId="68" fillId="0" borderId="5" xfId="0" applyFont="1" applyBorder="1" applyAlignment="1">
      <alignment vertical="center" wrapText="1"/>
    </xf>
    <xf numFmtId="0" fontId="67" fillId="4" borderId="0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vertical="center" wrapText="1"/>
    </xf>
    <xf numFmtId="0" fontId="17" fillId="0" borderId="15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84" fillId="0" borderId="13" xfId="0" applyFont="1" applyBorder="1" applyAlignment="1">
      <alignment horizontal="justify" vertical="center" wrapText="1"/>
    </xf>
    <xf numFmtId="0" fontId="84" fillId="0" borderId="9" xfId="0" applyFont="1" applyBorder="1" applyAlignment="1">
      <alignment horizontal="justify" vertical="center" wrapText="1"/>
    </xf>
    <xf numFmtId="0" fontId="84" fillId="6" borderId="13" xfId="0" applyFont="1" applyFill="1" applyBorder="1" applyAlignment="1">
      <alignment horizontal="justify" vertical="center" wrapText="1"/>
    </xf>
    <xf numFmtId="0" fontId="84" fillId="6" borderId="9" xfId="0" applyFont="1" applyFill="1" applyBorder="1" applyAlignment="1">
      <alignment horizontal="justify" vertical="center" wrapText="1"/>
    </xf>
    <xf numFmtId="0" fontId="84" fillId="6" borderId="6" xfId="0" applyFont="1" applyFill="1" applyBorder="1" applyAlignment="1">
      <alignment horizontal="justify" vertical="center" wrapText="1"/>
    </xf>
    <xf numFmtId="0" fontId="84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41" xfId="0" applyFont="1" applyFill="1" applyBorder="1" applyAlignment="1" applyProtection="1">
      <alignment horizontal="center" vertical="center" wrapText="1"/>
      <protection locked="0"/>
    </xf>
    <xf numFmtId="0" fontId="33" fillId="0" borderId="40" xfId="0" applyFont="1" applyFill="1" applyBorder="1" applyAlignment="1" applyProtection="1">
      <alignment horizontal="center" vertical="center" wrapText="1"/>
      <protection locked="0"/>
    </xf>
    <xf numFmtId="43" fontId="5" fillId="0" borderId="17" xfId="13" applyFont="1" applyFill="1" applyBorder="1" applyAlignment="1" applyProtection="1">
      <alignment horizontal="right" vertical="center"/>
      <protection locked="0"/>
    </xf>
    <xf numFmtId="43" fontId="5" fillId="0" borderId="16" xfId="13" applyFont="1" applyFill="1" applyBorder="1" applyAlignment="1" applyProtection="1">
      <alignment horizontal="right" vertical="center"/>
      <protection locked="0"/>
    </xf>
    <xf numFmtId="43" fontId="17" fillId="0" borderId="15" xfId="13" applyFont="1" applyFill="1" applyBorder="1" applyAlignment="1" applyProtection="1">
      <alignment horizontal="justify" vertical="center"/>
      <protection locked="0"/>
    </xf>
    <xf numFmtId="43" fontId="17" fillId="0" borderId="16" xfId="13" applyFont="1" applyFill="1" applyBorder="1" applyAlignment="1" applyProtection="1">
      <alignment horizontal="justify" vertical="center"/>
      <protection locked="0"/>
    </xf>
    <xf numFmtId="43" fontId="17" fillId="0" borderId="22" xfId="13" applyFont="1" applyFill="1" applyBorder="1" applyAlignment="1" applyProtection="1">
      <alignment horizontal="justify" vertical="center"/>
      <protection locked="0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justify" vertical="center" wrapText="1"/>
    </xf>
    <xf numFmtId="43" fontId="69" fillId="0" borderId="0" xfId="0" applyNumberFormat="1" applyFont="1" applyBorder="1" applyAlignment="1">
      <alignment horizontal="right" vertical="center" wrapText="1"/>
    </xf>
    <xf numFmtId="43" fontId="5" fillId="0" borderId="0" xfId="0" applyNumberFormat="1" applyFont="1" applyFill="1" applyProtection="1">
      <protection locked="0"/>
    </xf>
    <xf numFmtId="4" fontId="1" fillId="0" borderId="4" xfId="0" applyNumberFormat="1" applyFont="1" applyBorder="1" applyAlignment="1" applyProtection="1">
      <alignment horizontal="right" vertical="center" wrapText="1"/>
      <protection locked="0"/>
    </xf>
    <xf numFmtId="4" fontId="1" fillId="0" borderId="4" xfId="0" applyNumberFormat="1" applyFont="1" applyBorder="1" applyAlignment="1" applyProtection="1">
      <alignment horizontal="right" vertical="center" wrapText="1"/>
    </xf>
    <xf numFmtId="4" fontId="3" fillId="0" borderId="13" xfId="0" applyNumberFormat="1" applyFont="1" applyBorder="1" applyAlignment="1" applyProtection="1">
      <alignment horizontal="right" vertical="center" wrapText="1"/>
    </xf>
    <xf numFmtId="4" fontId="16" fillId="0" borderId="6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Alignment="1" applyProtection="1">
      <alignment horizontal="right" vertical="center"/>
    </xf>
    <xf numFmtId="4" fontId="5" fillId="0" borderId="0" xfId="0" applyNumberFormat="1" applyFont="1" applyAlignment="1" applyProtection="1">
      <alignment horizontal="lef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 wrapText="1"/>
    </xf>
    <xf numFmtId="4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7" xfId="0" applyNumberFormat="1" applyFont="1" applyFill="1" applyBorder="1" applyAlignment="1" applyProtection="1">
      <alignment horizontal="right" vertical="center" wrapText="1"/>
    </xf>
    <xf numFmtId="4" fontId="24" fillId="0" borderId="47" xfId="0" applyNumberFormat="1" applyFont="1" applyFill="1" applyBorder="1" applyAlignment="1" applyProtection="1">
      <alignment horizontal="right" vertical="center" wrapText="1"/>
    </xf>
    <xf numFmtId="4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6" xfId="0" applyNumberFormat="1" applyFont="1" applyFill="1" applyBorder="1" applyAlignment="1" applyProtection="1">
      <alignment horizontal="right" vertical="center" wrapText="1"/>
    </xf>
    <xf numFmtId="4" fontId="24" fillId="0" borderId="18" xfId="0" applyNumberFormat="1" applyFont="1" applyFill="1" applyBorder="1" applyAlignment="1" applyProtection="1">
      <alignment horizontal="righ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</xf>
    <xf numFmtId="4" fontId="39" fillId="0" borderId="16" xfId="0" applyNumberFormat="1" applyFont="1" applyFill="1" applyBorder="1" applyAlignment="1" applyProtection="1">
      <alignment horizontal="right" vertical="center" wrapText="1"/>
    </xf>
    <xf numFmtId="4" fontId="12" fillId="0" borderId="18" xfId="0" applyNumberFormat="1" applyFont="1" applyFill="1" applyBorder="1" applyAlignment="1" applyProtection="1">
      <alignment horizontal="right" vertical="center" wrapText="1"/>
    </xf>
    <xf numFmtId="4" fontId="2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</xf>
    <xf numFmtId="4" fontId="3" fillId="0" borderId="45" xfId="0" applyNumberFormat="1" applyFont="1" applyFill="1" applyBorder="1" applyAlignment="1" applyProtection="1">
      <alignment horizontal="right" vertical="center" wrapText="1"/>
    </xf>
    <xf numFmtId="0" fontId="24" fillId="0" borderId="48" xfId="0" applyFont="1" applyFill="1" applyBorder="1" applyAlignment="1" applyProtection="1">
      <alignment horizontal="left" vertical="center" wrapText="1"/>
      <protection locked="0"/>
    </xf>
    <xf numFmtId="4" fontId="1" fillId="0" borderId="16" xfId="0" applyNumberFormat="1" applyFont="1" applyFill="1" applyBorder="1" applyAlignment="1" applyProtection="1">
      <alignment horizontal="right" vertical="center" wrapText="1"/>
    </xf>
    <xf numFmtId="4" fontId="1" fillId="0" borderId="18" xfId="0" applyNumberFormat="1" applyFont="1" applyFill="1" applyBorder="1" applyAlignment="1" applyProtection="1">
      <alignment horizontal="right"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47" xfId="0" applyNumberFormat="1" applyFont="1" applyFill="1" applyBorder="1" applyAlignment="1" applyProtection="1">
      <alignment horizontal="right" vertical="center" wrapText="1"/>
    </xf>
    <xf numFmtId="4" fontId="1" fillId="0" borderId="22" xfId="0" applyNumberFormat="1" applyFont="1" applyFill="1" applyBorder="1" applyAlignment="1" applyProtection="1">
      <alignment horizontal="right" vertical="center" wrapText="1"/>
    </xf>
    <xf numFmtId="4" fontId="1" fillId="0" borderId="45" xfId="0" applyNumberFormat="1" applyFont="1" applyFill="1" applyBorder="1" applyAlignment="1" applyProtection="1">
      <alignment horizontal="right" vertical="center" wrapText="1"/>
    </xf>
    <xf numFmtId="3" fontId="41" fillId="0" borderId="17" xfId="0" applyNumberFormat="1" applyFont="1" applyFill="1" applyBorder="1" applyAlignment="1">
      <alignment horizontal="center"/>
    </xf>
    <xf numFmtId="3" fontId="42" fillId="0" borderId="17" xfId="0" applyNumberFormat="1" applyFont="1" applyFill="1" applyBorder="1" applyAlignment="1">
      <alignment horizontal="left"/>
    </xf>
    <xf numFmtId="3" fontId="42" fillId="0" borderId="17" xfId="0" applyNumberFormat="1" applyFont="1" applyFill="1" applyBorder="1" applyAlignment="1">
      <alignment horizontal="right"/>
    </xf>
    <xf numFmtId="3" fontId="42" fillId="0" borderId="17" xfId="0" applyNumberFormat="1" applyFont="1" applyFill="1" applyBorder="1" applyAlignment="1">
      <alignment horizontal="center"/>
    </xf>
    <xf numFmtId="0" fontId="12" fillId="0" borderId="8" xfId="0" applyFont="1" applyFill="1" applyBorder="1" applyAlignment="1"/>
    <xf numFmtId="0" fontId="3" fillId="0" borderId="15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27" fillId="0" borderId="16" xfId="0" applyNumberFormat="1" applyFont="1" applyFill="1" applyBorder="1" applyAlignment="1">
      <alignment horizontal="center" wrapText="1"/>
    </xf>
    <xf numFmtId="49" fontId="27" fillId="0" borderId="18" xfId="0" applyNumberFormat="1" applyFont="1" applyFill="1" applyBorder="1" applyAlignment="1">
      <alignment horizontal="center" wrapText="1"/>
    </xf>
    <xf numFmtId="49" fontId="3" fillId="0" borderId="48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 applyProtection="1">
      <alignment horizontal="right" wrapText="1"/>
    </xf>
    <xf numFmtId="4" fontId="1" fillId="0" borderId="17" xfId="0" applyNumberFormat="1" applyFont="1" applyFill="1" applyBorder="1" applyAlignment="1" applyProtection="1">
      <alignment horizontal="right" wrapText="1"/>
    </xf>
    <xf numFmtId="0" fontId="3" fillId="0" borderId="4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justify" wrapText="1"/>
    </xf>
    <xf numFmtId="0" fontId="3" fillId="0" borderId="48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justify" wrapText="1"/>
    </xf>
    <xf numFmtId="0" fontId="42" fillId="0" borderId="48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justify" wrapText="1"/>
    </xf>
    <xf numFmtId="4" fontId="41" fillId="0" borderId="17" xfId="0" applyNumberFormat="1" applyFont="1" applyFill="1" applyBorder="1" applyAlignment="1">
      <alignment horizontal="left" wrapText="1"/>
    </xf>
    <xf numFmtId="4" fontId="42" fillId="0" borderId="17" xfId="0" applyNumberFormat="1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justify" wrapText="1"/>
    </xf>
    <xf numFmtId="0" fontId="1" fillId="0" borderId="48" xfId="0" applyFont="1" applyFill="1" applyBorder="1" applyAlignment="1">
      <alignment horizontal="justify" wrapText="1"/>
    </xf>
    <xf numFmtId="3" fontId="3" fillId="0" borderId="22" xfId="0" applyNumberFormat="1" applyFont="1" applyFill="1" applyBorder="1" applyAlignment="1" applyProtection="1">
      <alignment horizontal="center" wrapText="1"/>
    </xf>
    <xf numFmtId="3" fontId="3" fillId="0" borderId="16" xfId="0" applyNumberFormat="1" applyFont="1" applyFill="1" applyBorder="1" applyAlignment="1" applyProtection="1">
      <alignment horizontal="center" wrapText="1"/>
    </xf>
    <xf numFmtId="3" fontId="3" fillId="0" borderId="61" xfId="0" applyNumberFormat="1" applyFont="1" applyFill="1" applyBorder="1" applyAlignment="1">
      <alignment horizontal="left" wrapText="1"/>
    </xf>
    <xf numFmtId="3" fontId="41" fillId="0" borderId="2" xfId="0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/>
    <xf numFmtId="3" fontId="1" fillId="0" borderId="17" xfId="0" applyNumberFormat="1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center" wrapText="1"/>
    </xf>
    <xf numFmtId="3" fontId="41" fillId="0" borderId="0" xfId="0" applyNumberFormat="1" applyFont="1" applyFill="1" applyBorder="1" applyAlignment="1">
      <alignment horizontal="left" wrapText="1"/>
    </xf>
    <xf numFmtId="3" fontId="41" fillId="0" borderId="0" xfId="0" applyNumberFormat="1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left" wrapText="1"/>
    </xf>
    <xf numFmtId="3" fontId="1" fillId="0" borderId="20" xfId="0" applyNumberFormat="1" applyFont="1" applyFill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 wrapText="1"/>
    </xf>
    <xf numFmtId="0" fontId="3" fillId="0" borderId="60" xfId="0" applyFont="1" applyFill="1" applyBorder="1" applyAlignment="1">
      <alignment horizontal="justify" wrapText="1"/>
    </xf>
    <xf numFmtId="0" fontId="3" fillId="0" borderId="6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wrapText="1"/>
    </xf>
    <xf numFmtId="4" fontId="41" fillId="0" borderId="0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right" wrapText="1"/>
    </xf>
    <xf numFmtId="4" fontId="42" fillId="0" borderId="0" xfId="0" applyNumberFormat="1" applyFont="1" applyFill="1" applyBorder="1" applyAlignment="1">
      <alignment horizontal="left"/>
    </xf>
    <xf numFmtId="4" fontId="41" fillId="0" borderId="0" xfId="0" applyNumberFormat="1" applyFont="1" applyFill="1" applyBorder="1" applyAlignment="1">
      <alignment horizontal="left"/>
    </xf>
    <xf numFmtId="4" fontId="42" fillId="0" borderId="0" xfId="0" applyNumberFormat="1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4" fontId="41" fillId="0" borderId="2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/>
    </xf>
    <xf numFmtId="0" fontId="1" fillId="0" borderId="17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/>
    <xf numFmtId="43" fontId="1" fillId="0" borderId="17" xfId="13" applyFont="1" applyFill="1" applyBorder="1" applyAlignment="1" applyProtection="1">
      <alignment horizontal="right" wrapText="1"/>
    </xf>
    <xf numFmtId="43" fontId="3" fillId="0" borderId="17" xfId="13" applyFont="1" applyFill="1" applyBorder="1" applyAlignment="1" applyProtection="1">
      <alignment horizontal="right" wrapText="1"/>
    </xf>
    <xf numFmtId="4" fontId="3" fillId="0" borderId="17" xfId="0" applyNumberFormat="1" applyFont="1" applyFill="1" applyBorder="1" applyAlignment="1" applyProtection="1">
      <alignment horizontal="right" wrapText="1"/>
    </xf>
    <xf numFmtId="43" fontId="3" fillId="0" borderId="22" xfId="13" applyFont="1" applyFill="1" applyBorder="1" applyAlignment="1" applyProtection="1">
      <alignment horizontal="right" wrapText="1"/>
    </xf>
    <xf numFmtId="0" fontId="2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3" fillId="0" borderId="17" xfId="13" applyFont="1" applyFill="1" applyBorder="1" applyAlignment="1">
      <alignment horizontal="justify" wrapText="1"/>
    </xf>
    <xf numFmtId="165" fontId="1" fillId="0" borderId="47" xfId="6" applyNumberFormat="1" applyFont="1" applyFill="1" applyBorder="1" applyAlignment="1">
      <alignment horizontal="center" wrapText="1"/>
    </xf>
    <xf numFmtId="165" fontId="3" fillId="0" borderId="47" xfId="6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48" xfId="0" applyFont="1" applyFill="1" applyBorder="1" applyAlignment="1">
      <alignment horizontal="left" wrapText="1"/>
    </xf>
    <xf numFmtId="43" fontId="1" fillId="0" borderId="17" xfId="13" applyFont="1" applyFill="1" applyBorder="1" applyAlignment="1">
      <alignment horizontal="justify" wrapText="1"/>
    </xf>
    <xf numFmtId="43" fontId="2" fillId="0" borderId="0" xfId="13" applyFont="1" applyFill="1" applyBorder="1" applyAlignment="1">
      <alignment horizontal="right" wrapText="1"/>
    </xf>
    <xf numFmtId="43" fontId="1" fillId="0" borderId="0" xfId="0" applyNumberFormat="1" applyFont="1" applyFill="1" applyAlignment="1"/>
    <xf numFmtId="43" fontId="21" fillId="0" borderId="0" xfId="13" applyFont="1" applyFill="1" applyBorder="1" applyAlignment="1">
      <alignment horizontal="right" wrapText="1"/>
    </xf>
    <xf numFmtId="0" fontId="3" fillId="0" borderId="0" xfId="0" applyFont="1" applyFill="1" applyAlignment="1"/>
    <xf numFmtId="43" fontId="3" fillId="0" borderId="17" xfId="0" applyNumberFormat="1" applyFont="1" applyFill="1" applyBorder="1" applyAlignment="1">
      <alignment horizontal="justify" wrapText="1"/>
    </xf>
    <xf numFmtId="43" fontId="3" fillId="0" borderId="22" xfId="13" applyFont="1" applyFill="1" applyBorder="1" applyAlignment="1">
      <alignment horizontal="justify" wrapText="1"/>
    </xf>
    <xf numFmtId="43" fontId="3" fillId="0" borderId="59" xfId="13" applyFont="1" applyFill="1" applyBorder="1" applyAlignment="1">
      <alignment horizontal="justify" wrapText="1"/>
    </xf>
    <xf numFmtId="165" fontId="1" fillId="0" borderId="60" xfId="6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9" fontId="77" fillId="0" borderId="45" xfId="6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9" fontId="77" fillId="0" borderId="18" xfId="6" applyFont="1" applyFill="1" applyBorder="1" applyAlignment="1">
      <alignment horizontal="center" wrapText="1"/>
    </xf>
    <xf numFmtId="43" fontId="3" fillId="0" borderId="44" xfId="13" applyFont="1" applyFill="1" applyBorder="1" applyAlignment="1">
      <alignment horizontal="justify" wrapText="1"/>
    </xf>
    <xf numFmtId="165" fontId="3" fillId="0" borderId="45" xfId="6" applyNumberFormat="1" applyFont="1" applyFill="1" applyBorder="1" applyAlignment="1">
      <alignment horizontal="center" wrapText="1"/>
    </xf>
    <xf numFmtId="43" fontId="3" fillId="0" borderId="17" xfId="13" applyFont="1" applyFill="1" applyBorder="1" applyAlignment="1">
      <alignment horizontal="center" wrapText="1"/>
    </xf>
    <xf numFmtId="43" fontId="1" fillId="0" borderId="17" xfId="13" applyFont="1" applyFill="1" applyBorder="1" applyAlignment="1">
      <alignment horizontal="center" wrapText="1"/>
    </xf>
    <xf numFmtId="165" fontId="3" fillId="0" borderId="60" xfId="6" applyNumberFormat="1" applyFont="1" applyFill="1" applyBorder="1" applyAlignment="1">
      <alignment horizontal="center" wrapText="1"/>
    </xf>
    <xf numFmtId="43" fontId="1" fillId="0" borderId="17" xfId="13" applyFont="1" applyFill="1" applyBorder="1" applyAlignment="1">
      <alignment horizontal="right" wrapText="1"/>
    </xf>
    <xf numFmtId="0" fontId="1" fillId="0" borderId="44" xfId="0" applyFont="1" applyFill="1" applyBorder="1" applyAlignment="1">
      <alignment horizontal="justify" wrapText="1"/>
    </xf>
    <xf numFmtId="0" fontId="1" fillId="0" borderId="21" xfId="0" applyFont="1" applyFill="1" applyBorder="1" applyAlignment="1">
      <alignment horizontal="justify" wrapText="1"/>
    </xf>
    <xf numFmtId="43" fontId="25" fillId="0" borderId="22" xfId="13" applyFont="1" applyFill="1" applyBorder="1" applyAlignment="1">
      <alignment horizontal="right" wrapText="1"/>
    </xf>
    <xf numFmtId="0" fontId="3" fillId="0" borderId="44" xfId="0" applyFont="1" applyFill="1" applyBorder="1" applyAlignment="1">
      <alignment horizontal="justify" wrapText="1"/>
    </xf>
    <xf numFmtId="0" fontId="3" fillId="0" borderId="21" xfId="0" applyFont="1" applyFill="1" applyBorder="1" applyAlignment="1">
      <alignment horizontal="justify" wrapText="1"/>
    </xf>
    <xf numFmtId="43" fontId="3" fillId="0" borderId="22" xfId="13" applyFont="1" applyFill="1" applyBorder="1" applyAlignment="1">
      <alignment horizontal="right" wrapText="1"/>
    </xf>
    <xf numFmtId="0" fontId="7" fillId="0" borderId="0" xfId="0" applyFont="1" applyFill="1" applyAlignment="1"/>
    <xf numFmtId="0" fontId="5" fillId="0" borderId="0" xfId="0" applyFont="1" applyFill="1" applyAlignment="1">
      <alignment horizontal="right"/>
    </xf>
    <xf numFmtId="43" fontId="5" fillId="0" borderId="0" xfId="0" applyNumberFormat="1" applyFont="1" applyFill="1" applyAlignment="1"/>
    <xf numFmtId="0" fontId="3" fillId="0" borderId="0" xfId="0" applyFont="1" applyFill="1" applyBorder="1"/>
    <xf numFmtId="0" fontId="0" fillId="0" borderId="8" xfId="0" applyFill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5" xfId="0" applyFont="1" applyFill="1" applyBorder="1" applyAlignment="1" applyProtection="1">
      <alignment vertical="center" wrapText="1"/>
      <protection locked="0"/>
    </xf>
    <xf numFmtId="4" fontId="3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8" xfId="0" applyFont="1" applyFill="1" applyBorder="1" applyAlignment="1" applyProtection="1">
      <alignment vertical="top" wrapText="1"/>
      <protection locked="0"/>
    </xf>
    <xf numFmtId="3" fontId="12" fillId="0" borderId="17" xfId="0" applyNumberFormat="1" applyFont="1" applyFill="1" applyBorder="1" applyAlignment="1" applyProtection="1">
      <alignment horizontal="right" vertical="center" wrapText="1"/>
    </xf>
    <xf numFmtId="0" fontId="24" fillId="0" borderId="48" xfId="0" applyFont="1" applyFill="1" applyBorder="1" applyAlignment="1" applyProtection="1">
      <alignment horizontal="left" vertical="center" wrapText="1" indent="4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4" fontId="12" fillId="0" borderId="17" xfId="0" applyNumberFormat="1" applyFont="1" applyFill="1" applyBorder="1" applyAlignment="1" applyProtection="1">
      <alignment horizontal="right" vertical="center" wrapText="1"/>
    </xf>
    <xf numFmtId="3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8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1" fillId="0" borderId="56" xfId="0" applyFont="1" applyFill="1" applyBorder="1" applyAlignment="1" applyProtection="1">
      <alignment horizontal="justify" vertical="center" wrapText="1"/>
      <protection locked="0"/>
    </xf>
    <xf numFmtId="0" fontId="31" fillId="0" borderId="48" xfId="0" applyFont="1" applyFill="1" applyBorder="1" applyAlignment="1" applyProtection="1">
      <alignment horizontal="justify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</xf>
    <xf numFmtId="0" fontId="32" fillId="0" borderId="48" xfId="0" applyFont="1" applyFill="1" applyBorder="1" applyAlignment="1" applyProtection="1">
      <alignment horizontal="justify" vertical="center" wrapText="1"/>
      <protection locked="0"/>
    </xf>
    <xf numFmtId="4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20" xfId="0" applyNumberFormat="1" applyFont="1" applyFill="1" applyBorder="1" applyAlignment="1" applyProtection="1">
      <alignment horizontal="right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17" xfId="0" applyNumberFormat="1" applyFont="1" applyFill="1" applyBorder="1" applyAlignment="1" applyProtection="1">
      <alignment horizontal="right" vertical="center" wrapText="1"/>
    </xf>
    <xf numFmtId="0" fontId="30" fillId="0" borderId="49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3" fillId="0" borderId="42" xfId="0" applyFont="1" applyFill="1" applyBorder="1" applyAlignment="1" applyProtection="1">
      <alignment horizontal="justify" vertical="center"/>
      <protection locked="0"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0" fontId="8" fillId="0" borderId="5" xfId="0" applyFont="1" applyFill="1" applyBorder="1" applyAlignment="1" applyProtection="1">
      <alignment horizontal="justify" vertical="top"/>
      <protection locked="0"/>
    </xf>
    <xf numFmtId="0" fontId="24" fillId="0" borderId="5" xfId="0" applyFont="1" applyFill="1" applyBorder="1" applyAlignment="1" applyProtection="1">
      <alignment horizontal="justify" vertical="top"/>
      <protection locked="0"/>
    </xf>
    <xf numFmtId="4" fontId="24" fillId="0" borderId="0" xfId="0" applyNumberFormat="1" applyFont="1" applyFill="1" applyBorder="1" applyAlignment="1" applyProtection="1">
      <alignment horizontal="right" vertical="top"/>
      <protection locked="0"/>
    </xf>
    <xf numFmtId="4" fontId="24" fillId="0" borderId="6" xfId="0" applyNumberFormat="1" applyFont="1" applyFill="1" applyBorder="1" applyAlignment="1" applyProtection="1">
      <alignment horizontal="right" vertical="top"/>
      <protection locked="0"/>
    </xf>
    <xf numFmtId="0" fontId="19" fillId="0" borderId="5" xfId="0" applyFont="1" applyFill="1" applyBorder="1" applyAlignment="1" applyProtection="1">
      <alignment horizontal="justify" vertical="top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4" fillId="0" borderId="7" xfId="0" applyFont="1" applyFill="1" applyBorder="1" applyAlignment="1" applyProtection="1">
      <alignment horizontal="justify" vertical="top"/>
      <protection locked="0"/>
    </xf>
    <xf numFmtId="4" fontId="24" fillId="0" borderId="8" xfId="0" applyNumberFormat="1" applyFont="1" applyFill="1" applyBorder="1" applyAlignment="1" applyProtection="1">
      <alignment horizontal="right" vertical="top"/>
      <protection locked="0"/>
    </xf>
    <xf numFmtId="4" fontId="24" fillId="0" borderId="9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4" fontId="0" fillId="0" borderId="0" xfId="0" applyNumberFormat="1"/>
    <xf numFmtId="0" fontId="5" fillId="0" borderId="0" xfId="0" applyFont="1" applyFill="1" applyBorder="1" applyAlignment="1" applyProtection="1">
      <alignment horizontal="left" wrapText="1"/>
      <protection locked="0"/>
    </xf>
    <xf numFmtId="43" fontId="16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protection locked="0"/>
    </xf>
    <xf numFmtId="43" fontId="16" fillId="0" borderId="6" xfId="0" applyNumberFormat="1" applyFont="1" applyFill="1" applyBorder="1" applyAlignment="1" applyProtection="1">
      <alignment wrapText="1"/>
    </xf>
    <xf numFmtId="43" fontId="3" fillId="0" borderId="0" xfId="0" applyNumberFormat="1" applyFont="1" applyFill="1" applyBorder="1" applyAlignment="1" applyProtection="1">
      <alignment wrapText="1"/>
    </xf>
    <xf numFmtId="43" fontId="3" fillId="0" borderId="6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/>
      <protection locked="0"/>
    </xf>
    <xf numFmtId="43" fontId="3" fillId="0" borderId="0" xfId="0" applyNumberFormat="1" applyFont="1" applyFill="1" applyBorder="1" applyAlignment="1" applyProtection="1">
      <alignment vertical="center" wrapText="1"/>
    </xf>
    <xf numFmtId="43" fontId="3" fillId="0" borderId="6" xfId="0" applyNumberFormat="1" applyFont="1" applyFill="1" applyBorder="1" applyAlignment="1" applyProtection="1">
      <alignment vertical="center" wrapText="1"/>
    </xf>
    <xf numFmtId="43" fontId="1" fillId="0" borderId="6" xfId="0" applyNumberFormat="1" applyFont="1" applyFill="1" applyBorder="1" applyAlignment="1" applyProtection="1">
      <protection locked="0"/>
    </xf>
    <xf numFmtId="43" fontId="16" fillId="0" borderId="0" xfId="0" applyNumberFormat="1" applyFont="1" applyFill="1" applyBorder="1" applyAlignment="1" applyProtection="1"/>
    <xf numFmtId="43" fontId="16" fillId="0" borderId="6" xfId="0" applyNumberFormat="1" applyFont="1" applyFill="1" applyBorder="1" applyAlignment="1" applyProtection="1"/>
    <xf numFmtId="43" fontId="5" fillId="0" borderId="0" xfId="0" applyNumberFormat="1" applyFont="1" applyAlignment="1" applyProtection="1">
      <alignment vertical="center"/>
      <protection locked="0"/>
    </xf>
    <xf numFmtId="4" fontId="18" fillId="0" borderId="6" xfId="0" applyNumberFormat="1" applyFont="1" applyBorder="1" applyAlignment="1" applyProtection="1">
      <alignment horizontal="right" vertical="center"/>
    </xf>
    <xf numFmtId="4" fontId="18" fillId="0" borderId="4" xfId="0" applyNumberFormat="1" applyFont="1" applyBorder="1" applyAlignment="1" applyProtection="1">
      <alignment horizontal="right" vertical="center"/>
    </xf>
    <xf numFmtId="4" fontId="18" fillId="0" borderId="6" xfId="0" applyNumberFormat="1" applyFont="1" applyBorder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4" fontId="1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4" fontId="39" fillId="0" borderId="0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3" fontId="17" fillId="0" borderId="0" xfId="0" applyNumberFormat="1" applyFont="1" applyBorder="1" applyAlignment="1" applyProtection="1">
      <alignment horizontal="left" vertical="top"/>
      <protection locked="0"/>
    </xf>
    <xf numFmtId="166" fontId="68" fillId="0" borderId="6" xfId="0" applyNumberFormat="1" applyFont="1" applyBorder="1" applyAlignment="1">
      <alignment vertical="center" wrapText="1"/>
    </xf>
    <xf numFmtId="166" fontId="69" fillId="0" borderId="6" xfId="0" applyNumberFormat="1" applyFont="1" applyBorder="1" applyAlignment="1" applyProtection="1">
      <alignment vertical="center" wrapText="1"/>
      <protection locked="0"/>
    </xf>
    <xf numFmtId="166" fontId="69" fillId="0" borderId="6" xfId="0" applyNumberFormat="1" applyFont="1" applyBorder="1" applyAlignment="1">
      <alignment vertical="center" wrapText="1"/>
    </xf>
    <xf numFmtId="166" fontId="69" fillId="2" borderId="6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167" fontId="5" fillId="0" borderId="0" xfId="13" applyNumberFormat="1" applyFont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protection locked="0"/>
    </xf>
    <xf numFmtId="4" fontId="24" fillId="0" borderId="0" xfId="0" applyNumberFormat="1" applyFont="1" applyAlignment="1" applyProtection="1">
      <protection locked="0"/>
    </xf>
    <xf numFmtId="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78" fillId="0" borderId="9" xfId="0" applyFont="1" applyFill="1" applyBorder="1" applyAlignment="1">
      <alignment horizontal="center" vertical="center"/>
    </xf>
    <xf numFmtId="0" fontId="78" fillId="0" borderId="5" xfId="0" applyFont="1" applyFill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166" fontId="0" fillId="0" borderId="0" xfId="0" applyNumberFormat="1"/>
    <xf numFmtId="0" fontId="3" fillId="0" borderId="46" xfId="0" applyFont="1" applyFill="1" applyBorder="1" applyAlignment="1" applyProtection="1">
      <alignment vertical="center" wrapText="1"/>
    </xf>
    <xf numFmtId="0" fontId="1" fillId="0" borderId="48" xfId="0" applyFont="1" applyFill="1" applyBorder="1" applyAlignment="1" applyProtection="1">
      <alignment horizontal="left" vertical="center" wrapText="1" indent="3"/>
    </xf>
    <xf numFmtId="0" fontId="3" fillId="0" borderId="48" xfId="0" applyFont="1" applyFill="1" applyBorder="1" applyAlignment="1" applyProtection="1">
      <alignment vertical="center" wrapText="1"/>
    </xf>
    <xf numFmtId="4" fontId="0" fillId="0" borderId="0" xfId="0" applyNumberFormat="1" applyFill="1"/>
    <xf numFmtId="0" fontId="1" fillId="0" borderId="49" xfId="0" applyFont="1" applyFill="1" applyBorder="1" applyAlignment="1" applyProtection="1">
      <alignment horizontal="left" vertical="center" wrapText="1" indent="3"/>
    </xf>
    <xf numFmtId="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6" xfId="0" applyFont="1" applyFill="1" applyBorder="1" applyAlignment="1">
      <alignment horizontal="center" vertical="center" wrapText="1"/>
    </xf>
    <xf numFmtId="43" fontId="78" fillId="0" borderId="4" xfId="0" applyNumberFormat="1" applyFont="1" applyFill="1" applyBorder="1" applyAlignment="1">
      <alignment vertical="center"/>
    </xf>
    <xf numFmtId="43" fontId="78" fillId="0" borderId="4" xfId="0" applyNumberFormat="1" applyFont="1" applyFill="1" applyBorder="1" applyAlignment="1" applyProtection="1">
      <alignment vertical="center"/>
    </xf>
    <xf numFmtId="0" fontId="79" fillId="0" borderId="5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43" fontId="79" fillId="0" borderId="4" xfId="0" applyNumberFormat="1" applyFont="1" applyFill="1" applyBorder="1" applyAlignment="1" applyProtection="1">
      <alignment vertical="center"/>
      <protection locked="0"/>
    </xf>
    <xf numFmtId="43" fontId="79" fillId="0" borderId="4" xfId="0" applyNumberFormat="1" applyFont="1" applyFill="1" applyBorder="1" applyAlignment="1" applyProtection="1">
      <alignment vertical="center"/>
    </xf>
    <xf numFmtId="43" fontId="79" fillId="0" borderId="6" xfId="0" applyNumberFormat="1" applyFont="1" applyFill="1" applyBorder="1" applyAlignment="1">
      <alignment vertical="center"/>
    </xf>
    <xf numFmtId="0" fontId="79" fillId="0" borderId="7" xfId="0" applyFont="1" applyFill="1" applyBorder="1" applyAlignment="1">
      <alignment horizontal="left" vertical="center"/>
    </xf>
    <xf numFmtId="0" fontId="79" fillId="0" borderId="8" xfId="0" applyFont="1" applyFill="1" applyBorder="1" applyAlignment="1">
      <alignment horizontal="left" vertical="center"/>
    </xf>
    <xf numFmtId="43" fontId="79" fillId="0" borderId="13" xfId="0" applyNumberFormat="1" applyFont="1" applyFill="1" applyBorder="1" applyAlignment="1" applyProtection="1">
      <alignment vertical="center"/>
      <protection locked="0"/>
    </xf>
    <xf numFmtId="43" fontId="79" fillId="0" borderId="13" xfId="0" applyNumberFormat="1" applyFont="1" applyFill="1" applyBorder="1" applyAlignment="1" applyProtection="1">
      <alignment vertical="center"/>
    </xf>
    <xf numFmtId="43" fontId="79" fillId="0" borderId="9" xfId="0" applyNumberFormat="1" applyFont="1" applyFill="1" applyBorder="1" applyAlignment="1">
      <alignment vertical="center"/>
    </xf>
    <xf numFmtId="43" fontId="79" fillId="0" borderId="4" xfId="0" applyNumberFormat="1" applyFont="1" applyFill="1" applyBorder="1" applyAlignment="1">
      <alignment vertical="center"/>
    </xf>
    <xf numFmtId="43" fontId="0" fillId="0" borderId="0" xfId="0" applyNumberFormat="1" applyFill="1"/>
    <xf numFmtId="0" fontId="79" fillId="0" borderId="13" xfId="0" applyFont="1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center" vertical="center" wrapText="1"/>
    </xf>
    <xf numFmtId="43" fontId="13" fillId="0" borderId="6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/>
    </xf>
    <xf numFmtId="43" fontId="63" fillId="0" borderId="0" xfId="0" applyNumberFormat="1" applyFont="1" applyFill="1"/>
    <xf numFmtId="0" fontId="27" fillId="0" borderId="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justify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" fontId="3" fillId="0" borderId="17" xfId="13" applyNumberFormat="1" applyFont="1" applyFill="1" applyBorder="1" applyAlignment="1">
      <alignment horizontal="right" wrapText="1"/>
    </xf>
    <xf numFmtId="4" fontId="1" fillId="0" borderId="17" xfId="13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4" fontId="82" fillId="0" borderId="17" xfId="0" quotePrefix="1" applyNumberFormat="1" applyFont="1" applyFill="1" applyBorder="1" applyAlignment="1" applyProtection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4" fontId="1" fillId="0" borderId="0" xfId="0" applyNumberFormat="1" applyFont="1" applyFill="1" applyProtection="1"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89" fillId="4" borderId="0" xfId="0" applyNumberFormat="1" applyFont="1" applyFill="1" applyBorder="1" applyAlignment="1" applyProtection="1">
      <alignment vertical="top"/>
      <protection locked="0"/>
    </xf>
    <xf numFmtId="4" fontId="82" fillId="4" borderId="0" xfId="0" applyNumberFormat="1" applyFont="1" applyFill="1" applyBorder="1" applyAlignment="1" applyProtection="1">
      <alignment vertical="top"/>
      <protection locked="0"/>
    </xf>
    <xf numFmtId="4" fontId="89" fillId="7" borderId="0" xfId="15" applyNumberFormat="1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vertical="top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0" fillId="0" borderId="47" xfId="0" applyFont="1" applyFill="1" applyBorder="1" applyAlignment="1" applyProtection="1">
      <alignment horizontal="justify" vertical="center" wrapText="1"/>
      <protection locked="0"/>
    </xf>
    <xf numFmtId="4" fontId="31" fillId="0" borderId="47" xfId="0" applyNumberFormat="1" applyFont="1" applyFill="1" applyBorder="1" applyAlignment="1" applyProtection="1">
      <alignment horizontal="right" vertical="center" wrapText="1"/>
    </xf>
    <xf numFmtId="4" fontId="32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5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47" xfId="0" applyNumberFormat="1" applyFont="1" applyFill="1" applyBorder="1" applyAlignment="1" applyProtection="1">
      <alignment horizontal="right" vertical="center" wrapText="1"/>
    </xf>
    <xf numFmtId="4" fontId="35" fillId="0" borderId="47" xfId="0" applyNumberFormat="1" applyFont="1" applyFill="1" applyBorder="1" applyAlignment="1" applyProtection="1">
      <alignment horizontal="right" vertical="center" wrapText="1"/>
    </xf>
    <xf numFmtId="4" fontId="34" fillId="0" borderId="57" xfId="0" applyNumberFormat="1" applyFont="1" applyFill="1" applyBorder="1" applyAlignment="1" applyProtection="1">
      <alignment horizontal="right" vertical="center" wrapText="1"/>
    </xf>
    <xf numFmtId="4" fontId="34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4" fontId="5" fillId="0" borderId="0" xfId="0" applyNumberFormat="1" applyFont="1" applyFill="1" applyBorder="1" applyProtection="1">
      <protection locked="0"/>
    </xf>
    <xf numFmtId="4" fontId="17" fillId="0" borderId="0" xfId="0" applyNumberFormat="1" applyFont="1" applyFill="1" applyBorder="1" applyAlignment="1" applyProtection="1">
      <alignment horizontal="left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</xf>
    <xf numFmtId="4" fontId="16" fillId="0" borderId="6" xfId="0" applyNumberFormat="1" applyFont="1" applyFill="1" applyBorder="1" applyAlignment="1" applyProtection="1">
      <alignment horizontal="right" vertical="top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4" fontId="82" fillId="0" borderId="0" xfId="15" applyNumberFormat="1" applyFont="1" applyFill="1" applyBorder="1" applyAlignment="1" applyProtection="1">
      <alignment horizontal="right" vertical="top" wrapText="1"/>
      <protection locked="0"/>
    </xf>
    <xf numFmtId="168" fontId="24" fillId="0" borderId="6" xfId="0" applyNumberFormat="1" applyFont="1" applyFill="1" applyBorder="1" applyAlignment="1" applyProtection="1">
      <alignment horizontal="right" vertical="top"/>
      <protection locked="0"/>
    </xf>
    <xf numFmtId="168" fontId="24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/>
      <protection locked="0"/>
    </xf>
    <xf numFmtId="0" fontId="0" fillId="0" borderId="0" xfId="0"/>
    <xf numFmtId="0" fontId="91" fillId="9" borderId="19" xfId="0" applyFont="1" applyFill="1" applyBorder="1" applyAlignment="1">
      <alignment horizontal="center"/>
    </xf>
    <xf numFmtId="0" fontId="91" fillId="9" borderId="19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92" fillId="0" borderId="0" xfId="0" applyFont="1"/>
    <xf numFmtId="0" fontId="84" fillId="0" borderId="0" xfId="0" applyFont="1" applyAlignment="1">
      <alignment vertical="center" wrapText="1"/>
    </xf>
    <xf numFmtId="0" fontId="93" fillId="0" borderId="0" xfId="0" applyFont="1" applyBorder="1" applyAlignment="1">
      <alignment horizontal="left" vertical="center" wrapText="1" readingOrder="1"/>
    </xf>
    <xf numFmtId="0" fontId="84" fillId="0" borderId="0" xfId="0" applyFont="1" applyBorder="1" applyAlignment="1">
      <alignment horizontal="justify" vertical="center" wrapText="1"/>
    </xf>
    <xf numFmtId="0" fontId="94" fillId="0" borderId="0" xfId="0" applyFont="1" applyBorder="1" applyAlignment="1">
      <alignment horizontal="left" vertical="center" wrapText="1" readingOrder="1"/>
    </xf>
    <xf numFmtId="0" fontId="95" fillId="0" borderId="0" xfId="0" applyFont="1" applyBorder="1" applyAlignment="1">
      <alignment wrapText="1"/>
    </xf>
    <xf numFmtId="0" fontId="0" fillId="0" borderId="0" xfId="0" applyBorder="1"/>
    <xf numFmtId="0" fontId="84" fillId="4" borderId="0" xfId="0" applyFont="1" applyFill="1" applyBorder="1" applyAlignment="1">
      <alignment horizontal="justify" vertical="center" wrapText="1"/>
    </xf>
    <xf numFmtId="0" fontId="90" fillId="8" borderId="19" xfId="0" applyFont="1" applyFill="1" applyBorder="1" applyAlignment="1">
      <alignment horizontal="center"/>
    </xf>
    <xf numFmtId="0" fontId="0" fillId="0" borderId="0" xfId="0"/>
    <xf numFmtId="0" fontId="91" fillId="9" borderId="19" xfId="0" applyFont="1" applyFill="1" applyBorder="1"/>
    <xf numFmtId="0" fontId="84" fillId="6" borderId="51" xfId="0" applyFont="1" applyFill="1" applyBorder="1" applyAlignment="1">
      <alignment horizontal="justify" vertical="center" wrapText="1"/>
    </xf>
    <xf numFmtId="0" fontId="84" fillId="6" borderId="13" xfId="0" applyFont="1" applyFill="1" applyBorder="1" applyAlignment="1">
      <alignment horizontal="justify" vertical="center" wrapText="1"/>
    </xf>
    <xf numFmtId="0" fontId="83" fillId="0" borderId="10" xfId="0" applyFont="1" applyBorder="1" applyAlignment="1">
      <alignment horizontal="justify" vertical="center" wrapText="1"/>
    </xf>
    <xf numFmtId="0" fontId="83" fillId="0" borderId="11" xfId="0" applyFont="1" applyBorder="1" applyAlignment="1">
      <alignment horizontal="justify" vertical="center" wrapText="1"/>
    </xf>
    <xf numFmtId="0" fontId="83" fillId="0" borderId="12" xfId="0" applyFont="1" applyBorder="1" applyAlignment="1">
      <alignment horizontal="justify" vertical="center" wrapText="1"/>
    </xf>
    <xf numFmtId="0" fontId="84" fillId="0" borderId="51" xfId="0" applyFont="1" applyBorder="1" applyAlignment="1">
      <alignment horizontal="justify" vertical="center" wrapText="1"/>
    </xf>
    <xf numFmtId="0" fontId="84" fillId="0" borderId="13" xfId="0" applyFont="1" applyBorder="1" applyAlignment="1">
      <alignment horizontal="justify" vertical="center" wrapText="1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77" fillId="4" borderId="8" xfId="0" applyFont="1" applyFill="1" applyBorder="1" applyAlignment="1">
      <alignment horizontal="center" vertical="center" wrapText="1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>
      <alignment horizontal="justify" vertical="center" wrapText="1"/>
    </xf>
    <xf numFmtId="0" fontId="68" fillId="0" borderId="6" xfId="0" applyFont="1" applyBorder="1" applyAlignment="1">
      <alignment horizontal="justify" vertical="center" wrapText="1"/>
    </xf>
    <xf numFmtId="0" fontId="47" fillId="4" borderId="0" xfId="0" applyFont="1" applyFill="1" applyBorder="1" applyAlignment="1">
      <alignment horizontal="center" vertical="center" wrapText="1"/>
    </xf>
    <xf numFmtId="0" fontId="67" fillId="4" borderId="8" xfId="0" applyFont="1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 wrapText="1"/>
    </xf>
    <xf numFmtId="0" fontId="68" fillId="4" borderId="3" xfId="0" applyFont="1" applyFill="1" applyBorder="1" applyAlignment="1">
      <alignment horizontal="center" vertical="center" wrapText="1"/>
    </xf>
    <xf numFmtId="0" fontId="68" fillId="4" borderId="7" xfId="0" applyFont="1" applyFill="1" applyBorder="1" applyAlignment="1">
      <alignment horizontal="center" vertical="center" wrapText="1"/>
    </xf>
    <xf numFmtId="0" fontId="68" fillId="4" borderId="9" xfId="0" applyFont="1" applyFill="1" applyBorder="1" applyAlignment="1">
      <alignment horizontal="center" vertical="center" wrapText="1"/>
    </xf>
    <xf numFmtId="0" fontId="68" fillId="4" borderId="51" xfId="0" applyFont="1" applyFill="1" applyBorder="1" applyAlignment="1">
      <alignment horizontal="center" vertical="center" wrapText="1"/>
    </xf>
    <xf numFmtId="0" fontId="68" fillId="4" borderId="13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justify" vertical="center" wrapText="1"/>
    </xf>
    <xf numFmtId="0" fontId="68" fillId="0" borderId="3" xfId="0" applyFont="1" applyBorder="1" applyAlignment="1">
      <alignment horizontal="justify" vertical="center" wrapText="1"/>
    </xf>
    <xf numFmtId="0" fontId="71" fillId="0" borderId="0" xfId="0" applyFont="1" applyAlignment="1">
      <alignment horizontal="center" vertical="justify"/>
    </xf>
    <xf numFmtId="0" fontId="72" fillId="6" borderId="51" xfId="0" applyFont="1" applyFill="1" applyBorder="1" applyAlignment="1">
      <alignment horizontal="center" vertical="center"/>
    </xf>
    <xf numFmtId="0" fontId="72" fillId="6" borderId="4" xfId="0" applyFont="1" applyFill="1" applyBorder="1" applyAlignment="1">
      <alignment horizontal="center" vertical="center"/>
    </xf>
    <xf numFmtId="0" fontId="72" fillId="6" borderId="13" xfId="0" applyFont="1" applyFill="1" applyBorder="1" applyAlignment="1">
      <alignment horizontal="center" vertical="center"/>
    </xf>
    <xf numFmtId="0" fontId="72" fillId="6" borderId="51" xfId="0" applyFont="1" applyFill="1" applyBorder="1" applyAlignment="1">
      <alignment horizontal="center" vertical="center" wrapText="1"/>
    </xf>
    <xf numFmtId="0" fontId="72" fillId="6" borderId="4" xfId="0" applyFont="1" applyFill="1" applyBorder="1" applyAlignment="1">
      <alignment horizontal="center" vertical="center" wrapText="1"/>
    </xf>
    <xf numFmtId="0" fontId="72" fillId="6" borderId="13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justify" vertical="center" wrapText="1"/>
    </xf>
    <xf numFmtId="0" fontId="69" fillId="0" borderId="6" xfId="0" applyFont="1" applyBorder="1" applyAlignment="1">
      <alignment horizontal="justify" vertical="center" wrapText="1"/>
    </xf>
    <xf numFmtId="0" fontId="70" fillId="0" borderId="7" xfId="0" applyFont="1" applyBorder="1" applyAlignment="1">
      <alignment horizontal="justify" vertical="center" wrapText="1"/>
    </xf>
    <xf numFmtId="0" fontId="70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47" fillId="4" borderId="0" xfId="0" applyFont="1" applyFill="1" applyBorder="1" applyAlignment="1" applyProtection="1">
      <alignment horizontal="center" vertical="center" wrapText="1"/>
      <protection locked="0"/>
    </xf>
    <xf numFmtId="0" fontId="68" fillId="4" borderId="1" xfId="0" applyFont="1" applyFill="1" applyBorder="1" applyAlignment="1">
      <alignment horizontal="center" vertical="center"/>
    </xf>
    <xf numFmtId="0" fontId="68" fillId="4" borderId="2" xfId="0" applyFont="1" applyFill="1" applyBorder="1" applyAlignment="1">
      <alignment horizontal="center" vertical="center"/>
    </xf>
    <xf numFmtId="0" fontId="68" fillId="4" borderId="3" xfId="0" applyFont="1" applyFill="1" applyBorder="1" applyAlignment="1">
      <alignment horizontal="center" vertical="center"/>
    </xf>
    <xf numFmtId="0" fontId="68" fillId="4" borderId="10" xfId="0" applyFont="1" applyFill="1" applyBorder="1" applyAlignment="1">
      <alignment horizontal="center" vertical="center"/>
    </xf>
    <xf numFmtId="0" fontId="68" fillId="4" borderId="11" xfId="0" applyFont="1" applyFill="1" applyBorder="1" applyAlignment="1">
      <alignment horizontal="center" vertical="center"/>
    </xf>
    <xf numFmtId="0" fontId="68" fillId="4" borderId="12" xfId="0" applyFont="1" applyFill="1" applyBorder="1" applyAlignment="1">
      <alignment horizontal="center" vertical="center"/>
    </xf>
    <xf numFmtId="0" fontId="68" fillId="4" borderId="51" xfId="0" applyFont="1" applyFill="1" applyBorder="1" applyAlignment="1">
      <alignment horizontal="center" vertical="center"/>
    </xf>
    <xf numFmtId="0" fontId="68" fillId="4" borderId="4" xfId="0" applyFont="1" applyFill="1" applyBorder="1" applyAlignment="1">
      <alignment horizontal="center" vertical="center"/>
    </xf>
    <xf numFmtId="0" fontId="68" fillId="4" borderId="13" xfId="0" applyFont="1" applyFill="1" applyBorder="1" applyAlignment="1">
      <alignment horizontal="center" vertical="center"/>
    </xf>
    <xf numFmtId="0" fontId="68" fillId="4" borderId="5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0" fontId="68" fillId="4" borderId="6" xfId="0" applyFont="1" applyFill="1" applyBorder="1" applyAlignment="1">
      <alignment horizontal="center" vertical="center"/>
    </xf>
    <xf numFmtId="0" fontId="68" fillId="4" borderId="7" xfId="0" applyFont="1" applyFill="1" applyBorder="1" applyAlignment="1">
      <alignment horizontal="center" vertical="center"/>
    </xf>
    <xf numFmtId="0" fontId="68" fillId="4" borderId="8" xfId="0" applyFont="1" applyFill="1" applyBorder="1" applyAlignment="1">
      <alignment horizontal="center" vertical="center"/>
    </xf>
    <xf numFmtId="0" fontId="68" fillId="4" borderId="9" xfId="0" applyFont="1" applyFill="1" applyBorder="1" applyAlignment="1">
      <alignment horizontal="center" vertical="center"/>
    </xf>
    <xf numFmtId="0" fontId="68" fillId="4" borderId="51" xfId="0" applyFont="1" applyFill="1" applyBorder="1" applyAlignment="1">
      <alignment horizontal="center" vertical="justify"/>
    </xf>
    <xf numFmtId="0" fontId="68" fillId="4" borderId="13" xfId="0" applyFont="1" applyFill="1" applyBorder="1" applyAlignment="1">
      <alignment horizontal="center" vertical="justify"/>
    </xf>
    <xf numFmtId="0" fontId="69" fillId="0" borderId="1" xfId="0" applyFont="1" applyBorder="1" applyAlignment="1">
      <alignment horizontal="justify" vertical="center"/>
    </xf>
    <xf numFmtId="0" fontId="69" fillId="0" borderId="2" xfId="0" applyFont="1" applyBorder="1" applyAlignment="1">
      <alignment horizontal="justify" vertical="center"/>
    </xf>
    <xf numFmtId="0" fontId="69" fillId="0" borderId="3" xfId="0" applyFont="1" applyBorder="1" applyAlignment="1">
      <alignment horizontal="justify" vertical="center"/>
    </xf>
    <xf numFmtId="0" fontId="69" fillId="0" borderId="0" xfId="0" applyFont="1" applyBorder="1" applyAlignment="1">
      <alignment horizontal="left" vertical="center"/>
    </xf>
    <xf numFmtId="0" fontId="69" fillId="0" borderId="52" xfId="0" applyFont="1" applyBorder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8" fillId="0" borderId="5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6" xfId="0" applyFont="1" applyBorder="1" applyAlignment="1">
      <alignment horizontal="left" vertical="center"/>
    </xf>
    <xf numFmtId="43" fontId="68" fillId="0" borderId="54" xfId="0" applyNumberFormat="1" applyFont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43" fontId="69" fillId="0" borderId="54" xfId="0" applyNumberFormat="1" applyFont="1" applyBorder="1" applyAlignment="1" applyProtection="1">
      <alignment horizontal="right" vertical="center"/>
    </xf>
    <xf numFmtId="0" fontId="68" fillId="0" borderId="52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7" fillId="0" borderId="5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52" xfId="0" applyFont="1" applyBorder="1" applyAlignment="1">
      <alignment horizontal="left" vertical="center"/>
    </xf>
    <xf numFmtId="0" fontId="75" fillId="0" borderId="8" xfId="0" applyFont="1" applyBorder="1" applyAlignment="1">
      <alignment horizontal="left" vertical="center"/>
    </xf>
    <xf numFmtId="0" fontId="75" fillId="0" borderId="53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Border="1" applyAlignment="1">
      <alignment horizontal="left" vertical="justify"/>
    </xf>
    <xf numFmtId="0" fontId="69" fillId="0" borderId="52" xfId="0" applyFont="1" applyBorder="1" applyAlignment="1">
      <alignment horizontal="left" vertical="justify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78" fillId="0" borderId="5" xfId="0" applyFont="1" applyFill="1" applyBorder="1" applyAlignment="1">
      <alignment horizontal="left" vertical="center"/>
    </xf>
    <xf numFmtId="0" fontId="78" fillId="0" borderId="6" xfId="0" applyFont="1" applyFill="1" applyBorder="1" applyAlignment="1">
      <alignment horizontal="left" vertical="center"/>
    </xf>
    <xf numFmtId="0" fontId="79" fillId="0" borderId="5" xfId="0" applyFont="1" applyFill="1" applyBorder="1" applyAlignment="1">
      <alignment horizontal="left" vertical="center"/>
    </xf>
    <xf numFmtId="0" fontId="79" fillId="0" borderId="6" xfId="0" applyFont="1" applyFill="1" applyBorder="1" applyAlignment="1">
      <alignment horizontal="left" vertical="center"/>
    </xf>
    <xf numFmtId="0" fontId="78" fillId="0" borderId="1" xfId="0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horizontal="center" vertical="center"/>
    </xf>
    <xf numFmtId="0" fontId="78" fillId="0" borderId="7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51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8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78" fillId="0" borderId="5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/>
    </xf>
    <xf numFmtId="0" fontId="54" fillId="0" borderId="0" xfId="0" applyFont="1" applyFill="1" applyAlignment="1" applyProtection="1">
      <alignment horizontal="left" vertical="justify" indent="3"/>
      <protection locked="0"/>
    </xf>
    <xf numFmtId="0" fontId="56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7" fillId="0" borderId="5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>
      <alignment horizontal="justify" vertical="center" wrapText="1"/>
    </xf>
    <xf numFmtId="0" fontId="27" fillId="0" borderId="55" xfId="0" applyFont="1" applyBorder="1" applyAlignment="1">
      <alignment horizontal="justify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8" fillId="6" borderId="51" xfId="0" applyFont="1" applyFill="1" applyBorder="1" applyAlignment="1">
      <alignment horizontal="center" vertical="center"/>
    </xf>
    <xf numFmtId="0" fontId="68" fillId="6" borderId="13" xfId="0" applyFont="1" applyFill="1" applyBorder="1" applyAlignment="1">
      <alignment horizontal="center" vertical="center"/>
    </xf>
    <xf numFmtId="0" fontId="68" fillId="6" borderId="10" xfId="0" applyFont="1" applyFill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vertical="center" wrapText="1"/>
    </xf>
    <xf numFmtId="0" fontId="68" fillId="6" borderId="51" xfId="0" applyFont="1" applyFill="1" applyBorder="1" applyAlignment="1">
      <alignment horizontal="center" vertical="center" wrapText="1"/>
    </xf>
    <xf numFmtId="0" fontId="68" fillId="6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2" borderId="29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top"/>
    </xf>
    <xf numFmtId="0" fontId="43" fillId="0" borderId="0" xfId="0" applyFont="1" applyFill="1" applyBorder="1" applyAlignment="1" applyProtection="1">
      <alignment horizontal="center" vertical="top"/>
    </xf>
    <xf numFmtId="0" fontId="81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27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28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3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68" fillId="0" borderId="5" xfId="0" applyFont="1" applyBorder="1" applyAlignment="1">
      <alignment vertical="center"/>
    </xf>
    <xf numFmtId="0" fontId="68" fillId="0" borderId="7" xfId="0" applyFont="1" applyBorder="1" applyAlignment="1">
      <alignment vertical="center"/>
    </xf>
    <xf numFmtId="41" fontId="69" fillId="0" borderId="4" xfId="0" applyNumberFormat="1" applyFont="1" applyBorder="1" applyAlignment="1">
      <alignment horizontal="right" vertical="center"/>
    </xf>
    <xf numFmtId="0" fontId="69" fillId="0" borderId="5" xfId="0" applyFont="1" applyBorder="1" applyAlignment="1">
      <alignment vertical="center"/>
    </xf>
    <xf numFmtId="0" fontId="69" fillId="0" borderId="1" xfId="0" applyFont="1" applyBorder="1" applyAlignment="1">
      <alignment vertical="center"/>
    </xf>
    <xf numFmtId="0" fontId="69" fillId="0" borderId="3" xfId="0" applyFont="1" applyBorder="1" applyAlignment="1">
      <alignment vertical="center"/>
    </xf>
    <xf numFmtId="0" fontId="69" fillId="0" borderId="6" xfId="0" applyFont="1" applyBorder="1" applyAlignment="1">
      <alignment horizontal="left" vertical="center" indent="1"/>
    </xf>
    <xf numFmtId="0" fontId="68" fillId="6" borderId="1" xfId="0" applyFont="1" applyFill="1" applyBorder="1" applyAlignment="1">
      <alignment vertical="center"/>
    </xf>
    <xf numFmtId="0" fontId="68" fillId="6" borderId="3" xfId="0" applyFont="1" applyFill="1" applyBorder="1" applyAlignment="1">
      <alignment vertical="center"/>
    </xf>
    <xf numFmtId="0" fontId="68" fillId="6" borderId="7" xfId="0" applyFont="1" applyFill="1" applyBorder="1" applyAlignment="1">
      <alignment vertical="center"/>
    </xf>
    <xf numFmtId="0" fontId="68" fillId="6" borderId="9" xfId="0" applyFont="1" applyFill="1" applyBorder="1" applyAlignment="1">
      <alignment vertical="center"/>
    </xf>
    <xf numFmtId="0" fontId="68" fillId="6" borderId="51" xfId="0" applyFont="1" applyFill="1" applyBorder="1" applyAlignment="1">
      <alignment horizontal="center" vertical="justify"/>
    </xf>
    <xf numFmtId="0" fontId="68" fillId="6" borderId="13" xfId="0" applyFont="1" applyFill="1" applyBorder="1" applyAlignment="1">
      <alignment horizontal="center" vertical="justify"/>
    </xf>
    <xf numFmtId="0" fontId="68" fillId="0" borderId="6" xfId="0" applyFont="1" applyBorder="1" applyAlignment="1">
      <alignment vertical="center"/>
    </xf>
    <xf numFmtId="0" fontId="68" fillId="0" borderId="9" xfId="0" applyFont="1" applyBorder="1" applyAlignment="1">
      <alignment vertical="center"/>
    </xf>
    <xf numFmtId="41" fontId="68" fillId="0" borderId="4" xfId="0" applyNumberFormat="1" applyFont="1" applyBorder="1" applyAlignment="1">
      <alignment horizontal="right" vertical="center"/>
    </xf>
    <xf numFmtId="41" fontId="68" fillId="0" borderId="13" xfId="0" applyNumberFormat="1" applyFont="1" applyBorder="1" applyAlignment="1">
      <alignment horizontal="right" vertical="center"/>
    </xf>
    <xf numFmtId="0" fontId="68" fillId="0" borderId="5" xfId="0" applyFont="1" applyBorder="1" applyAlignment="1">
      <alignment vertical="center" wrapText="1"/>
    </xf>
    <xf numFmtId="0" fontId="67" fillId="4" borderId="0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68" fillId="6" borderId="10" xfId="0" applyFont="1" applyFill="1" applyBorder="1" applyAlignment="1">
      <alignment vertical="center"/>
    </xf>
    <xf numFmtId="0" fontId="68" fillId="6" borderId="12" xfId="0" applyFont="1" applyFill="1" applyBorder="1" applyAlignment="1">
      <alignment vertical="center"/>
    </xf>
    <xf numFmtId="0" fontId="41" fillId="2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0" fontId="41" fillId="2" borderId="3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</cellXfs>
  <cellStyles count="18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2" xfId="15"/>
    <cellStyle name="Millares 3" xfId="9"/>
    <cellStyle name="Millares 4" xfId="14"/>
    <cellStyle name="Moneda" xfId="8" builtinId="4"/>
    <cellStyle name="Normal" xfId="0" builtinId="0"/>
    <cellStyle name="Normal 2" xfId="1"/>
    <cellStyle name="Normal 2 2" xfId="16"/>
    <cellStyle name="Normal 3" xfId="7"/>
    <cellStyle name="Normal 4 8" xfId="11"/>
    <cellStyle name="Normal 9" xfId="17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0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55</xdr:row>
      <xdr:rowOff>9525</xdr:rowOff>
    </xdr:from>
    <xdr:ext cx="2352675" cy="862543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66750" y="13125450"/>
          <a:ext cx="2352675" cy="8625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Elaboro</a:t>
          </a:r>
        </a:p>
        <a:p>
          <a:pPr algn="ctr"/>
          <a:r>
            <a:rPr lang="es-MX" sz="1100"/>
            <a:t>C.P.</a:t>
          </a:r>
          <a:r>
            <a:rPr lang="es-MX" sz="1100" baseline="0"/>
            <a:t> Ignacio Cota Torres</a:t>
          </a:r>
        </a:p>
        <a:p>
          <a:pPr algn="ctr"/>
          <a:r>
            <a:rPr lang="es-MX" sz="1100" baseline="0"/>
            <a:t>Sub Director Administrativo</a:t>
          </a:r>
          <a:endParaRPr lang="es-MX" sz="1100"/>
        </a:p>
      </xdr:txBody>
    </xdr:sp>
    <xdr:clientData/>
  </xdr:oneCellAnchor>
  <xdr:oneCellAnchor>
    <xdr:from>
      <xdr:col>3</xdr:col>
      <xdr:colOff>1571625</xdr:colOff>
      <xdr:row>54</xdr:row>
      <xdr:rowOff>190500</xdr:rowOff>
    </xdr:from>
    <xdr:ext cx="3305175" cy="78105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096125" y="13096875"/>
          <a:ext cx="3305175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Autorizo</a:t>
          </a:r>
        </a:p>
        <a:p>
          <a:pPr algn="ctr"/>
          <a:r>
            <a:rPr lang="es-MX" sz="1100"/>
            <a:t>Lic. Juan Pablo Acosta Suarez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  <xdr:oneCellAnchor>
    <xdr:from>
      <xdr:col>3</xdr:col>
      <xdr:colOff>2486025</xdr:colOff>
      <xdr:row>3</xdr:row>
      <xdr:rowOff>123825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752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438150</xdr:colOff>
      <xdr:row>55</xdr:row>
      <xdr:rowOff>28575</xdr:rowOff>
    </xdr:from>
    <xdr:ext cx="2038349" cy="695325"/>
    <xdr:sp macro="" textlink="">
      <xdr:nvSpPr>
        <xdr:cNvPr id="3" name="2 CuadroTexto"/>
        <xdr:cNvSpPr txBox="1"/>
      </xdr:nvSpPr>
      <xdr:spPr>
        <a:xfrm>
          <a:off x="3848100" y="13144500"/>
          <a:ext cx="2038349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Reviso</a:t>
          </a:r>
        </a:p>
        <a:p>
          <a:pPr algn="ctr"/>
          <a:r>
            <a:rPr lang="es-MX" sz="1100"/>
            <a:t>Lic.</a:t>
          </a:r>
          <a:r>
            <a:rPr lang="es-MX" sz="1100" baseline="0"/>
            <a:t> Juan Carlos Salazar Platt</a:t>
          </a:r>
        </a:p>
        <a:p>
          <a:pPr algn="ctr"/>
          <a:r>
            <a:rPr lang="es-MX" sz="1100" baseline="0"/>
            <a:t>Director Administrativo</a:t>
          </a:r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64795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0" y="6667500"/>
          <a:ext cx="26479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6</xdr:col>
      <xdr:colOff>552449</xdr:colOff>
      <xdr:row>25</xdr:row>
      <xdr:rowOff>0</xdr:rowOff>
    </xdr:from>
    <xdr:ext cx="28860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5934074" y="6667500"/>
          <a:ext cx="28860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200"/>
        </a:p>
      </xdr:txBody>
    </xdr:sp>
    <xdr:clientData/>
  </xdr:oneCellAnchor>
  <xdr:oneCellAnchor>
    <xdr:from>
      <xdr:col>7</xdr:col>
      <xdr:colOff>190500</xdr:colOff>
      <xdr:row>3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54781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127000</xdr:colOff>
      <xdr:row>46</xdr:row>
      <xdr:rowOff>169333</xdr:rowOff>
    </xdr:from>
    <xdr:ext cx="2159001" cy="889001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/>
      </xdr:nvSpPr>
      <xdr:spPr>
        <a:xfrm>
          <a:off x="127000" y="9630833"/>
          <a:ext cx="2159001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6</xdr:col>
      <xdr:colOff>10583</xdr:colOff>
      <xdr:row>46</xdr:row>
      <xdr:rowOff>169333</xdr:rowOff>
    </xdr:from>
    <xdr:ext cx="2328332" cy="867835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/>
      </xdr:nvSpPr>
      <xdr:spPr>
        <a:xfrm>
          <a:off x="5027083" y="9630833"/>
          <a:ext cx="2328332" cy="86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5</xdr:col>
      <xdr:colOff>455084</xdr:colOff>
      <xdr:row>3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3</xdr:col>
      <xdr:colOff>21167</xdr:colOff>
      <xdr:row>46</xdr:row>
      <xdr:rowOff>179917</xdr:rowOff>
    </xdr:from>
    <xdr:ext cx="1830915" cy="719666"/>
    <xdr:sp macro="" textlink="">
      <xdr:nvSpPr>
        <xdr:cNvPr id="5" name="4 CuadroTexto"/>
        <xdr:cNvSpPr txBox="1"/>
      </xdr:nvSpPr>
      <xdr:spPr>
        <a:xfrm>
          <a:off x="2783417" y="9641417"/>
          <a:ext cx="1830915" cy="719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3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987260</xdr:colOff>
      <xdr:row>0</xdr:row>
      <xdr:rowOff>0</xdr:rowOff>
    </xdr:from>
    <xdr:ext cx="898002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92760" y="0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52</xdr:row>
      <xdr:rowOff>9524</xdr:rowOff>
    </xdr:from>
    <xdr:ext cx="2105025" cy="695325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76200" y="12077699"/>
          <a:ext cx="21050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</xdr:txBody>
    </xdr:sp>
    <xdr:clientData/>
  </xdr:oneCellAnchor>
  <xdr:oneCellAnchor>
    <xdr:from>
      <xdr:col>5</xdr:col>
      <xdr:colOff>457200</xdr:colOff>
      <xdr:row>52</xdr:row>
      <xdr:rowOff>95250</xdr:rowOff>
    </xdr:from>
    <xdr:ext cx="1857375" cy="609600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5429250" y="12163425"/>
          <a:ext cx="1857375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5</xdr:col>
      <xdr:colOff>47625</xdr:colOff>
      <xdr:row>3</xdr:row>
      <xdr:rowOff>133350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019675" y="7429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2</xdr:col>
      <xdr:colOff>523875</xdr:colOff>
      <xdr:row>52</xdr:row>
      <xdr:rowOff>85724</xdr:rowOff>
    </xdr:from>
    <xdr:ext cx="1866900" cy="676275"/>
    <xdr:sp macro="" textlink="">
      <xdr:nvSpPr>
        <xdr:cNvPr id="10" name="9 CuadroTexto"/>
        <xdr:cNvSpPr txBox="1"/>
      </xdr:nvSpPr>
      <xdr:spPr>
        <a:xfrm>
          <a:off x="2714625" y="12153899"/>
          <a:ext cx="18669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2103437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/>
      </xdr:nvSpPr>
      <xdr:spPr>
        <a:xfrm>
          <a:off x="182563" y="15676563"/>
          <a:ext cx="2103437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5</xdr:col>
      <xdr:colOff>754062</xdr:colOff>
      <xdr:row>83</xdr:row>
      <xdr:rowOff>0</xdr:rowOff>
    </xdr:from>
    <xdr:ext cx="1833563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/>
      </xdr:nvSpPr>
      <xdr:spPr>
        <a:xfrm>
          <a:off x="5778500" y="15676563"/>
          <a:ext cx="1833563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200"/>
        </a:p>
      </xdr:txBody>
    </xdr:sp>
    <xdr:clientData/>
  </xdr:oneCellAnchor>
  <xdr:oneCellAnchor>
    <xdr:from>
      <xdr:col>5</xdr:col>
      <xdr:colOff>190499</xdr:colOff>
      <xdr:row>3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14937" y="70643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2</xdr:col>
      <xdr:colOff>3032125</xdr:colOff>
      <xdr:row>83</xdr:row>
      <xdr:rowOff>71436</xdr:rowOff>
    </xdr:from>
    <xdr:ext cx="1986544" cy="690564"/>
    <xdr:sp macro="" textlink="">
      <xdr:nvSpPr>
        <xdr:cNvPr id="3" name="2 CuadroTexto"/>
        <xdr:cNvSpPr txBox="1"/>
      </xdr:nvSpPr>
      <xdr:spPr>
        <a:xfrm>
          <a:off x="3214688" y="15747999"/>
          <a:ext cx="1986544" cy="690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152400</xdr:rowOff>
    </xdr:from>
    <xdr:ext cx="19145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85725" y="7439025"/>
          <a:ext cx="19145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1171575</xdr:colOff>
      <xdr:row>31</xdr:row>
      <xdr:rowOff>142876</xdr:rowOff>
    </xdr:from>
    <xdr:ext cx="207645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4181475" y="7429501"/>
          <a:ext cx="207645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2</xdr:col>
      <xdr:colOff>609600</xdr:colOff>
      <xdr:row>3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2047876</xdr:colOff>
      <xdr:row>31</xdr:row>
      <xdr:rowOff>161925</xdr:rowOff>
    </xdr:from>
    <xdr:ext cx="2190750" cy="771525"/>
    <xdr:sp macro="" textlink="">
      <xdr:nvSpPr>
        <xdr:cNvPr id="3" name="2 CuadroTexto"/>
        <xdr:cNvSpPr txBox="1"/>
      </xdr:nvSpPr>
      <xdr:spPr>
        <a:xfrm>
          <a:off x="2133601" y="7448550"/>
          <a:ext cx="2190750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314714</xdr:colOff>
      <xdr:row>86</xdr:row>
      <xdr:rowOff>184668</xdr:rowOff>
    </xdr:from>
    <xdr:ext cx="1969342" cy="896711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 txBox="1"/>
      </xdr:nvSpPr>
      <xdr:spPr>
        <a:xfrm>
          <a:off x="314714" y="17456020"/>
          <a:ext cx="1969342" cy="8967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242984</xdr:colOff>
      <xdr:row>86</xdr:row>
      <xdr:rowOff>155510</xdr:rowOff>
    </xdr:from>
    <xdr:ext cx="1766013" cy="838979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6589744" y="17426862"/>
          <a:ext cx="1766013" cy="838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3</xdr:col>
      <xdr:colOff>781050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0</xdr:col>
      <xdr:colOff>3246276</xdr:colOff>
      <xdr:row>86</xdr:row>
      <xdr:rowOff>136071</xdr:rowOff>
    </xdr:from>
    <xdr:ext cx="2099387" cy="835868"/>
    <xdr:sp macro="" textlink="">
      <xdr:nvSpPr>
        <xdr:cNvPr id="2" name="1 CuadroTexto"/>
        <xdr:cNvSpPr txBox="1"/>
      </xdr:nvSpPr>
      <xdr:spPr>
        <a:xfrm>
          <a:off x="3246276" y="17407423"/>
          <a:ext cx="2099387" cy="8358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0</xdr:colOff>
      <xdr:row>163</xdr:row>
      <xdr:rowOff>123824</xdr:rowOff>
    </xdr:from>
    <xdr:ext cx="1981200" cy="676275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/>
      </xdr:nvSpPr>
      <xdr:spPr>
        <a:xfrm>
          <a:off x="409575" y="31537274"/>
          <a:ext cx="19812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504825</xdr:colOff>
      <xdr:row>163</xdr:row>
      <xdr:rowOff>123825</xdr:rowOff>
    </xdr:from>
    <xdr:ext cx="2038350" cy="628650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5743575" y="31537275"/>
          <a:ext cx="2038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algn="ctr"/>
          <a:endParaRPr lang="es-MX" sz="1200"/>
        </a:p>
      </xdr:txBody>
    </xdr:sp>
    <xdr:clientData/>
  </xdr:oneCellAnchor>
  <xdr:oneCellAnchor>
    <xdr:from>
      <xdr:col>5</xdr:col>
      <xdr:colOff>733425</xdr:colOff>
      <xdr:row>4</xdr:row>
      <xdr:rowOff>28575</xdr:rowOff>
    </xdr:from>
    <xdr:ext cx="1905000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010400" y="809625"/>
          <a:ext cx="19050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2981325</xdr:colOff>
      <xdr:row>163</xdr:row>
      <xdr:rowOff>114299</xdr:rowOff>
    </xdr:from>
    <xdr:ext cx="2219325" cy="647699"/>
    <xdr:sp macro="" textlink="">
      <xdr:nvSpPr>
        <xdr:cNvPr id="6" name="5 CuadroTexto"/>
        <xdr:cNvSpPr txBox="1"/>
      </xdr:nvSpPr>
      <xdr:spPr>
        <a:xfrm>
          <a:off x="3390900" y="31527749"/>
          <a:ext cx="2219325" cy="64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295275</xdr:colOff>
      <xdr:row>20</xdr:row>
      <xdr:rowOff>19050</xdr:rowOff>
    </xdr:from>
    <xdr:ext cx="173355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SpPr txBox="1"/>
      </xdr:nvSpPr>
      <xdr:spPr>
        <a:xfrm>
          <a:off x="295275" y="4762500"/>
          <a:ext cx="173355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381000</xdr:colOff>
      <xdr:row>20</xdr:row>
      <xdr:rowOff>9524</xdr:rowOff>
    </xdr:from>
    <xdr:ext cx="20002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SpPr txBox="1"/>
      </xdr:nvSpPr>
      <xdr:spPr>
        <a:xfrm>
          <a:off x="5410200" y="4752974"/>
          <a:ext cx="20002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800100</xdr:colOff>
      <xdr:row>4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304800</xdr:colOff>
      <xdr:row>19</xdr:row>
      <xdr:rowOff>190499</xdr:rowOff>
    </xdr:from>
    <xdr:ext cx="2019300" cy="638175"/>
    <xdr:sp macro="" textlink="">
      <xdr:nvSpPr>
        <xdr:cNvPr id="4" name="3 CuadroTexto"/>
        <xdr:cNvSpPr txBox="1"/>
      </xdr:nvSpPr>
      <xdr:spPr>
        <a:xfrm>
          <a:off x="2752725" y="4724399"/>
          <a:ext cx="201930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33</xdr:row>
      <xdr:rowOff>157370</xdr:rowOff>
    </xdr:from>
    <xdr:ext cx="1573696" cy="716447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SpPr txBox="1"/>
      </xdr:nvSpPr>
      <xdr:spPr>
        <a:xfrm>
          <a:off x="571500" y="8680174"/>
          <a:ext cx="1573696" cy="716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algn="ctr"/>
          <a:endParaRPr lang="es-MX" sz="1100"/>
        </a:p>
      </xdr:txBody>
    </xdr:sp>
    <xdr:clientData/>
  </xdr:oneCellAnchor>
  <xdr:oneCellAnchor>
    <xdr:from>
      <xdr:col>4</xdr:col>
      <xdr:colOff>414130</xdr:colOff>
      <xdr:row>33</xdr:row>
      <xdr:rowOff>165653</xdr:rowOff>
    </xdr:from>
    <xdr:ext cx="1630845" cy="708164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SpPr txBox="1"/>
      </xdr:nvSpPr>
      <xdr:spPr>
        <a:xfrm>
          <a:off x="5806108" y="8688457"/>
          <a:ext cx="1630845" cy="7081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803413</xdr:colOff>
      <xdr:row>4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198784</xdr:colOff>
      <xdr:row>33</xdr:row>
      <xdr:rowOff>149087</xdr:rowOff>
    </xdr:from>
    <xdr:ext cx="1830456" cy="646044"/>
    <xdr:sp macro="" textlink="">
      <xdr:nvSpPr>
        <xdr:cNvPr id="4" name="3 CuadroTexto"/>
        <xdr:cNvSpPr txBox="1"/>
      </xdr:nvSpPr>
      <xdr:spPr>
        <a:xfrm>
          <a:off x="2857501" y="8671891"/>
          <a:ext cx="1830456" cy="6460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0</xdr:col>
      <xdr:colOff>0</xdr:colOff>
      <xdr:row>75</xdr:row>
      <xdr:rowOff>142875</xdr:rowOff>
    </xdr:from>
    <xdr:ext cx="2752725" cy="67627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0" y="16821150"/>
          <a:ext cx="2752725" cy="676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4</xdr:col>
      <xdr:colOff>1619250</xdr:colOff>
      <xdr:row>75</xdr:row>
      <xdr:rowOff>104775</xdr:rowOff>
    </xdr:from>
    <xdr:ext cx="2266950" cy="733425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6257925" y="16783050"/>
          <a:ext cx="2266950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  <a:endParaRPr kumimoji="0" lang="es-MX" sz="1100" b="0" i="1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 i="1"/>
        </a:p>
      </xdr:txBody>
    </xdr:sp>
    <xdr:clientData/>
  </xdr:oneCellAnchor>
  <xdr:oneCellAnchor>
    <xdr:from>
      <xdr:col>4</xdr:col>
      <xdr:colOff>1695450</xdr:colOff>
      <xdr:row>3</xdr:row>
      <xdr:rowOff>9525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5715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790575</xdr:colOff>
      <xdr:row>75</xdr:row>
      <xdr:rowOff>133350</xdr:rowOff>
    </xdr:from>
    <xdr:ext cx="2428875" cy="607460"/>
    <xdr:sp macro="" textlink="">
      <xdr:nvSpPr>
        <xdr:cNvPr id="2" name="1 CuadroTexto"/>
        <xdr:cNvSpPr txBox="1"/>
      </xdr:nvSpPr>
      <xdr:spPr>
        <a:xfrm>
          <a:off x="3476625" y="16811625"/>
          <a:ext cx="2428875" cy="607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4098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 txBox="1"/>
      </xdr:nvSpPr>
      <xdr:spPr>
        <a:xfrm>
          <a:off x="0" y="6143625"/>
          <a:ext cx="24098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4</xdr:col>
      <xdr:colOff>200025</xdr:colOff>
      <xdr:row>35</xdr:row>
      <xdr:rowOff>0</xdr:rowOff>
    </xdr:from>
    <xdr:ext cx="2390775" cy="929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SpPr txBox="1"/>
      </xdr:nvSpPr>
      <xdr:spPr>
        <a:xfrm>
          <a:off x="4876800" y="6143625"/>
          <a:ext cx="2390775" cy="92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algn="ctr"/>
          <a:endParaRPr lang="es-MX" sz="1200"/>
        </a:p>
      </xdr:txBody>
    </xdr:sp>
    <xdr:clientData/>
  </xdr:oneCellAnchor>
  <xdr:oneCellAnchor>
    <xdr:from>
      <xdr:col>3</xdr:col>
      <xdr:colOff>762000</xdr:colOff>
      <xdr:row>4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714375</xdr:colOff>
      <xdr:row>35</xdr:row>
      <xdr:rowOff>9525</xdr:rowOff>
    </xdr:from>
    <xdr:ext cx="1962150" cy="819150"/>
    <xdr:sp macro="" textlink="">
      <xdr:nvSpPr>
        <xdr:cNvPr id="2" name="1 CuadroTexto"/>
        <xdr:cNvSpPr txBox="1"/>
      </xdr:nvSpPr>
      <xdr:spPr>
        <a:xfrm>
          <a:off x="2876550" y="6153150"/>
          <a:ext cx="1962150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16</xdr:row>
      <xdr:rowOff>352426</xdr:rowOff>
    </xdr:from>
    <xdr:ext cx="2428875" cy="919692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SpPr txBox="1"/>
      </xdr:nvSpPr>
      <xdr:spPr>
        <a:xfrm>
          <a:off x="0" y="5543551"/>
          <a:ext cx="2428875" cy="919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161925</xdr:colOff>
      <xdr:row>16</xdr:row>
      <xdr:rowOff>323850</xdr:rowOff>
    </xdr:from>
    <xdr:ext cx="1943100" cy="94826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SpPr txBox="1"/>
      </xdr:nvSpPr>
      <xdr:spPr>
        <a:xfrm>
          <a:off x="5562600" y="5514975"/>
          <a:ext cx="1943100" cy="948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590549</xdr:colOff>
      <xdr:row>4</xdr:row>
      <xdr:rowOff>95250</xdr:rowOff>
    </xdr:from>
    <xdr:ext cx="2095499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991224" y="933450"/>
          <a:ext cx="20954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352425</xdr:colOff>
      <xdr:row>17</xdr:row>
      <xdr:rowOff>9524</xdr:rowOff>
    </xdr:from>
    <xdr:ext cx="1866899" cy="867741"/>
    <xdr:sp macro="" textlink="">
      <xdr:nvSpPr>
        <xdr:cNvPr id="5" name="4 CuadroTexto"/>
        <xdr:cNvSpPr txBox="1"/>
      </xdr:nvSpPr>
      <xdr:spPr>
        <a:xfrm>
          <a:off x="3009900" y="5581649"/>
          <a:ext cx="1866899" cy="8677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533401</xdr:colOff>
      <xdr:row>24</xdr:row>
      <xdr:rowOff>0</xdr:rowOff>
    </xdr:from>
    <xdr:ext cx="1790700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1600-000017000000}"/>
            </a:ext>
          </a:extLst>
        </xdr:cNvPr>
        <xdr:cNvSpPr txBox="1"/>
      </xdr:nvSpPr>
      <xdr:spPr>
        <a:xfrm>
          <a:off x="533401" y="5610225"/>
          <a:ext cx="17907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57150</xdr:colOff>
      <xdr:row>24</xdr:row>
      <xdr:rowOff>0</xdr:rowOff>
    </xdr:from>
    <xdr:ext cx="204787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600-000019000000}"/>
            </a:ext>
          </a:extLst>
        </xdr:cNvPr>
        <xdr:cNvSpPr txBox="1"/>
      </xdr:nvSpPr>
      <xdr:spPr>
        <a:xfrm>
          <a:off x="5457825" y="5610225"/>
          <a:ext cx="20478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838200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219075</xdr:colOff>
      <xdr:row>23</xdr:row>
      <xdr:rowOff>295275</xdr:rowOff>
    </xdr:from>
    <xdr:ext cx="1933575" cy="609013"/>
    <xdr:sp macro="" textlink="">
      <xdr:nvSpPr>
        <xdr:cNvPr id="5" name="4 CuadroTexto"/>
        <xdr:cNvSpPr txBox="1"/>
      </xdr:nvSpPr>
      <xdr:spPr>
        <a:xfrm>
          <a:off x="2876550" y="5591175"/>
          <a:ext cx="19335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266701</xdr:colOff>
      <xdr:row>47</xdr:row>
      <xdr:rowOff>171450</xdr:rowOff>
    </xdr:from>
    <xdr:ext cx="1809750" cy="771525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SpPr txBox="1"/>
      </xdr:nvSpPr>
      <xdr:spPr>
        <a:xfrm>
          <a:off x="266701" y="10144125"/>
          <a:ext cx="1809750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714374</xdr:colOff>
      <xdr:row>47</xdr:row>
      <xdr:rowOff>142875</xdr:rowOff>
    </xdr:from>
    <xdr:ext cx="2171701" cy="857250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SpPr txBox="1"/>
      </xdr:nvSpPr>
      <xdr:spPr>
        <a:xfrm>
          <a:off x="4667249" y="10115550"/>
          <a:ext cx="2171701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219075</xdr:colOff>
      <xdr:row>4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133350</xdr:colOff>
      <xdr:row>47</xdr:row>
      <xdr:rowOff>123825</xdr:rowOff>
    </xdr:from>
    <xdr:ext cx="2000249" cy="676275"/>
    <xdr:sp macro="" textlink="">
      <xdr:nvSpPr>
        <xdr:cNvPr id="2" name="1 CuadroTexto"/>
        <xdr:cNvSpPr txBox="1"/>
      </xdr:nvSpPr>
      <xdr:spPr>
        <a:xfrm>
          <a:off x="2581275" y="10096500"/>
          <a:ext cx="2000249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0</xdr:row>
      <xdr:rowOff>0</xdr:rowOff>
    </xdr:from>
    <xdr:ext cx="923924" cy="33337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24800" y="0"/>
          <a:ext cx="923924" cy="3333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0</xdr:colOff>
      <xdr:row>87</xdr:row>
      <xdr:rowOff>161924</xdr:rowOff>
    </xdr:from>
    <xdr:ext cx="2276475" cy="79057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 txBox="1"/>
      </xdr:nvSpPr>
      <xdr:spPr>
        <a:xfrm>
          <a:off x="295275" y="16783049"/>
          <a:ext cx="2276475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561975</xdr:colOff>
      <xdr:row>87</xdr:row>
      <xdr:rowOff>123825</xdr:rowOff>
    </xdr:from>
    <xdr:ext cx="2514600" cy="876300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/>
      </xdr:nvSpPr>
      <xdr:spPr>
        <a:xfrm>
          <a:off x="6419850" y="16744950"/>
          <a:ext cx="2514600" cy="87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171450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3619501</xdr:colOff>
      <xdr:row>87</xdr:row>
      <xdr:rowOff>133351</xdr:rowOff>
    </xdr:from>
    <xdr:ext cx="1914524" cy="797960"/>
    <xdr:sp macro="" textlink="">
      <xdr:nvSpPr>
        <xdr:cNvPr id="3" name="2 CuadroTexto"/>
        <xdr:cNvSpPr txBox="1"/>
      </xdr:nvSpPr>
      <xdr:spPr>
        <a:xfrm>
          <a:off x="3914776" y="16754476"/>
          <a:ext cx="1914524" cy="79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352425</xdr:colOff>
      <xdr:row>217</xdr:row>
      <xdr:rowOff>114300</xdr:rowOff>
    </xdr:from>
    <xdr:ext cx="2190750" cy="70484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SpPr txBox="1"/>
      </xdr:nvSpPr>
      <xdr:spPr>
        <a:xfrm>
          <a:off x="352425" y="8153400"/>
          <a:ext cx="2190750" cy="7048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9525</xdr:colOff>
      <xdr:row>217</xdr:row>
      <xdr:rowOff>114300</xdr:rowOff>
    </xdr:from>
    <xdr:ext cx="2628900" cy="67627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SpPr txBox="1"/>
      </xdr:nvSpPr>
      <xdr:spPr>
        <a:xfrm>
          <a:off x="5895975" y="8153400"/>
          <a:ext cx="26289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238125</xdr:colOff>
      <xdr:row>4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124575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2</xdr:col>
      <xdr:colOff>0</xdr:colOff>
      <xdr:row>217</xdr:row>
      <xdr:rowOff>133349</xdr:rowOff>
    </xdr:from>
    <xdr:ext cx="1838325" cy="676275"/>
    <xdr:sp macro="" textlink="">
      <xdr:nvSpPr>
        <xdr:cNvPr id="6" name="5 CuadroTexto"/>
        <xdr:cNvSpPr txBox="1"/>
      </xdr:nvSpPr>
      <xdr:spPr>
        <a:xfrm>
          <a:off x="3343275" y="8172449"/>
          <a:ext cx="1838325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35</xdr:row>
      <xdr:rowOff>180975</xdr:rowOff>
    </xdr:from>
    <xdr:ext cx="1666875" cy="723900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/>
      </xdr:nvSpPr>
      <xdr:spPr>
        <a:xfrm>
          <a:off x="0" y="7648575"/>
          <a:ext cx="1666875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4</xdr:col>
      <xdr:colOff>285750</xdr:colOff>
      <xdr:row>36</xdr:row>
      <xdr:rowOff>0</xdr:rowOff>
    </xdr:from>
    <xdr:ext cx="2257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/>
      </xdr:nvSpPr>
      <xdr:spPr>
        <a:xfrm>
          <a:off x="4819650" y="7658100"/>
          <a:ext cx="2257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200"/>
        </a:p>
      </xdr:txBody>
    </xdr:sp>
    <xdr:clientData/>
  </xdr:oneCellAnchor>
  <xdr:oneCellAnchor>
    <xdr:from>
      <xdr:col>4</xdr:col>
      <xdr:colOff>380999</xdr:colOff>
      <xdr:row>4</xdr:row>
      <xdr:rowOff>133350</xdr:rowOff>
    </xdr:from>
    <xdr:ext cx="2352675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19699" y="942975"/>
          <a:ext cx="235267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581025</xdr:colOff>
      <xdr:row>35</xdr:row>
      <xdr:rowOff>180975</xdr:rowOff>
    </xdr:from>
    <xdr:ext cx="1781175" cy="733425"/>
    <xdr:sp macro="" textlink="">
      <xdr:nvSpPr>
        <xdr:cNvPr id="3" name="2 CuadroTexto"/>
        <xdr:cNvSpPr txBox="1"/>
      </xdr:nvSpPr>
      <xdr:spPr>
        <a:xfrm>
          <a:off x="2724150" y="7648575"/>
          <a:ext cx="1781175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71370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3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164523</xdr:colOff>
      <xdr:row>40</xdr:row>
      <xdr:rowOff>0</xdr:rowOff>
    </xdr:from>
    <xdr:ext cx="228600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 txBox="1"/>
      </xdr:nvSpPr>
      <xdr:spPr>
        <a:xfrm>
          <a:off x="164523" y="9576955"/>
          <a:ext cx="22860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algn="ctr"/>
          <a:endParaRPr lang="es-MX" sz="1100"/>
        </a:p>
      </xdr:txBody>
    </xdr:sp>
    <xdr:clientData/>
  </xdr:oneCellAnchor>
  <xdr:oneCellAnchor>
    <xdr:from>
      <xdr:col>1</xdr:col>
      <xdr:colOff>1004455</xdr:colOff>
      <xdr:row>40</xdr:row>
      <xdr:rowOff>0</xdr:rowOff>
    </xdr:from>
    <xdr:ext cx="2014970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 txBox="1"/>
      </xdr:nvSpPr>
      <xdr:spPr>
        <a:xfrm>
          <a:off x="5308023" y="9576955"/>
          <a:ext cx="201497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560917</xdr:colOff>
      <xdr:row>3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0</xdr:col>
      <xdr:colOff>3125932</xdr:colOff>
      <xdr:row>40</xdr:row>
      <xdr:rowOff>25978</xdr:rowOff>
    </xdr:from>
    <xdr:ext cx="1775113" cy="754306"/>
    <xdr:sp macro="" textlink="">
      <xdr:nvSpPr>
        <xdr:cNvPr id="3" name="2 CuadroTexto"/>
        <xdr:cNvSpPr txBox="1"/>
      </xdr:nvSpPr>
      <xdr:spPr>
        <a:xfrm>
          <a:off x="3125932" y="9602933"/>
          <a:ext cx="1775113" cy="754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11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152401</xdr:colOff>
      <xdr:row>33</xdr:row>
      <xdr:rowOff>133350</xdr:rowOff>
    </xdr:from>
    <xdr:ext cx="1885950" cy="7387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/>
      </xdr:nvSpPr>
      <xdr:spPr>
        <a:xfrm>
          <a:off x="152401" y="8982075"/>
          <a:ext cx="1885950" cy="738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2</xdr:col>
      <xdr:colOff>1085850</xdr:colOff>
      <xdr:row>33</xdr:row>
      <xdr:rowOff>152400</xdr:rowOff>
    </xdr:from>
    <xdr:ext cx="2209800" cy="71966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/>
      </xdr:nvSpPr>
      <xdr:spPr>
        <a:xfrm>
          <a:off x="4152900" y="9001125"/>
          <a:ext cx="2209800" cy="719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457199</xdr:colOff>
      <xdr:row>3</xdr:row>
      <xdr:rowOff>152400</xdr:rowOff>
    </xdr:from>
    <xdr:ext cx="1733549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38674" y="781050"/>
          <a:ext cx="173354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1895475</xdr:colOff>
      <xdr:row>33</xdr:row>
      <xdr:rowOff>152400</xdr:rowOff>
    </xdr:from>
    <xdr:ext cx="1790699" cy="626511"/>
    <xdr:sp macro="" textlink="">
      <xdr:nvSpPr>
        <xdr:cNvPr id="2" name="1 CuadroTexto"/>
        <xdr:cNvSpPr txBox="1"/>
      </xdr:nvSpPr>
      <xdr:spPr>
        <a:xfrm>
          <a:off x="2181225" y="9001125"/>
          <a:ext cx="1790699" cy="6265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25138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21167</xdr:colOff>
      <xdr:row>35</xdr:row>
      <xdr:rowOff>42333</xdr:rowOff>
    </xdr:from>
    <xdr:ext cx="1778000" cy="61383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/>
      </xdr:nvSpPr>
      <xdr:spPr>
        <a:xfrm>
          <a:off x="21167" y="8053916"/>
          <a:ext cx="1778000" cy="613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1174750</xdr:colOff>
      <xdr:row>35</xdr:row>
      <xdr:rowOff>46565</xdr:rowOff>
    </xdr:from>
    <xdr:ext cx="240429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/>
      </xdr:nvSpPr>
      <xdr:spPr>
        <a:xfrm>
          <a:off x="4233333" y="8058148"/>
          <a:ext cx="240429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2</xdr:col>
      <xdr:colOff>624416</xdr:colOff>
      <xdr:row>4</xdr:row>
      <xdr:rowOff>10584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82999" y="85725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1608667</xdr:colOff>
      <xdr:row>35</xdr:row>
      <xdr:rowOff>52917</xdr:rowOff>
    </xdr:from>
    <xdr:ext cx="2264833" cy="900549"/>
    <xdr:sp macro="" textlink="">
      <xdr:nvSpPr>
        <xdr:cNvPr id="3" name="2 CuadroTexto"/>
        <xdr:cNvSpPr txBox="1"/>
      </xdr:nvSpPr>
      <xdr:spPr>
        <a:xfrm>
          <a:off x="1936750" y="8064500"/>
          <a:ext cx="2264833" cy="900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62766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1</xdr:col>
      <xdr:colOff>6212416</xdr:colOff>
      <xdr:row>69</xdr:row>
      <xdr:rowOff>0</xdr:rowOff>
    </xdr:from>
    <xdr:ext cx="2550584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6328833" y="14911917"/>
          <a:ext cx="255058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1</xdr:col>
      <xdr:colOff>6318250</xdr:colOff>
      <xdr:row>3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3407834</xdr:colOff>
      <xdr:row>68</xdr:row>
      <xdr:rowOff>179917</xdr:rowOff>
    </xdr:from>
    <xdr:ext cx="2084916" cy="751416"/>
    <xdr:sp macro="" textlink="">
      <xdr:nvSpPr>
        <xdr:cNvPr id="3" name="2 CuadroTexto"/>
        <xdr:cNvSpPr txBox="1"/>
      </xdr:nvSpPr>
      <xdr:spPr>
        <a:xfrm>
          <a:off x="3524251" y="14880167"/>
          <a:ext cx="2084916" cy="7514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93592</xdr:rowOff>
    </xdr:from>
    <xdr:ext cx="1638301" cy="4969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81700" y="93592"/>
          <a:ext cx="1638301" cy="4969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41</xdr:row>
      <xdr:rowOff>114300</xdr:rowOff>
    </xdr:from>
    <xdr:ext cx="2209800" cy="78105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SpPr txBox="1"/>
      </xdr:nvSpPr>
      <xdr:spPr>
        <a:xfrm>
          <a:off x="0" y="9067800"/>
          <a:ext cx="22098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400049</xdr:colOff>
      <xdr:row>41</xdr:row>
      <xdr:rowOff>123824</xdr:rowOff>
    </xdr:from>
    <xdr:ext cx="2409825" cy="695325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SpPr txBox="1"/>
      </xdr:nvSpPr>
      <xdr:spPr>
        <a:xfrm>
          <a:off x="5153024" y="9077324"/>
          <a:ext cx="24098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3</xdr:col>
      <xdr:colOff>133350</xdr:colOff>
      <xdr:row>3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0</xdr:col>
      <xdr:colOff>2581275</xdr:colOff>
      <xdr:row>41</xdr:row>
      <xdr:rowOff>114300</xdr:rowOff>
    </xdr:from>
    <xdr:ext cx="2219325" cy="771525"/>
    <xdr:sp macro="" textlink="">
      <xdr:nvSpPr>
        <xdr:cNvPr id="9" name="8 CuadroTexto"/>
        <xdr:cNvSpPr txBox="1"/>
      </xdr:nvSpPr>
      <xdr:spPr>
        <a:xfrm>
          <a:off x="2581275" y="9067800"/>
          <a:ext cx="2219325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5 CuadroTexto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45</xdr:row>
      <xdr:rowOff>126999</xdr:rowOff>
    </xdr:from>
    <xdr:ext cx="1897063" cy="777875"/>
    <xdr:sp macro="" textlink="">
      <xdr:nvSpPr>
        <xdr:cNvPr id="8" name="CuadroTexto 1">
          <a:extLst>
            <a:ext uri="{FF2B5EF4-FFF2-40B4-BE49-F238E27FC236}">
              <a16:creationId xmlns=""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8596312"/>
          <a:ext cx="1897063" cy="777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</xdr:txBody>
    </xdr:sp>
    <xdr:clientData/>
  </xdr:oneCellAnchor>
  <xdr:oneCellAnchor>
    <xdr:from>
      <xdr:col>4</xdr:col>
      <xdr:colOff>230188</xdr:colOff>
      <xdr:row>45</xdr:row>
      <xdr:rowOff>134937</xdr:rowOff>
    </xdr:from>
    <xdr:ext cx="2127250" cy="658813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4976813" y="8604250"/>
          <a:ext cx="2127250" cy="65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oneCellAnchor>
  <xdr:twoCellAnchor>
    <xdr:from>
      <xdr:col>5</xdr:col>
      <xdr:colOff>285750</xdr:colOff>
      <xdr:row>0</xdr:row>
      <xdr:rowOff>119063</xdr:rowOff>
    </xdr:from>
    <xdr:to>
      <xdr:col>6</xdr:col>
      <xdr:colOff>555625</xdr:colOff>
      <xdr:row>1</xdr:row>
      <xdr:rowOff>180975</xdr:rowOff>
    </xdr:to>
    <xdr:sp macro="" textlink="">
      <xdr:nvSpPr>
        <xdr:cNvPr id="10" name="Rectángulo 9"/>
        <xdr:cNvSpPr/>
      </xdr:nvSpPr>
      <xdr:spPr>
        <a:xfrm>
          <a:off x="5419725" y="119063"/>
          <a:ext cx="965200" cy="261937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ETCA-III-02</a:t>
          </a:r>
        </a:p>
      </xdr:txBody>
    </xdr:sp>
    <xdr:clientData/>
  </xdr:twoCellAnchor>
  <xdr:oneCellAnchor>
    <xdr:from>
      <xdr:col>1</xdr:col>
      <xdr:colOff>47626</xdr:colOff>
      <xdr:row>45</xdr:row>
      <xdr:rowOff>150812</xdr:rowOff>
    </xdr:from>
    <xdr:ext cx="2016124" cy="630428"/>
    <xdr:sp macro="" textlink="">
      <xdr:nvSpPr>
        <xdr:cNvPr id="11" name="10 CuadroTexto"/>
        <xdr:cNvSpPr txBox="1"/>
      </xdr:nvSpPr>
      <xdr:spPr>
        <a:xfrm>
          <a:off x="2555876" y="8620125"/>
          <a:ext cx="2016124" cy="630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259911</xdr:colOff>
      <xdr:row>0</xdr:row>
      <xdr:rowOff>21167</xdr:rowOff>
    </xdr:from>
    <xdr:ext cx="95289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05578" y="21167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2021417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SpPr txBox="1"/>
      </xdr:nvSpPr>
      <xdr:spPr>
        <a:xfrm>
          <a:off x="127000" y="8921750"/>
          <a:ext cx="202141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931333</xdr:colOff>
      <xdr:row>41</xdr:row>
      <xdr:rowOff>0</xdr:rowOff>
    </xdr:from>
    <xdr:ext cx="1923808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4762500" y="8921750"/>
          <a:ext cx="1923808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3</xdr:col>
      <xdr:colOff>169333</xdr:colOff>
      <xdr:row>3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PRIMERO</a:t>
          </a:r>
        </a:p>
      </xdr:txBody>
    </xdr:sp>
    <xdr:clientData/>
  </xdr:oneCellAnchor>
  <xdr:oneCellAnchor>
    <xdr:from>
      <xdr:col>2</xdr:col>
      <xdr:colOff>84667</xdr:colOff>
      <xdr:row>41</xdr:row>
      <xdr:rowOff>10583</xdr:rowOff>
    </xdr:from>
    <xdr:ext cx="1957915" cy="635000"/>
    <xdr:sp macro="" textlink="">
      <xdr:nvSpPr>
        <xdr:cNvPr id="2" name="1 CuadroTexto"/>
        <xdr:cNvSpPr txBox="1"/>
      </xdr:nvSpPr>
      <xdr:spPr>
        <a:xfrm>
          <a:off x="2529417" y="8932333"/>
          <a:ext cx="1957915" cy="635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89686</xdr:colOff>
      <xdr:row>0</xdr:row>
      <xdr:rowOff>0</xdr:rowOff>
    </xdr:from>
    <xdr:ext cx="968598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04611" y="0"/>
          <a:ext cx="9685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95251</xdr:colOff>
      <xdr:row>31</xdr:row>
      <xdr:rowOff>47625</xdr:rowOff>
    </xdr:from>
    <xdr:ext cx="1905000" cy="64770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SpPr txBox="1"/>
      </xdr:nvSpPr>
      <xdr:spPr>
        <a:xfrm>
          <a:off x="95251" y="6686550"/>
          <a:ext cx="19050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2</xdr:col>
      <xdr:colOff>1009650</xdr:colOff>
      <xdr:row>31</xdr:row>
      <xdr:rowOff>76200</xdr:rowOff>
    </xdr:from>
    <xdr:ext cx="1845491" cy="685800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 txBox="1"/>
      </xdr:nvSpPr>
      <xdr:spPr>
        <a:xfrm>
          <a:off x="4029075" y="6715125"/>
          <a:ext cx="1845491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2</xdr:col>
      <xdr:colOff>314325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1752600</xdr:colOff>
      <xdr:row>31</xdr:row>
      <xdr:rowOff>57150</xdr:rowOff>
    </xdr:from>
    <xdr:ext cx="1905000" cy="847915"/>
    <xdr:sp macro="" textlink="">
      <xdr:nvSpPr>
        <xdr:cNvPr id="2" name="1 CuadroTexto"/>
        <xdr:cNvSpPr txBox="1"/>
      </xdr:nvSpPr>
      <xdr:spPr>
        <a:xfrm>
          <a:off x="2038350" y="6696075"/>
          <a:ext cx="1905000" cy="847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91</xdr:row>
      <xdr:rowOff>85725</xdr:rowOff>
    </xdr:from>
    <xdr:ext cx="1933575" cy="666750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 txBox="1"/>
      </xdr:nvSpPr>
      <xdr:spPr>
        <a:xfrm>
          <a:off x="85725" y="17716500"/>
          <a:ext cx="1933575" cy="666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2</xdr:col>
      <xdr:colOff>838200</xdr:colOff>
      <xdr:row>91</xdr:row>
      <xdr:rowOff>85725</xdr:rowOff>
    </xdr:from>
    <xdr:ext cx="1714500" cy="685800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SpPr txBox="1"/>
      </xdr:nvSpPr>
      <xdr:spPr>
        <a:xfrm>
          <a:off x="5038725" y="17716500"/>
          <a:ext cx="1714500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1</xdr:col>
      <xdr:colOff>4010025</xdr:colOff>
      <xdr:row>4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2438400</xdr:colOff>
      <xdr:row>91</xdr:row>
      <xdr:rowOff>104775</xdr:rowOff>
    </xdr:from>
    <xdr:ext cx="2105025" cy="628650"/>
    <xdr:sp macro="" textlink="">
      <xdr:nvSpPr>
        <xdr:cNvPr id="3" name="2 CuadroTexto"/>
        <xdr:cNvSpPr txBox="1"/>
      </xdr:nvSpPr>
      <xdr:spPr>
        <a:xfrm>
          <a:off x="2524125" y="16783050"/>
          <a:ext cx="2105025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27</xdr:row>
      <xdr:rowOff>63500</xdr:rowOff>
    </xdr:from>
    <xdr:ext cx="1778000" cy="762000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/>
      </xdr:nvSpPr>
      <xdr:spPr>
        <a:xfrm>
          <a:off x="190501" y="9450917"/>
          <a:ext cx="17780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</xdr:txBody>
    </xdr:sp>
    <xdr:clientData/>
  </xdr:oneCellAnchor>
  <xdr:oneCellAnchor>
    <xdr:from>
      <xdr:col>2</xdr:col>
      <xdr:colOff>1598082</xdr:colOff>
      <xdr:row>27</xdr:row>
      <xdr:rowOff>0</xdr:rowOff>
    </xdr:from>
    <xdr:ext cx="1989667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4476749" y="8985250"/>
          <a:ext cx="1989667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793749</xdr:colOff>
      <xdr:row>3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1957918</xdr:colOff>
      <xdr:row>27</xdr:row>
      <xdr:rowOff>105834</xdr:rowOff>
    </xdr:from>
    <xdr:ext cx="1862666" cy="804332"/>
    <xdr:sp macro="" textlink="">
      <xdr:nvSpPr>
        <xdr:cNvPr id="2" name="1 CuadroTexto"/>
        <xdr:cNvSpPr txBox="1"/>
      </xdr:nvSpPr>
      <xdr:spPr>
        <a:xfrm>
          <a:off x="2148418" y="9493251"/>
          <a:ext cx="1862666" cy="804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twoCellAnchor editAs="oneCell">
    <xdr:from>
      <xdr:col>2</xdr:col>
      <xdr:colOff>1598082</xdr:colOff>
      <xdr:row>27</xdr:row>
      <xdr:rowOff>42334</xdr:rowOff>
    </xdr:from>
    <xdr:to>
      <xdr:col>3</xdr:col>
      <xdr:colOff>1298181</xdr:colOff>
      <xdr:row>31</xdr:row>
      <xdr:rowOff>52918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49" y="9429751"/>
          <a:ext cx="1816765" cy="8572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ETCA-IV-05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17049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SpPr txBox="1"/>
      </xdr:nvSpPr>
      <xdr:spPr>
        <a:xfrm>
          <a:off x="95250" y="8791575"/>
          <a:ext cx="17049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1628774</xdr:colOff>
      <xdr:row>34</xdr:row>
      <xdr:rowOff>0</xdr:rowOff>
    </xdr:from>
    <xdr:ext cx="2143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SpPr txBox="1"/>
      </xdr:nvSpPr>
      <xdr:spPr>
        <a:xfrm>
          <a:off x="4257674" y="8791575"/>
          <a:ext cx="2143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oneCellAnchor>
  <xdr:oneCellAnchor>
    <xdr:from>
      <xdr:col>2</xdr:col>
      <xdr:colOff>1047750</xdr:colOff>
      <xdr:row>3</xdr:row>
      <xdr:rowOff>200025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6650" y="8286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2105025</xdr:colOff>
      <xdr:row>33</xdr:row>
      <xdr:rowOff>361950</xdr:rowOff>
    </xdr:from>
    <xdr:ext cx="1838325" cy="1163016"/>
    <xdr:sp macro="" textlink="">
      <xdr:nvSpPr>
        <xdr:cNvPr id="2" name="1 CuadroTexto"/>
        <xdr:cNvSpPr txBox="1"/>
      </xdr:nvSpPr>
      <xdr:spPr>
        <a:xfrm>
          <a:off x="2352675" y="8763000"/>
          <a:ext cx="1838325" cy="1163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twoCellAnchor editAs="oneCell">
    <xdr:from>
      <xdr:col>0</xdr:col>
      <xdr:colOff>95250</xdr:colOff>
      <xdr:row>34</xdr:row>
      <xdr:rowOff>0</xdr:rowOff>
    </xdr:from>
    <xdr:to>
      <xdr:col>1</xdr:col>
      <xdr:colOff>1585111</xdr:colOff>
      <xdr:row>35</xdr:row>
      <xdr:rowOff>249610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791575"/>
          <a:ext cx="1737511" cy="64013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1630509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40509" cy="704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52898</xdr:colOff>
      <xdr:row>0</xdr:row>
      <xdr:rowOff>47625</xdr:rowOff>
    </xdr:from>
    <xdr:ext cx="874535" cy="254557"/>
    <xdr:sp macro="" textlink="">
      <xdr:nvSpPr>
        <xdr:cNvPr id="14" name="13 CuadroText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7196648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3531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142875</xdr:colOff>
      <xdr:row>49</xdr:row>
      <xdr:rowOff>0</xdr:rowOff>
    </xdr:from>
    <xdr:ext cx="1819275" cy="885825"/>
    <xdr:sp macro="" textlink="">
      <xdr:nvSpPr>
        <xdr:cNvPr id="16" name="CuadroTexto 5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42875" y="10763250"/>
          <a:ext cx="1819275" cy="885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381000</xdr:colOff>
      <xdr:row>49</xdr:row>
      <xdr:rowOff>0</xdr:rowOff>
    </xdr:from>
    <xdr:ext cx="2276475" cy="662517"/>
    <xdr:sp macro="" textlink="">
      <xdr:nvSpPr>
        <xdr:cNvPr id="17" name="CuadroTexto 5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543550" y="10763250"/>
          <a:ext cx="2276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3</xdr:col>
      <xdr:colOff>161925</xdr:colOff>
      <xdr:row>3</xdr:row>
      <xdr:rowOff>200025</xdr:rowOff>
    </xdr:from>
    <xdr:ext cx="2790824" cy="254557"/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24475" y="8001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0</xdr:col>
      <xdr:colOff>3038476</xdr:colOff>
      <xdr:row>49</xdr:row>
      <xdr:rowOff>9525</xdr:rowOff>
    </xdr:from>
    <xdr:ext cx="1971674" cy="781240"/>
    <xdr:sp macro="" textlink="">
      <xdr:nvSpPr>
        <xdr:cNvPr id="19" name="18 CuadroTexto"/>
        <xdr:cNvSpPr txBox="1"/>
      </xdr:nvSpPr>
      <xdr:spPr>
        <a:xfrm>
          <a:off x="3038476" y="10772775"/>
          <a:ext cx="197167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3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0</xdr:col>
      <xdr:colOff>1</xdr:colOff>
      <xdr:row>65</xdr:row>
      <xdr:rowOff>114300</xdr:rowOff>
    </xdr:from>
    <xdr:ext cx="2133600" cy="682624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1" y="11620500"/>
          <a:ext cx="2133600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0</xdr:col>
      <xdr:colOff>4962525</xdr:colOff>
      <xdr:row>65</xdr:row>
      <xdr:rowOff>123825</xdr:rowOff>
    </xdr:from>
    <xdr:ext cx="218916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4962525" y="11630025"/>
          <a:ext cx="218916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0</xdr:col>
      <xdr:colOff>2819400</xdr:colOff>
      <xdr:row>65</xdr:row>
      <xdr:rowOff>123825</xdr:rowOff>
    </xdr:from>
    <xdr:ext cx="2076449" cy="838390"/>
    <xdr:sp macro="" textlink="">
      <xdr:nvSpPr>
        <xdr:cNvPr id="5" name="4 CuadroTexto"/>
        <xdr:cNvSpPr txBox="1"/>
      </xdr:nvSpPr>
      <xdr:spPr>
        <a:xfrm>
          <a:off x="2819400" y="11630025"/>
          <a:ext cx="2076449" cy="838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0</xdr:col>
      <xdr:colOff>36636</xdr:colOff>
      <xdr:row>67</xdr:row>
      <xdr:rowOff>43962</xdr:rowOff>
    </xdr:from>
    <xdr:ext cx="1956288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36636" y="9627577"/>
          <a:ext cx="1956288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r>
            <a:rPr lang="es-MX" sz="1100"/>
            <a:t>______________________________________</a:t>
          </a:r>
        </a:p>
      </xdr:txBody>
    </xdr:sp>
    <xdr:clientData/>
  </xdr:oneCellAnchor>
  <xdr:oneCellAnchor>
    <xdr:from>
      <xdr:col>1</xdr:col>
      <xdr:colOff>3985846</xdr:colOff>
      <xdr:row>67</xdr:row>
      <xdr:rowOff>51288</xdr:rowOff>
    </xdr:from>
    <xdr:ext cx="1897672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4176346" y="9634903"/>
          <a:ext cx="1897672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algn="ctr"/>
          <a:endParaRPr lang="es-MX" sz="1100"/>
        </a:p>
      </xdr:txBody>
    </xdr:sp>
    <xdr:clientData/>
  </xdr:oneCellAnchor>
  <xdr:oneCellAnchor>
    <xdr:from>
      <xdr:col>1</xdr:col>
      <xdr:colOff>3135923</xdr:colOff>
      <xdr:row>3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26423" y="77665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1839058</xdr:colOff>
      <xdr:row>67</xdr:row>
      <xdr:rowOff>65943</xdr:rowOff>
    </xdr:from>
    <xdr:ext cx="1912327" cy="732692"/>
    <xdr:sp macro="" textlink="">
      <xdr:nvSpPr>
        <xdr:cNvPr id="3" name="2 CuadroTexto"/>
        <xdr:cNvSpPr txBox="1"/>
      </xdr:nvSpPr>
      <xdr:spPr>
        <a:xfrm>
          <a:off x="2029558" y="9649558"/>
          <a:ext cx="1912327" cy="732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58348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161926</xdr:rowOff>
    </xdr:from>
    <xdr:ext cx="1762125" cy="748242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85725" y="8191501"/>
          <a:ext cx="1762125" cy="748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447674</xdr:colOff>
      <xdr:row>30</xdr:row>
      <xdr:rowOff>161926</xdr:rowOff>
    </xdr:from>
    <xdr:ext cx="2009775" cy="748242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4381499" y="8191501"/>
          <a:ext cx="2009775" cy="748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1</xdr:col>
      <xdr:colOff>2143126</xdr:colOff>
      <xdr:row>30</xdr:row>
      <xdr:rowOff>142875</xdr:rowOff>
    </xdr:from>
    <xdr:ext cx="2009774" cy="647700"/>
    <xdr:sp macro="" textlink="">
      <xdr:nvSpPr>
        <xdr:cNvPr id="2" name="1 CuadroTexto"/>
        <xdr:cNvSpPr txBox="1"/>
      </xdr:nvSpPr>
      <xdr:spPr>
        <a:xfrm>
          <a:off x="2228851" y="8172450"/>
          <a:ext cx="200977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05973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43</xdr:row>
      <xdr:rowOff>57150</xdr:rowOff>
    </xdr:from>
    <xdr:ext cx="1847850" cy="69532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142876" y="8972550"/>
          <a:ext cx="18478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219075</xdr:colOff>
      <xdr:row>43</xdr:row>
      <xdr:rowOff>47624</xdr:rowOff>
    </xdr:from>
    <xdr:ext cx="1685925" cy="666751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4476750" y="8963024"/>
          <a:ext cx="16859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2</xdr:col>
      <xdr:colOff>457201</xdr:colOff>
      <xdr:row>43</xdr:row>
      <xdr:rowOff>76200</xdr:rowOff>
    </xdr:from>
    <xdr:ext cx="1870656" cy="876490"/>
    <xdr:sp macro="" textlink="">
      <xdr:nvSpPr>
        <xdr:cNvPr id="7" name="6 CuadroTexto"/>
        <xdr:cNvSpPr txBox="1"/>
      </xdr:nvSpPr>
      <xdr:spPr>
        <a:xfrm>
          <a:off x="2486026" y="8991600"/>
          <a:ext cx="1870656" cy="876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8595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314325" y="8086725"/>
          <a:ext cx="18859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695325</xdr:colOff>
      <xdr:row>42</xdr:row>
      <xdr:rowOff>0</xdr:rowOff>
    </xdr:from>
    <xdr:ext cx="260985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5514975" y="8086725"/>
          <a:ext cx="26098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200"/>
        </a:p>
      </xdr:txBody>
    </xdr:sp>
    <xdr:clientData/>
  </xdr:oneCellAnchor>
  <xdr:oneCellAnchor>
    <xdr:from>
      <xdr:col>5</xdr:col>
      <xdr:colOff>571500</xdr:colOff>
      <xdr:row>3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  <xdr:oneCellAnchor>
    <xdr:from>
      <xdr:col>2</xdr:col>
      <xdr:colOff>381000</xdr:colOff>
      <xdr:row>41</xdr:row>
      <xdr:rowOff>180975</xdr:rowOff>
    </xdr:from>
    <xdr:ext cx="2305050" cy="923924"/>
    <xdr:sp macro="" textlink="">
      <xdr:nvSpPr>
        <xdr:cNvPr id="3" name="2 CuadroTexto"/>
        <xdr:cNvSpPr txBox="1"/>
      </xdr:nvSpPr>
      <xdr:spPr>
        <a:xfrm>
          <a:off x="2714625" y="8077200"/>
          <a:ext cx="2305050" cy="923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randa/AppData/Local/Microsoft/Windows/Temporary%20Internet%20Files/Content.Outlook/OO45YKMY/F%20XXXIB%20Informe%20financiero_Informes%20financieros%20contables%20presupuestales%20y%20program&#225;t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acienda.sonora.gob.mx/Users/America%20Encinas/AppData/Roaming/Microsoft/Excel/PT%20Gastos%20x%20partida%20pp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tec/Reportes_CuentaPublica/Estado_de_actividades2_313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"/>
    </sheetNames>
    <sheetDataSet>
      <sheetData sheetId="0">
        <row r="25">
          <cell r="E25">
            <v>10431162.24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4.7109375" customWidth="1"/>
    <col min="4" max="4" width="34.85546875" bestFit="1" customWidth="1"/>
    <col min="5" max="5" width="87.140625" customWidth="1"/>
    <col min="6" max="6" width="42.5703125" customWidth="1"/>
    <col min="7" max="7" width="41.7109375" customWidth="1"/>
    <col min="8" max="8" width="36.28515625" customWidth="1"/>
    <col min="9" max="9" width="17.5703125" bestFit="1" customWidth="1"/>
    <col min="10" max="10" width="20" bestFit="1" customWidth="1"/>
    <col min="11" max="11" width="41.140625" customWidth="1"/>
  </cols>
  <sheetData>
    <row r="1" spans="1:11" hidden="1" x14ac:dyDescent="0.25">
      <c r="A1" t="s">
        <v>1270</v>
      </c>
    </row>
    <row r="2" spans="1:11" x14ac:dyDescent="0.25">
      <c r="A2" s="1038" t="s">
        <v>1271</v>
      </c>
      <c r="B2" s="1039"/>
      <c r="C2" s="1039"/>
      <c r="D2" s="1038" t="s">
        <v>1272</v>
      </c>
      <c r="E2" s="1039"/>
      <c r="F2" s="1039"/>
      <c r="G2" s="1038" t="s">
        <v>1273</v>
      </c>
      <c r="H2" s="1039"/>
      <c r="I2" s="1039"/>
    </row>
    <row r="3" spans="1:11" x14ac:dyDescent="0.25">
      <c r="A3" s="1040" t="s">
        <v>1274</v>
      </c>
      <c r="B3" s="1039"/>
      <c r="C3" s="1039"/>
      <c r="D3" s="1040" t="s">
        <v>1275</v>
      </c>
      <c r="E3" s="1039"/>
      <c r="F3" s="1039"/>
      <c r="G3" s="1040" t="s">
        <v>1276</v>
      </c>
      <c r="H3" s="1039"/>
      <c r="I3" s="1039"/>
    </row>
    <row r="4" spans="1:11" hidden="1" x14ac:dyDescent="0.25">
      <c r="A4" t="s">
        <v>1277</v>
      </c>
      <c r="B4" t="s">
        <v>1278</v>
      </c>
      <c r="C4" t="s">
        <v>1278</v>
      </c>
      <c r="D4" t="s">
        <v>1279</v>
      </c>
      <c r="E4" t="s">
        <v>1277</v>
      </c>
      <c r="F4" t="s">
        <v>1280</v>
      </c>
      <c r="G4" t="s">
        <v>1280</v>
      </c>
      <c r="H4" t="s">
        <v>1281</v>
      </c>
      <c r="I4" t="s">
        <v>1278</v>
      </c>
      <c r="J4" t="s">
        <v>1282</v>
      </c>
      <c r="K4" t="s">
        <v>1283</v>
      </c>
    </row>
    <row r="5" spans="1:11" hidden="1" x14ac:dyDescent="0.25">
      <c r="A5" t="s">
        <v>1284</v>
      </c>
      <c r="B5" t="s">
        <v>1285</v>
      </c>
      <c r="C5" t="s">
        <v>1286</v>
      </c>
      <c r="D5" t="s">
        <v>1287</v>
      </c>
      <c r="E5" t="s">
        <v>1288</v>
      </c>
      <c r="F5" t="s">
        <v>1289</v>
      </c>
      <c r="G5" t="s">
        <v>1290</v>
      </c>
      <c r="H5" t="s">
        <v>1291</v>
      </c>
      <c r="I5" t="s">
        <v>1292</v>
      </c>
      <c r="J5" t="s">
        <v>1293</v>
      </c>
      <c r="K5" t="s">
        <v>1294</v>
      </c>
    </row>
    <row r="6" spans="1:11" x14ac:dyDescent="0.25">
      <c r="A6" s="1038" t="s">
        <v>1295</v>
      </c>
      <c r="B6" s="1039"/>
      <c r="C6" s="1039"/>
      <c r="D6" s="1039"/>
      <c r="E6" s="1039"/>
      <c r="F6" s="1039"/>
      <c r="G6" s="1039"/>
      <c r="H6" s="1039"/>
      <c r="I6" s="1039"/>
      <c r="J6" s="1039"/>
      <c r="K6" s="1039"/>
    </row>
    <row r="7" spans="1:11" s="1028" customFormat="1" ht="54.75" customHeight="1" x14ac:dyDescent="0.25">
      <c r="A7" s="1026" t="s">
        <v>1296</v>
      </c>
      <c r="B7" s="1027" t="s">
        <v>1297</v>
      </c>
      <c r="C7" s="1027" t="s">
        <v>1298</v>
      </c>
      <c r="D7" s="1026" t="s">
        <v>1299</v>
      </c>
      <c r="E7" s="1026" t="s">
        <v>1300</v>
      </c>
      <c r="F7" s="1027" t="s">
        <v>1301</v>
      </c>
      <c r="G7" s="1027" t="s">
        <v>1302</v>
      </c>
      <c r="H7" s="1027" t="s">
        <v>1303</v>
      </c>
      <c r="I7" s="1026" t="s">
        <v>1304</v>
      </c>
      <c r="J7" s="1026" t="s">
        <v>1305</v>
      </c>
      <c r="K7" s="1026" t="s">
        <v>1306</v>
      </c>
    </row>
    <row r="8" spans="1:11" x14ac:dyDescent="0.25">
      <c r="A8">
        <v>2018</v>
      </c>
      <c r="B8" s="1029">
        <v>43101</v>
      </c>
      <c r="C8" s="1029">
        <v>43190</v>
      </c>
      <c r="D8" t="s">
        <v>1307</v>
      </c>
      <c r="E8" s="1030" t="s">
        <v>1308</v>
      </c>
      <c r="G8" t="s">
        <v>1343</v>
      </c>
      <c r="H8" t="s">
        <v>1309</v>
      </c>
      <c r="I8" s="1029">
        <v>43210</v>
      </c>
      <c r="J8" s="1029">
        <v>43190</v>
      </c>
      <c r="K8" t="s">
        <v>1344</v>
      </c>
    </row>
    <row r="9" spans="1:11" x14ac:dyDescent="0.25">
      <c r="A9">
        <v>2018</v>
      </c>
      <c r="B9" s="1029">
        <v>43101</v>
      </c>
      <c r="C9" s="1029">
        <v>43190</v>
      </c>
      <c r="D9" t="s">
        <v>1307</v>
      </c>
      <c r="E9" s="1031" t="s">
        <v>1310</v>
      </c>
      <c r="G9" s="1025" t="s">
        <v>1343</v>
      </c>
      <c r="H9" t="s">
        <v>1309</v>
      </c>
      <c r="I9" s="1029">
        <v>43210</v>
      </c>
      <c r="J9" s="1029">
        <v>43190</v>
      </c>
      <c r="K9" s="1025" t="s">
        <v>1344</v>
      </c>
    </row>
    <row r="10" spans="1:11" x14ac:dyDescent="0.25">
      <c r="A10">
        <v>2018</v>
      </c>
      <c r="B10" s="1029">
        <v>43101</v>
      </c>
      <c r="C10" s="1029">
        <v>43190</v>
      </c>
      <c r="D10" t="s">
        <v>1307</v>
      </c>
      <c r="E10" s="1031" t="s">
        <v>1311</v>
      </c>
      <c r="G10" s="1025" t="s">
        <v>1343</v>
      </c>
      <c r="H10" t="s">
        <v>1309</v>
      </c>
      <c r="I10" s="1029">
        <v>43210</v>
      </c>
      <c r="J10" s="1029">
        <v>43190</v>
      </c>
      <c r="K10" s="1025" t="s">
        <v>1344</v>
      </c>
    </row>
    <row r="11" spans="1:11" x14ac:dyDescent="0.25">
      <c r="A11">
        <v>2018</v>
      </c>
      <c r="B11" s="1029">
        <v>43101</v>
      </c>
      <c r="C11" s="1029">
        <v>43190</v>
      </c>
      <c r="D11" t="s">
        <v>1307</v>
      </c>
      <c r="E11" s="1031" t="s">
        <v>2</v>
      </c>
      <c r="G11" s="1025" t="s">
        <v>1343</v>
      </c>
      <c r="H11" t="s">
        <v>1309</v>
      </c>
      <c r="I11" s="1029">
        <v>43210</v>
      </c>
      <c r="J11" s="1029">
        <v>43190</v>
      </c>
      <c r="K11" s="1025" t="s">
        <v>1344</v>
      </c>
    </row>
    <row r="12" spans="1:11" x14ac:dyDescent="0.25">
      <c r="A12">
        <v>2018</v>
      </c>
      <c r="B12" s="1029">
        <v>43101</v>
      </c>
      <c r="C12" s="1029">
        <v>43190</v>
      </c>
      <c r="D12" t="s">
        <v>1307</v>
      </c>
      <c r="E12" s="1031" t="s">
        <v>1312</v>
      </c>
      <c r="G12" s="1025" t="s">
        <v>1343</v>
      </c>
      <c r="H12" t="s">
        <v>1309</v>
      </c>
      <c r="I12" s="1029">
        <v>43210</v>
      </c>
      <c r="J12" s="1029">
        <v>43190</v>
      </c>
      <c r="K12" s="1025" t="s">
        <v>1344</v>
      </c>
    </row>
    <row r="13" spans="1:11" x14ac:dyDescent="0.25">
      <c r="A13">
        <v>2018</v>
      </c>
      <c r="B13" s="1029">
        <v>43101</v>
      </c>
      <c r="C13" s="1029">
        <v>43190</v>
      </c>
      <c r="D13" t="s">
        <v>1307</v>
      </c>
      <c r="E13" s="1031" t="s">
        <v>1313</v>
      </c>
      <c r="G13" s="1025" t="s">
        <v>1343</v>
      </c>
      <c r="H13" t="s">
        <v>1309</v>
      </c>
      <c r="I13" s="1029">
        <v>43210</v>
      </c>
      <c r="J13" s="1029">
        <v>43190</v>
      </c>
      <c r="K13" s="1025" t="s">
        <v>1344</v>
      </c>
    </row>
    <row r="14" spans="1:11" x14ac:dyDescent="0.25">
      <c r="A14">
        <v>2018</v>
      </c>
      <c r="B14" s="1029">
        <v>43101</v>
      </c>
      <c r="C14" s="1029">
        <v>43190</v>
      </c>
      <c r="D14" t="s">
        <v>1307</v>
      </c>
      <c r="E14" s="1031" t="s">
        <v>1314</v>
      </c>
      <c r="G14" s="1025" t="s">
        <v>1343</v>
      </c>
      <c r="H14" t="s">
        <v>1309</v>
      </c>
      <c r="I14" s="1029">
        <v>43210</v>
      </c>
      <c r="J14" s="1029">
        <v>43190</v>
      </c>
      <c r="K14" s="1025" t="s">
        <v>1344</v>
      </c>
    </row>
    <row r="15" spans="1:11" x14ac:dyDescent="0.25">
      <c r="A15">
        <v>2018</v>
      </c>
      <c r="B15" s="1029">
        <v>43101</v>
      </c>
      <c r="C15" s="1029">
        <v>43190</v>
      </c>
      <c r="D15" t="s">
        <v>1307</v>
      </c>
      <c r="E15" s="1031" t="s">
        <v>1315</v>
      </c>
      <c r="G15" s="1025" t="s">
        <v>1343</v>
      </c>
      <c r="H15" t="s">
        <v>1309</v>
      </c>
      <c r="I15" s="1029">
        <v>43210</v>
      </c>
      <c r="J15" s="1029">
        <v>43190</v>
      </c>
      <c r="K15" s="1025" t="s">
        <v>1344</v>
      </c>
    </row>
    <row r="16" spans="1:11" x14ac:dyDescent="0.25">
      <c r="A16">
        <v>2018</v>
      </c>
      <c r="B16" s="1029">
        <v>43101</v>
      </c>
      <c r="C16" s="1029">
        <v>43190</v>
      </c>
      <c r="D16" t="s">
        <v>1307</v>
      </c>
      <c r="E16" s="1031" t="s">
        <v>1316</v>
      </c>
      <c r="G16" s="1025" t="s">
        <v>1343</v>
      </c>
      <c r="H16" t="s">
        <v>1309</v>
      </c>
      <c r="I16" s="1029">
        <v>43210</v>
      </c>
      <c r="J16" s="1029">
        <v>43190</v>
      </c>
      <c r="K16" s="1025" t="s">
        <v>1344</v>
      </c>
    </row>
    <row r="17" spans="1:11" x14ac:dyDescent="0.25">
      <c r="A17">
        <v>2018</v>
      </c>
      <c r="B17" s="1029">
        <v>43101</v>
      </c>
      <c r="C17" s="1029">
        <v>43190</v>
      </c>
      <c r="D17" t="s">
        <v>1307</v>
      </c>
      <c r="E17" s="1031" t="s">
        <v>1317</v>
      </c>
      <c r="G17" s="1025" t="s">
        <v>1343</v>
      </c>
      <c r="H17" t="s">
        <v>1309</v>
      </c>
      <c r="I17" s="1029">
        <v>43210</v>
      </c>
      <c r="J17" s="1029">
        <v>43190</v>
      </c>
      <c r="K17" s="1025" t="s">
        <v>1344</v>
      </c>
    </row>
    <row r="18" spans="1:11" x14ac:dyDescent="0.25">
      <c r="A18">
        <v>2018</v>
      </c>
      <c r="B18" s="1029">
        <v>43101</v>
      </c>
      <c r="C18" s="1029">
        <v>43190</v>
      </c>
      <c r="D18" t="s">
        <v>1307</v>
      </c>
      <c r="E18" s="1031" t="s">
        <v>1318</v>
      </c>
      <c r="G18" s="1025" t="s">
        <v>1343</v>
      </c>
      <c r="H18" t="s">
        <v>1309</v>
      </c>
      <c r="I18" s="1029">
        <v>43210</v>
      </c>
      <c r="J18" s="1029">
        <v>43190</v>
      </c>
      <c r="K18" s="1025" t="s">
        <v>1344</v>
      </c>
    </row>
    <row r="19" spans="1:11" x14ac:dyDescent="0.25">
      <c r="A19">
        <v>2018</v>
      </c>
      <c r="B19" s="1029">
        <v>43101</v>
      </c>
      <c r="C19" s="1029">
        <v>43190</v>
      </c>
      <c r="D19" t="s">
        <v>1307</v>
      </c>
      <c r="E19" s="1031" t="s">
        <v>1319</v>
      </c>
      <c r="G19" s="1025" t="s">
        <v>1343</v>
      </c>
      <c r="H19" t="s">
        <v>1309</v>
      </c>
      <c r="I19" s="1029">
        <v>43210</v>
      </c>
      <c r="J19" s="1029">
        <v>43190</v>
      </c>
      <c r="K19" s="1025" t="s">
        <v>1344</v>
      </c>
    </row>
    <row r="20" spans="1:11" x14ac:dyDescent="0.25">
      <c r="A20">
        <v>2018</v>
      </c>
      <c r="B20" s="1029">
        <v>43101</v>
      </c>
      <c r="C20" s="1029">
        <v>43190</v>
      </c>
      <c r="D20" t="s">
        <v>1320</v>
      </c>
      <c r="E20" s="1031" t="s">
        <v>1321</v>
      </c>
      <c r="G20" s="1025" t="s">
        <v>1343</v>
      </c>
      <c r="H20" t="s">
        <v>1309</v>
      </c>
      <c r="I20" s="1029">
        <v>43210</v>
      </c>
      <c r="J20" s="1029">
        <v>43190</v>
      </c>
      <c r="K20" s="1025" t="s">
        <v>1344</v>
      </c>
    </row>
    <row r="21" spans="1:11" x14ac:dyDescent="0.25">
      <c r="A21">
        <v>2018</v>
      </c>
      <c r="B21" s="1029">
        <v>43101</v>
      </c>
      <c r="C21" s="1029">
        <v>43190</v>
      </c>
      <c r="D21" t="s">
        <v>1320</v>
      </c>
      <c r="E21" s="1031" t="s">
        <v>1322</v>
      </c>
      <c r="G21" s="1025" t="s">
        <v>1343</v>
      </c>
      <c r="H21" t="s">
        <v>1309</v>
      </c>
      <c r="I21" s="1029">
        <v>43210</v>
      </c>
      <c r="J21" s="1029">
        <v>43190</v>
      </c>
      <c r="K21" s="1025" t="s">
        <v>1344</v>
      </c>
    </row>
    <row r="22" spans="1:11" x14ac:dyDescent="0.25">
      <c r="A22">
        <v>2018</v>
      </c>
      <c r="B22" s="1029">
        <v>43101</v>
      </c>
      <c r="C22" s="1029">
        <v>43190</v>
      </c>
      <c r="D22" t="s">
        <v>1320</v>
      </c>
      <c r="E22" s="1031" t="s">
        <v>1323</v>
      </c>
      <c r="G22" s="1025" t="s">
        <v>1343</v>
      </c>
      <c r="H22" t="s">
        <v>1309</v>
      </c>
      <c r="I22" s="1029">
        <v>43210</v>
      </c>
      <c r="J22" s="1029">
        <v>43190</v>
      </c>
      <c r="K22" s="1025" t="s">
        <v>1344</v>
      </c>
    </row>
    <row r="23" spans="1:11" x14ac:dyDescent="0.25">
      <c r="A23">
        <v>2018</v>
      </c>
      <c r="B23" s="1029">
        <v>43101</v>
      </c>
      <c r="C23" s="1029">
        <v>43190</v>
      </c>
      <c r="D23" t="s">
        <v>1320</v>
      </c>
      <c r="E23" s="1031" t="s">
        <v>1324</v>
      </c>
      <c r="G23" s="1025" t="s">
        <v>1343</v>
      </c>
      <c r="H23" t="s">
        <v>1309</v>
      </c>
      <c r="I23" s="1029">
        <v>43210</v>
      </c>
      <c r="J23" s="1029">
        <v>43190</v>
      </c>
      <c r="K23" s="1025" t="s">
        <v>1344</v>
      </c>
    </row>
    <row r="24" spans="1:11" x14ac:dyDescent="0.25">
      <c r="A24">
        <v>2018</v>
      </c>
      <c r="B24" s="1029">
        <v>43101</v>
      </c>
      <c r="C24" s="1029">
        <v>43190</v>
      </c>
      <c r="D24" t="s">
        <v>1320</v>
      </c>
      <c r="E24" s="1031" t="s">
        <v>1325</v>
      </c>
      <c r="G24" s="1025" t="s">
        <v>1343</v>
      </c>
      <c r="H24" t="s">
        <v>1309</v>
      </c>
      <c r="I24" s="1029">
        <v>43210</v>
      </c>
      <c r="J24" s="1029">
        <v>43190</v>
      </c>
      <c r="K24" s="1025" t="s">
        <v>1344</v>
      </c>
    </row>
    <row r="25" spans="1:11" x14ac:dyDescent="0.25">
      <c r="A25">
        <v>2018</v>
      </c>
      <c r="B25" s="1029">
        <v>43101</v>
      </c>
      <c r="C25" s="1029">
        <v>43190</v>
      </c>
      <c r="D25" t="s">
        <v>1320</v>
      </c>
      <c r="E25" s="1031" t="s">
        <v>1326</v>
      </c>
      <c r="G25" s="1025" t="s">
        <v>1343</v>
      </c>
      <c r="H25" t="s">
        <v>1309</v>
      </c>
      <c r="I25" s="1029">
        <v>43210</v>
      </c>
      <c r="J25" s="1029">
        <v>43190</v>
      </c>
      <c r="K25" s="1025" t="s">
        <v>1344</v>
      </c>
    </row>
    <row r="26" spans="1:11" x14ac:dyDescent="0.25">
      <c r="A26">
        <v>2018</v>
      </c>
      <c r="B26" s="1029">
        <v>43101</v>
      </c>
      <c r="C26" s="1029">
        <v>43190</v>
      </c>
      <c r="D26" t="s">
        <v>1320</v>
      </c>
      <c r="E26" s="1031" t="s">
        <v>1327</v>
      </c>
      <c r="G26" s="1025" t="s">
        <v>1343</v>
      </c>
      <c r="H26" t="s">
        <v>1309</v>
      </c>
      <c r="I26" s="1029">
        <v>43210</v>
      </c>
      <c r="J26" s="1029">
        <v>43190</v>
      </c>
      <c r="K26" s="1025" t="s">
        <v>1344</v>
      </c>
    </row>
    <row r="27" spans="1:11" x14ac:dyDescent="0.25">
      <c r="A27">
        <v>2018</v>
      </c>
      <c r="B27" s="1029">
        <v>43101</v>
      </c>
      <c r="C27" s="1029">
        <v>43190</v>
      </c>
      <c r="D27" t="s">
        <v>1320</v>
      </c>
      <c r="E27" s="1031" t="s">
        <v>1328</v>
      </c>
      <c r="G27" s="1025" t="s">
        <v>1343</v>
      </c>
      <c r="H27" t="s">
        <v>1309</v>
      </c>
      <c r="I27" s="1029">
        <v>43210</v>
      </c>
      <c r="J27" s="1029">
        <v>43190</v>
      </c>
      <c r="K27" s="1025" t="s">
        <v>1344</v>
      </c>
    </row>
    <row r="28" spans="1:11" x14ac:dyDescent="0.25">
      <c r="A28">
        <v>2018</v>
      </c>
      <c r="B28" s="1029">
        <v>43101</v>
      </c>
      <c r="C28" s="1029">
        <v>43190</v>
      </c>
      <c r="D28" t="s">
        <v>1320</v>
      </c>
      <c r="E28" s="1031" t="s">
        <v>1329</v>
      </c>
      <c r="G28" s="1025" t="s">
        <v>1343</v>
      </c>
      <c r="H28" t="s">
        <v>1309</v>
      </c>
      <c r="I28" s="1029">
        <v>43210</v>
      </c>
      <c r="J28" s="1029">
        <v>43190</v>
      </c>
      <c r="K28" s="1025" t="s">
        <v>1344</v>
      </c>
    </row>
    <row r="29" spans="1:11" ht="33" customHeight="1" x14ac:dyDescent="0.25">
      <c r="A29">
        <v>2018</v>
      </c>
      <c r="B29" s="1029">
        <v>43101</v>
      </c>
      <c r="C29" s="1029">
        <v>43190</v>
      </c>
      <c r="D29" t="s">
        <v>1320</v>
      </c>
      <c r="E29" s="1031" t="s">
        <v>1330</v>
      </c>
      <c r="G29" s="1025" t="s">
        <v>1343</v>
      </c>
      <c r="H29" t="s">
        <v>1309</v>
      </c>
      <c r="I29" s="1029">
        <v>43210</v>
      </c>
      <c r="J29" s="1029">
        <v>43190</v>
      </c>
      <c r="K29" s="1025" t="s">
        <v>1344</v>
      </c>
    </row>
    <row r="30" spans="1:11" ht="27" customHeight="1" x14ac:dyDescent="0.25">
      <c r="A30">
        <v>2018</v>
      </c>
      <c r="B30" s="1029">
        <v>43101</v>
      </c>
      <c r="C30" s="1029">
        <v>43190</v>
      </c>
      <c r="D30" t="s">
        <v>1320</v>
      </c>
      <c r="E30" s="1031" t="s">
        <v>1331</v>
      </c>
      <c r="G30" s="1025" t="s">
        <v>1343</v>
      </c>
      <c r="H30" t="s">
        <v>1309</v>
      </c>
      <c r="I30" s="1029">
        <v>43210</v>
      </c>
      <c r="J30" s="1029">
        <v>43190</v>
      </c>
      <c r="K30" s="1025" t="s">
        <v>1344</v>
      </c>
    </row>
    <row r="31" spans="1:11" ht="30.75" customHeight="1" x14ac:dyDescent="0.25">
      <c r="A31">
        <v>2018</v>
      </c>
      <c r="B31" s="1029">
        <v>43101</v>
      </c>
      <c r="C31" s="1029">
        <v>43190</v>
      </c>
      <c r="D31" t="s">
        <v>1320</v>
      </c>
      <c r="E31" s="1031" t="s">
        <v>1332</v>
      </c>
      <c r="G31" s="1025" t="s">
        <v>1343</v>
      </c>
      <c r="H31" t="s">
        <v>1309</v>
      </c>
      <c r="I31" s="1029">
        <v>43210</v>
      </c>
      <c r="J31" s="1029">
        <v>43190</v>
      </c>
      <c r="K31" s="1025" t="s">
        <v>1344</v>
      </c>
    </row>
    <row r="32" spans="1:11" ht="33" customHeight="1" x14ac:dyDescent="0.25">
      <c r="A32">
        <v>2018</v>
      </c>
      <c r="B32" s="1029">
        <v>43101</v>
      </c>
      <c r="C32" s="1029">
        <v>43190</v>
      </c>
      <c r="D32" t="s">
        <v>1320</v>
      </c>
      <c r="E32" s="1031" t="s">
        <v>1333</v>
      </c>
      <c r="G32" s="1025" t="s">
        <v>1343</v>
      </c>
      <c r="H32" t="s">
        <v>1309</v>
      </c>
      <c r="I32" s="1029">
        <v>43210</v>
      </c>
      <c r="J32" s="1029">
        <v>43190</v>
      </c>
      <c r="K32" s="1025" t="s">
        <v>1344</v>
      </c>
    </row>
    <row r="33" spans="1:11" ht="38.25" customHeight="1" x14ac:dyDescent="0.25">
      <c r="A33">
        <v>2018</v>
      </c>
      <c r="B33" s="1029">
        <v>43101</v>
      </c>
      <c r="C33" s="1029">
        <v>43190</v>
      </c>
      <c r="D33" t="s">
        <v>1320</v>
      </c>
      <c r="E33" s="1031" t="s">
        <v>1334</v>
      </c>
      <c r="G33" s="1025" t="s">
        <v>1343</v>
      </c>
      <c r="H33" t="s">
        <v>1309</v>
      </c>
      <c r="I33" s="1029">
        <v>43210</v>
      </c>
      <c r="J33" s="1029">
        <v>43190</v>
      </c>
      <c r="K33" s="1025" t="s">
        <v>1344</v>
      </c>
    </row>
    <row r="34" spans="1:11" ht="22.5" customHeight="1" x14ac:dyDescent="0.25">
      <c r="A34">
        <v>2018</v>
      </c>
      <c r="B34" s="1029">
        <v>43101</v>
      </c>
      <c r="C34" s="1029">
        <v>43190</v>
      </c>
      <c r="D34" t="s">
        <v>1320</v>
      </c>
      <c r="E34" s="1031" t="s">
        <v>1335</v>
      </c>
      <c r="G34" s="1025" t="s">
        <v>1343</v>
      </c>
      <c r="H34" t="s">
        <v>1309</v>
      </c>
      <c r="I34" s="1029">
        <v>43210</v>
      </c>
      <c r="J34" s="1029">
        <v>43190</v>
      </c>
      <c r="K34" s="1025" t="s">
        <v>1344</v>
      </c>
    </row>
    <row r="35" spans="1:11" ht="15" customHeight="1" x14ac:dyDescent="0.25">
      <c r="A35">
        <v>2018</v>
      </c>
      <c r="B35" s="1029">
        <v>43101</v>
      </c>
      <c r="C35" s="1029">
        <v>43190</v>
      </c>
      <c r="D35" t="s">
        <v>1320</v>
      </c>
      <c r="E35" s="1031" t="s">
        <v>1336</v>
      </c>
      <c r="G35" s="1025" t="s">
        <v>1343</v>
      </c>
      <c r="H35" t="s">
        <v>1309</v>
      </c>
      <c r="I35" s="1029">
        <v>43210</v>
      </c>
      <c r="J35" s="1029">
        <v>43190</v>
      </c>
      <c r="K35" s="1025" t="s">
        <v>1344</v>
      </c>
    </row>
    <row r="36" spans="1:11" ht="15" customHeight="1" x14ac:dyDescent="0.25">
      <c r="A36">
        <v>2018</v>
      </c>
      <c r="B36" s="1029">
        <v>43101</v>
      </c>
      <c r="C36" s="1029">
        <v>43190</v>
      </c>
      <c r="D36" t="s">
        <v>1320</v>
      </c>
      <c r="E36" s="1031" t="s">
        <v>1337</v>
      </c>
      <c r="G36" s="1025" t="s">
        <v>1343</v>
      </c>
      <c r="H36" t="s">
        <v>1309</v>
      </c>
      <c r="I36" s="1029">
        <v>43210</v>
      </c>
      <c r="J36" s="1029">
        <v>43190</v>
      </c>
      <c r="K36" s="1025" t="s">
        <v>1344</v>
      </c>
    </row>
    <row r="37" spans="1:11" x14ac:dyDescent="0.25">
      <c r="A37">
        <v>2018</v>
      </c>
      <c r="B37" s="1029">
        <v>43101</v>
      </c>
      <c r="C37" s="1029">
        <v>43190</v>
      </c>
      <c r="D37" t="s">
        <v>1320</v>
      </c>
      <c r="E37" s="1032" t="s">
        <v>898</v>
      </c>
      <c r="G37" s="1025" t="s">
        <v>1343</v>
      </c>
      <c r="H37" t="s">
        <v>1309</v>
      </c>
      <c r="I37" s="1029">
        <v>43210</v>
      </c>
      <c r="J37" s="1029">
        <v>43190</v>
      </c>
      <c r="K37" s="1025" t="s">
        <v>1344</v>
      </c>
    </row>
    <row r="38" spans="1:11" x14ac:dyDescent="0.25">
      <c r="A38">
        <v>2018</v>
      </c>
      <c r="B38" s="1029">
        <v>43101</v>
      </c>
      <c r="C38" s="1029">
        <v>43190</v>
      </c>
      <c r="D38" t="s">
        <v>1338</v>
      </c>
      <c r="E38" s="1031" t="s">
        <v>1339</v>
      </c>
      <c r="G38" s="1025" t="s">
        <v>1343</v>
      </c>
      <c r="H38" t="s">
        <v>1309</v>
      </c>
      <c r="I38" s="1029">
        <v>43210</v>
      </c>
      <c r="J38" s="1029">
        <v>43190</v>
      </c>
      <c r="K38" s="1025" t="s">
        <v>1344</v>
      </c>
    </row>
    <row r="39" spans="1:11" x14ac:dyDescent="0.25">
      <c r="A39">
        <v>2018</v>
      </c>
      <c r="B39" s="1029">
        <v>43101</v>
      </c>
      <c r="C39" s="1029">
        <v>43190</v>
      </c>
      <c r="D39" t="s">
        <v>1338</v>
      </c>
      <c r="E39" s="1031" t="s">
        <v>1340</v>
      </c>
      <c r="G39" s="1025" t="s">
        <v>1343</v>
      </c>
      <c r="H39" t="s">
        <v>1309</v>
      </c>
      <c r="I39" s="1029">
        <v>43210</v>
      </c>
      <c r="J39" s="1029">
        <v>43190</v>
      </c>
      <c r="K39" s="1025" t="s">
        <v>1344</v>
      </c>
    </row>
    <row r="40" spans="1:11" x14ac:dyDescent="0.25">
      <c r="A40">
        <v>2018</v>
      </c>
      <c r="B40" s="1029">
        <v>43101</v>
      </c>
      <c r="C40" s="1029">
        <v>43190</v>
      </c>
      <c r="D40" t="s">
        <v>1338</v>
      </c>
      <c r="E40" s="1031" t="s">
        <v>1341</v>
      </c>
      <c r="G40" s="1025" t="s">
        <v>1343</v>
      </c>
      <c r="H40" t="s">
        <v>1309</v>
      </c>
      <c r="I40" s="1029">
        <v>43210</v>
      </c>
      <c r="J40" s="1029">
        <v>43190</v>
      </c>
      <c r="K40" s="1025" t="s">
        <v>1344</v>
      </c>
    </row>
    <row r="41" spans="1:11" x14ac:dyDescent="0.25">
      <c r="A41">
        <v>2018</v>
      </c>
      <c r="B41" s="1029">
        <v>43101</v>
      </c>
      <c r="C41" s="1029">
        <v>43190</v>
      </c>
      <c r="D41" t="s">
        <v>1338</v>
      </c>
      <c r="E41" s="1031" t="s">
        <v>1072</v>
      </c>
      <c r="G41" s="1025" t="s">
        <v>1343</v>
      </c>
      <c r="H41" t="s">
        <v>1309</v>
      </c>
      <c r="I41" s="1029">
        <v>43210</v>
      </c>
      <c r="J41" s="1029">
        <v>43190</v>
      </c>
      <c r="K41" s="1025" t="s">
        <v>1344</v>
      </c>
    </row>
    <row r="42" spans="1:11" x14ac:dyDescent="0.25">
      <c r="A42">
        <v>2018</v>
      </c>
      <c r="B42" s="1029">
        <v>43101</v>
      </c>
      <c r="C42" s="1029">
        <v>43190</v>
      </c>
      <c r="E42" s="1033" t="s">
        <v>18</v>
      </c>
      <c r="F42" s="1032"/>
      <c r="G42" s="1025" t="s">
        <v>1343</v>
      </c>
      <c r="H42" s="1025" t="s">
        <v>1309</v>
      </c>
      <c r="I42" s="1029">
        <v>43210</v>
      </c>
      <c r="J42" s="1029">
        <v>43190</v>
      </c>
      <c r="K42" s="1025" t="s">
        <v>1344</v>
      </c>
    </row>
    <row r="43" spans="1:11" x14ac:dyDescent="0.25">
      <c r="A43">
        <v>2018</v>
      </c>
      <c r="B43" s="1029">
        <v>43101</v>
      </c>
      <c r="C43" s="1029">
        <v>43190</v>
      </c>
      <c r="E43" s="1037" t="s">
        <v>19</v>
      </c>
      <c r="F43" s="1032"/>
      <c r="G43" s="1025" t="s">
        <v>1343</v>
      </c>
      <c r="H43" s="1025" t="s">
        <v>1309</v>
      </c>
      <c r="I43" s="1029">
        <v>43210</v>
      </c>
      <c r="J43" s="1029">
        <v>43190</v>
      </c>
      <c r="K43" s="1025" t="s">
        <v>1344</v>
      </c>
    </row>
    <row r="44" spans="1:11" x14ac:dyDescent="0.25">
      <c r="A44">
        <v>2018</v>
      </c>
      <c r="B44" s="1029">
        <v>43101</v>
      </c>
      <c r="C44" s="1029">
        <v>43190</v>
      </c>
      <c r="E44" s="1033" t="s">
        <v>20</v>
      </c>
      <c r="F44" s="1032"/>
      <c r="G44" s="1025" t="s">
        <v>1343</v>
      </c>
      <c r="H44" s="1025" t="s">
        <v>1309</v>
      </c>
      <c r="I44" s="1029">
        <v>43210</v>
      </c>
      <c r="J44" s="1029">
        <v>43190</v>
      </c>
      <c r="K44" s="1025" t="s">
        <v>1344</v>
      </c>
    </row>
    <row r="45" spans="1:11" x14ac:dyDescent="0.25">
      <c r="A45">
        <v>2018</v>
      </c>
      <c r="B45" s="1029">
        <v>43101</v>
      </c>
      <c r="C45" s="1029">
        <v>43190</v>
      </c>
      <c r="E45" s="1033" t="s">
        <v>21</v>
      </c>
      <c r="F45" s="1034"/>
      <c r="G45" s="1025" t="s">
        <v>1343</v>
      </c>
      <c r="H45" s="1025" t="s">
        <v>1309</v>
      </c>
      <c r="I45" s="1029">
        <v>43210</v>
      </c>
      <c r="J45" s="1029">
        <v>43190</v>
      </c>
      <c r="K45" s="1025" t="s">
        <v>1344</v>
      </c>
    </row>
    <row r="46" spans="1:11" x14ac:dyDescent="0.25">
      <c r="A46">
        <v>2018</v>
      </c>
      <c r="B46" s="1029">
        <v>43101</v>
      </c>
      <c r="C46" s="1029">
        <v>43190</v>
      </c>
      <c r="E46" s="1033" t="s">
        <v>22</v>
      </c>
      <c r="F46" s="1032"/>
      <c r="G46" s="1025" t="s">
        <v>1343</v>
      </c>
      <c r="H46" s="1025" t="s">
        <v>1309</v>
      </c>
      <c r="I46" s="1029">
        <v>43210</v>
      </c>
      <c r="J46" s="1029">
        <v>43190</v>
      </c>
      <c r="K46" s="1025" t="s">
        <v>1344</v>
      </c>
    </row>
    <row r="47" spans="1:11" x14ac:dyDescent="0.25">
      <c r="A47">
        <v>2018</v>
      </c>
      <c r="B47" s="1029">
        <v>43101</v>
      </c>
      <c r="C47" s="1029">
        <v>43190</v>
      </c>
      <c r="E47" s="1033" t="s">
        <v>24</v>
      </c>
      <c r="F47" s="1032"/>
      <c r="G47" s="1025" t="s">
        <v>1343</v>
      </c>
      <c r="H47" s="1025" t="s">
        <v>1309</v>
      </c>
      <c r="I47" s="1029">
        <v>43210</v>
      </c>
      <c r="J47" s="1029">
        <v>43190</v>
      </c>
      <c r="K47" s="1025" t="s">
        <v>1344</v>
      </c>
    </row>
    <row r="48" spans="1:11" x14ac:dyDescent="0.25">
      <c r="A48">
        <v>2018</v>
      </c>
      <c r="B48" s="1029">
        <v>43101</v>
      </c>
      <c r="C48" s="1029">
        <v>43190</v>
      </c>
      <c r="E48" s="1033" t="s">
        <v>1342</v>
      </c>
      <c r="F48" s="1032"/>
      <c r="G48" s="1025" t="s">
        <v>1343</v>
      </c>
      <c r="H48" s="1025" t="s">
        <v>1309</v>
      </c>
      <c r="I48" s="1029">
        <v>43210</v>
      </c>
      <c r="J48" s="1029">
        <v>43190</v>
      </c>
      <c r="K48" s="1025" t="s">
        <v>1344</v>
      </c>
    </row>
    <row r="49" spans="5:6" ht="23.25" x14ac:dyDescent="0.35">
      <c r="E49" s="1035"/>
      <c r="F49" s="1032"/>
    </row>
    <row r="50" spans="5:6" ht="23.25" x14ac:dyDescent="0.35">
      <c r="E50" s="1035"/>
      <c r="F50" s="1032"/>
    </row>
    <row r="51" spans="5:6" ht="23.25" x14ac:dyDescent="0.35">
      <c r="E51" s="1035"/>
      <c r="F51" s="1032"/>
    </row>
    <row r="52" spans="5:6" ht="23.25" x14ac:dyDescent="0.35">
      <c r="E52" s="1035"/>
      <c r="F52" s="1032"/>
    </row>
    <row r="53" spans="5:6" x14ac:dyDescent="0.25">
      <c r="E53" s="1036"/>
      <c r="F53" s="1036"/>
    </row>
    <row r="54" spans="5:6" x14ac:dyDescent="0.25">
      <c r="E54" s="1036"/>
      <c r="F54" s="103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F37" sqref="F37"/>
    </sheetView>
  </sheetViews>
  <sheetFormatPr baseColWidth="10" defaultColWidth="11.28515625" defaultRowHeight="16.5" x14ac:dyDescent="0.3"/>
  <cols>
    <col min="1" max="1" width="2.140625" style="86" customWidth="1"/>
    <col min="2" max="2" width="28.28515625" style="86" customWidth="1"/>
    <col min="3" max="6" width="16.7109375" style="86" customWidth="1"/>
    <col min="7" max="7" width="79" style="86" customWidth="1"/>
    <col min="8" max="16384" width="11.28515625" style="86"/>
  </cols>
  <sheetData>
    <row r="1" spans="1:7" s="103" customFormat="1" ht="18" x14ac:dyDescent="0.25">
      <c r="A1" s="1067" t="s">
        <v>25</v>
      </c>
      <c r="B1" s="1067"/>
      <c r="C1" s="1067"/>
      <c r="D1" s="1067"/>
      <c r="E1" s="1067"/>
      <c r="F1" s="1067"/>
      <c r="G1" s="398"/>
    </row>
    <row r="2" spans="1:7" s="142" customFormat="1" ht="15.75" x14ac:dyDescent="0.25">
      <c r="A2" s="1067" t="s">
        <v>6</v>
      </c>
      <c r="B2" s="1067"/>
      <c r="C2" s="1067"/>
      <c r="D2" s="1067"/>
      <c r="E2" s="1067"/>
      <c r="F2" s="1067"/>
    </row>
    <row r="3" spans="1:7" s="142" customFormat="1" ht="15.75" x14ac:dyDescent="0.25">
      <c r="A3" s="1068" t="str">
        <f>'ETCA-I-01'!A3</f>
        <v>Centro de Evaluacion y Control de Confianza del Estado de Sonora</v>
      </c>
      <c r="B3" s="1068"/>
      <c r="C3" s="1068"/>
      <c r="D3" s="1068"/>
      <c r="E3" s="1068"/>
      <c r="F3" s="1068"/>
    </row>
    <row r="4" spans="1:7" s="142" customFormat="1" x14ac:dyDescent="0.25">
      <c r="A4" s="1069" t="str">
        <f>'ETCA-I-03'!A4:D4</f>
        <v>Del 01 de Enero  al 31 de Marzo de 2018</v>
      </c>
      <c r="B4" s="1069"/>
      <c r="C4" s="1069"/>
      <c r="D4" s="1069"/>
      <c r="E4" s="1069"/>
      <c r="F4" s="1069"/>
    </row>
    <row r="5" spans="1:7" s="144" customFormat="1" ht="17.25" thickBot="1" x14ac:dyDescent="0.3">
      <c r="A5" s="143"/>
      <c r="B5" s="143"/>
      <c r="C5" s="1070" t="s">
        <v>305</v>
      </c>
      <c r="D5" s="1070"/>
      <c r="E5" s="45"/>
      <c r="F5" s="143"/>
    </row>
    <row r="6" spans="1:7" s="152" customFormat="1" ht="37.5" customHeight="1" thickBot="1" x14ac:dyDescent="0.35">
      <c r="A6" s="1081" t="s">
        <v>306</v>
      </c>
      <c r="B6" s="1082"/>
      <c r="C6" s="150" t="s">
        <v>307</v>
      </c>
      <c r="D6" s="150" t="s">
        <v>308</v>
      </c>
      <c r="E6" s="150" t="s">
        <v>309</v>
      </c>
      <c r="F6" s="151" t="s">
        <v>310</v>
      </c>
    </row>
    <row r="7" spans="1:7" x14ac:dyDescent="0.3">
      <c r="A7" s="1075"/>
      <c r="B7" s="1076"/>
      <c r="C7" s="153"/>
      <c r="D7" s="153"/>
      <c r="E7" s="154"/>
      <c r="F7" s="155"/>
    </row>
    <row r="8" spans="1:7" x14ac:dyDescent="0.3">
      <c r="A8" s="1077" t="s">
        <v>311</v>
      </c>
      <c r="B8" s="1078"/>
      <c r="C8" s="156"/>
      <c r="D8" s="156"/>
      <c r="E8" s="156"/>
      <c r="F8" s="157"/>
    </row>
    <row r="9" spans="1:7" x14ac:dyDescent="0.3">
      <c r="A9" s="1079" t="s">
        <v>312</v>
      </c>
      <c r="B9" s="1080"/>
      <c r="C9" s="156"/>
      <c r="D9" s="156"/>
      <c r="E9" s="156"/>
      <c r="F9" s="157"/>
    </row>
    <row r="10" spans="1:7" x14ac:dyDescent="0.3">
      <c r="A10" s="1071" t="s">
        <v>313</v>
      </c>
      <c r="B10" s="1072"/>
      <c r="C10" s="158"/>
      <c r="D10" s="158"/>
      <c r="E10" s="171">
        <f>SUM(E11:E13)</f>
        <v>0</v>
      </c>
      <c r="F10" s="172">
        <f>SUM(F11:F13)</f>
        <v>0</v>
      </c>
    </row>
    <row r="11" spans="1:7" x14ac:dyDescent="0.3">
      <c r="A11" s="711"/>
      <c r="B11" s="160" t="s">
        <v>314</v>
      </c>
      <c r="C11" s="158"/>
      <c r="D11" s="158"/>
      <c r="E11" s="158">
        <v>0</v>
      </c>
      <c r="F11" s="159">
        <v>0</v>
      </c>
    </row>
    <row r="12" spans="1:7" x14ac:dyDescent="0.3">
      <c r="A12" s="161"/>
      <c r="B12" s="160" t="s">
        <v>315</v>
      </c>
      <c r="C12" s="162"/>
      <c r="D12" s="162"/>
      <c r="E12" s="162"/>
      <c r="F12" s="163"/>
    </row>
    <row r="13" spans="1:7" x14ac:dyDescent="0.3">
      <c r="A13" s="161"/>
      <c r="B13" s="160" t="s">
        <v>316</v>
      </c>
      <c r="C13" s="162"/>
      <c r="D13" s="162"/>
      <c r="E13" s="162"/>
      <c r="F13" s="163"/>
    </row>
    <row r="14" spans="1:7" x14ac:dyDescent="0.3">
      <c r="A14" s="161"/>
      <c r="B14" s="164"/>
      <c r="C14" s="162"/>
      <c r="D14" s="162"/>
      <c r="E14" s="162"/>
      <c r="F14" s="163"/>
    </row>
    <row r="15" spans="1:7" x14ac:dyDescent="0.3">
      <c r="A15" s="1071" t="s">
        <v>317</v>
      </c>
      <c r="B15" s="1072"/>
      <c r="C15" s="158"/>
      <c r="D15" s="158"/>
      <c r="E15" s="171">
        <f>SUM(E16:E19)</f>
        <v>0</v>
      </c>
      <c r="F15" s="172">
        <f>SUM(F16:F19)</f>
        <v>0</v>
      </c>
    </row>
    <row r="16" spans="1:7" x14ac:dyDescent="0.3">
      <c r="A16" s="161"/>
      <c r="B16" s="160" t="s">
        <v>318</v>
      </c>
      <c r="C16" s="162"/>
      <c r="D16" s="162"/>
      <c r="E16" s="162">
        <v>0</v>
      </c>
      <c r="F16" s="163"/>
    </row>
    <row r="17" spans="1:7" x14ac:dyDescent="0.3">
      <c r="A17" s="711"/>
      <c r="B17" s="160" t="s">
        <v>319</v>
      </c>
      <c r="C17" s="162"/>
      <c r="D17" s="162"/>
      <c r="E17" s="162"/>
      <c r="F17" s="163"/>
    </row>
    <row r="18" spans="1:7" x14ac:dyDescent="0.3">
      <c r="A18" s="711"/>
      <c r="B18" s="160" t="s">
        <v>315</v>
      </c>
      <c r="C18" s="158"/>
      <c r="D18" s="158"/>
      <c r="E18" s="158"/>
      <c r="F18" s="159"/>
    </row>
    <row r="19" spans="1:7" x14ac:dyDescent="0.3">
      <c r="A19" s="161"/>
      <c r="B19" s="160" t="s">
        <v>316</v>
      </c>
      <c r="C19" s="162"/>
      <c r="D19" s="162"/>
      <c r="E19" s="162"/>
      <c r="F19" s="163"/>
    </row>
    <row r="20" spans="1:7" x14ac:dyDescent="0.3">
      <c r="A20" s="711"/>
      <c r="B20" s="712"/>
      <c r="C20" s="158"/>
      <c r="D20" s="158"/>
      <c r="E20" s="158"/>
      <c r="F20" s="159"/>
    </row>
    <row r="21" spans="1:7" x14ac:dyDescent="0.3">
      <c r="A21" s="165"/>
      <c r="B21" s="166" t="s">
        <v>320</v>
      </c>
      <c r="C21" s="156"/>
      <c r="D21" s="156"/>
      <c r="E21" s="173">
        <f>E10+E15</f>
        <v>0</v>
      </c>
      <c r="F21" s="174">
        <f>F10+F15</f>
        <v>0</v>
      </c>
      <c r="G21" s="296"/>
    </row>
    <row r="22" spans="1:7" x14ac:dyDescent="0.3">
      <c r="A22" s="165"/>
      <c r="B22" s="166"/>
      <c r="C22" s="167"/>
      <c r="D22" s="167"/>
      <c r="E22" s="167"/>
      <c r="F22" s="168"/>
    </row>
    <row r="23" spans="1:7" x14ac:dyDescent="0.3">
      <c r="A23" s="1079" t="s">
        <v>321</v>
      </c>
      <c r="B23" s="1080"/>
      <c r="C23" s="156"/>
      <c r="D23" s="156"/>
      <c r="E23" s="156"/>
      <c r="F23" s="157"/>
    </row>
    <row r="24" spans="1:7" x14ac:dyDescent="0.3">
      <c r="A24" s="1071" t="s">
        <v>313</v>
      </c>
      <c r="B24" s="1072"/>
      <c r="C24" s="158"/>
      <c r="D24" s="158"/>
      <c r="E24" s="171">
        <f>SUM(E25:E27)</f>
        <v>0</v>
      </c>
      <c r="F24" s="172">
        <f>SUM(F25:F27)</f>
        <v>0</v>
      </c>
    </row>
    <row r="25" spans="1:7" x14ac:dyDescent="0.3">
      <c r="A25" s="711"/>
      <c r="B25" s="160" t="s">
        <v>314</v>
      </c>
      <c r="C25" s="158"/>
      <c r="D25" s="158"/>
      <c r="E25" s="158"/>
      <c r="F25" s="159"/>
    </row>
    <row r="26" spans="1:7" x14ac:dyDescent="0.3">
      <c r="A26" s="161"/>
      <c r="B26" s="160" t="s">
        <v>315</v>
      </c>
      <c r="C26" s="162"/>
      <c r="D26" s="162"/>
      <c r="E26" s="162"/>
      <c r="F26" s="163"/>
    </row>
    <row r="27" spans="1:7" x14ac:dyDescent="0.3">
      <c r="A27" s="161"/>
      <c r="B27" s="160" t="s">
        <v>316</v>
      </c>
      <c r="C27" s="162"/>
      <c r="D27" s="162"/>
      <c r="E27" s="162"/>
      <c r="F27" s="163"/>
    </row>
    <row r="28" spans="1:7" x14ac:dyDescent="0.3">
      <c r="A28" s="161"/>
      <c r="B28" s="164"/>
      <c r="C28" s="162"/>
      <c r="D28" s="162"/>
      <c r="E28" s="162"/>
      <c r="F28" s="163"/>
    </row>
    <row r="29" spans="1:7" x14ac:dyDescent="0.3">
      <c r="A29" s="1071" t="s">
        <v>317</v>
      </c>
      <c r="B29" s="1072"/>
      <c r="C29" s="158"/>
      <c r="D29" s="158"/>
      <c r="E29" s="171">
        <f>SUM(E30:E33)</f>
        <v>0</v>
      </c>
      <c r="F29" s="172">
        <f>SUM(F30:F33)</f>
        <v>0</v>
      </c>
    </row>
    <row r="30" spans="1:7" x14ac:dyDescent="0.3">
      <c r="A30" s="161"/>
      <c r="B30" s="160" t="s">
        <v>318</v>
      </c>
      <c r="C30" s="162"/>
      <c r="D30" s="162"/>
      <c r="E30" s="162"/>
      <c r="F30" s="163"/>
    </row>
    <row r="31" spans="1:7" x14ac:dyDescent="0.3">
      <c r="A31" s="711"/>
      <c r="B31" s="160" t="s">
        <v>319</v>
      </c>
      <c r="C31" s="162"/>
      <c r="D31" s="162"/>
      <c r="E31" s="162"/>
      <c r="F31" s="163"/>
    </row>
    <row r="32" spans="1:7" x14ac:dyDescent="0.3">
      <c r="A32" s="711"/>
      <c r="B32" s="160" t="s">
        <v>315</v>
      </c>
      <c r="C32" s="158"/>
      <c r="D32" s="158"/>
      <c r="E32" s="158"/>
      <c r="F32" s="159"/>
    </row>
    <row r="33" spans="1:7" x14ac:dyDescent="0.3">
      <c r="A33" s="161"/>
      <c r="B33" s="160" t="s">
        <v>316</v>
      </c>
      <c r="C33" s="162"/>
      <c r="D33" s="162"/>
      <c r="E33" s="162"/>
      <c r="F33" s="163"/>
    </row>
    <row r="34" spans="1:7" x14ac:dyDescent="0.3">
      <c r="A34" s="711"/>
      <c r="B34" s="712"/>
      <c r="C34" s="158"/>
      <c r="D34" s="158"/>
      <c r="E34" s="158"/>
      <c r="F34" s="159"/>
    </row>
    <row r="35" spans="1:7" x14ac:dyDescent="0.3">
      <c r="A35" s="165"/>
      <c r="B35" s="166" t="s">
        <v>322</v>
      </c>
      <c r="C35" s="156"/>
      <c r="D35" s="156"/>
      <c r="E35" s="173">
        <f>E24+E29</f>
        <v>0</v>
      </c>
      <c r="F35" s="174">
        <f>F24+F29</f>
        <v>0</v>
      </c>
      <c r="G35" s="296"/>
    </row>
    <row r="36" spans="1:7" x14ac:dyDescent="0.3">
      <c r="A36" s="161"/>
      <c r="B36" s="164"/>
      <c r="C36" s="162"/>
      <c r="D36" s="162"/>
      <c r="E36" s="162"/>
      <c r="F36" s="163"/>
    </row>
    <row r="37" spans="1:7" x14ac:dyDescent="0.3">
      <c r="A37" s="161"/>
      <c r="B37" s="160" t="s">
        <v>323</v>
      </c>
      <c r="C37" s="162" t="s">
        <v>1097</v>
      </c>
      <c r="D37" s="162" t="s">
        <v>1098</v>
      </c>
      <c r="E37" s="162">
        <v>645460.89999999991</v>
      </c>
      <c r="F37" s="163">
        <f>'ETCA-I-01'!F33</f>
        <v>1065494.44</v>
      </c>
    </row>
    <row r="38" spans="1:7" x14ac:dyDescent="0.3">
      <c r="A38" s="161"/>
      <c r="B38" s="164"/>
      <c r="C38" s="162"/>
      <c r="D38" s="162"/>
      <c r="E38" s="162"/>
      <c r="F38" s="163"/>
    </row>
    <row r="39" spans="1:7" x14ac:dyDescent="0.3">
      <c r="A39" s="711"/>
      <c r="B39" s="712" t="s">
        <v>324</v>
      </c>
      <c r="C39" s="156"/>
      <c r="D39" s="156"/>
      <c r="E39" s="173">
        <f>E37+E35+E21</f>
        <v>645460.89999999991</v>
      </c>
      <c r="F39" s="174">
        <f>F37+F35+F21</f>
        <v>1065494.44</v>
      </c>
      <c r="G39" s="296" t="str">
        <f>IF((F39-'ETCA-I-01'!F33)&gt;0.9,"ERROR!!!!!, NO COINCIDE CON LO REPORTADO EN EL ETCA-I-01 EN EL MISMO RUBRO","")</f>
        <v/>
      </c>
    </row>
    <row r="40" spans="1:7" ht="5.25" customHeight="1" thickBot="1" x14ac:dyDescent="0.35">
      <c r="A40" s="1073"/>
      <c r="B40" s="1074"/>
      <c r="C40" s="169"/>
      <c r="D40" s="169"/>
      <c r="E40" s="169"/>
      <c r="F40" s="170"/>
    </row>
    <row r="41" spans="1:7" ht="11.1" customHeight="1" x14ac:dyDescent="0.3">
      <c r="A41" s="102" t="s">
        <v>257</v>
      </c>
      <c r="F41" s="423"/>
    </row>
    <row r="42" spans="1:7" ht="11.1" customHeight="1" x14ac:dyDescent="0.3">
      <c r="A42" s="102"/>
      <c r="F42" s="423"/>
    </row>
    <row r="43" spans="1:7" ht="11.1" customHeight="1" x14ac:dyDescent="0.3">
      <c r="A43" s="102"/>
      <c r="F43" s="423"/>
    </row>
    <row r="44" spans="1:7" ht="11.1" customHeight="1" x14ac:dyDescent="0.3">
      <c r="A44" s="423"/>
      <c r="B44" s="423"/>
      <c r="C44" s="423"/>
      <c r="D44" s="423"/>
      <c r="E44" s="423"/>
      <c r="F44" s="423"/>
    </row>
    <row r="45" spans="1:7" ht="11.1" customHeight="1" x14ac:dyDescent="0.3">
      <c r="A45" s="423"/>
      <c r="B45" s="423"/>
      <c r="C45" s="423"/>
      <c r="D45" s="423"/>
      <c r="E45" s="423"/>
      <c r="F45" s="423"/>
    </row>
    <row r="46" spans="1:7" ht="11.1" customHeight="1" x14ac:dyDescent="0.3">
      <c r="A46" s="423"/>
      <c r="B46" s="423" t="s">
        <v>258</v>
      </c>
      <c r="C46" s="720"/>
      <c r="D46" s="423"/>
      <c r="E46" s="423"/>
      <c r="F46" s="423"/>
    </row>
    <row r="47" spans="1:7" ht="11.1" customHeight="1" x14ac:dyDescent="0.3">
      <c r="A47" s="423"/>
      <c r="B47" s="423"/>
      <c r="C47" s="720"/>
      <c r="D47" s="423"/>
      <c r="E47" s="423"/>
      <c r="F47" s="423"/>
    </row>
    <row r="48" spans="1:7" x14ac:dyDescent="0.3">
      <c r="A48" s="421" t="s">
        <v>258</v>
      </c>
      <c r="B48" s="421"/>
      <c r="C48" s="720"/>
      <c r="D48" s="421"/>
      <c r="E48" s="421"/>
      <c r="F48" s="421"/>
    </row>
  </sheetData>
  <mergeCells count="15">
    <mergeCell ref="A6:B6"/>
    <mergeCell ref="A1:F1"/>
    <mergeCell ref="A2:F2"/>
    <mergeCell ref="A3:F3"/>
    <mergeCell ref="A4:F4"/>
    <mergeCell ref="C5:D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" right="0.7" top="0.75" bottom="0.75" header="0.3" footer="0.3"/>
  <pageSetup scale="86" orientation="portrait" r:id="rId1"/>
  <colBreaks count="1" manualBreakCount="1">
    <brk id="6" max="49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="60" zoomScaleNormal="100" workbookViewId="0">
      <selection activeCell="F13" sqref="F13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1049" t="s">
        <v>25</v>
      </c>
      <c r="B1" s="1049"/>
      <c r="C1" s="1049"/>
      <c r="D1" s="1049"/>
      <c r="E1" s="1049"/>
      <c r="F1" s="1049"/>
      <c r="G1" s="1049"/>
      <c r="H1" s="1049"/>
      <c r="I1" s="1049"/>
    </row>
    <row r="2" spans="1:10" ht="15.75" customHeight="1" x14ac:dyDescent="0.25">
      <c r="A2" s="1050" t="s">
        <v>325</v>
      </c>
      <c r="B2" s="1050"/>
      <c r="C2" s="1050"/>
      <c r="D2" s="1050"/>
      <c r="E2" s="1050"/>
      <c r="F2" s="1050"/>
      <c r="G2" s="1050"/>
      <c r="H2" s="1050"/>
      <c r="I2" s="1050"/>
    </row>
    <row r="3" spans="1:10" s="44" customFormat="1" ht="16.5" x14ac:dyDescent="0.3">
      <c r="A3" s="1050" t="str">
        <f>'ETCA-I-01'!A3:G3</f>
        <v>Centro de Evaluacion y Control de Confianza del Estado de Sonora</v>
      </c>
      <c r="B3" s="1050"/>
      <c r="C3" s="1050"/>
      <c r="D3" s="1050"/>
      <c r="E3" s="1050"/>
      <c r="F3" s="1050"/>
      <c r="G3" s="1050"/>
      <c r="H3" s="1050"/>
      <c r="I3" s="1050"/>
    </row>
    <row r="4" spans="1:10" ht="15" customHeight="1" x14ac:dyDescent="0.25">
      <c r="A4" s="1085" t="str">
        <f>'ETCA-I-03'!A4:D4</f>
        <v>Del 01 de Enero  al 31 de Marzo de 2018</v>
      </c>
      <c r="B4" s="1085"/>
      <c r="C4" s="1085"/>
      <c r="D4" s="1085"/>
      <c r="E4" s="1085"/>
      <c r="F4" s="1085"/>
      <c r="G4" s="1085"/>
      <c r="H4" s="1085"/>
      <c r="I4" s="1085"/>
    </row>
    <row r="5" spans="1:10" ht="15.75" customHeight="1" thickBot="1" x14ac:dyDescent="0.3">
      <c r="A5" s="1086" t="s">
        <v>89</v>
      </c>
      <c r="B5" s="1086"/>
      <c r="C5" s="1086"/>
      <c r="D5" s="1086"/>
      <c r="E5" s="1086"/>
      <c r="F5" s="1086"/>
      <c r="G5" s="1086"/>
      <c r="H5" s="1086"/>
      <c r="I5" s="1086"/>
    </row>
    <row r="6" spans="1:10" ht="24" customHeight="1" x14ac:dyDescent="0.25">
      <c r="A6" s="1087" t="s">
        <v>326</v>
      </c>
      <c r="B6" s="1088"/>
      <c r="C6" s="506" t="s">
        <v>327</v>
      </c>
      <c r="D6" s="1091" t="s">
        <v>328</v>
      </c>
      <c r="E6" s="1091" t="s">
        <v>329</v>
      </c>
      <c r="F6" s="1091" t="s">
        <v>330</v>
      </c>
      <c r="G6" s="506" t="s">
        <v>331</v>
      </c>
      <c r="H6" s="1091" t="s">
        <v>332</v>
      </c>
      <c r="I6" s="1091" t="s">
        <v>333</v>
      </c>
    </row>
    <row r="7" spans="1:10" ht="34.5" customHeight="1" thickBot="1" x14ac:dyDescent="0.3">
      <c r="A7" s="1089"/>
      <c r="B7" s="1090"/>
      <c r="C7" s="651" t="s">
        <v>1259</v>
      </c>
      <c r="D7" s="1092"/>
      <c r="E7" s="1092"/>
      <c r="F7" s="1092"/>
      <c r="G7" s="651" t="s">
        <v>334</v>
      </c>
      <c r="H7" s="1092"/>
      <c r="I7" s="1092"/>
    </row>
    <row r="8" spans="1:10" ht="5.25" customHeight="1" x14ac:dyDescent="0.25">
      <c r="A8" s="1093"/>
      <c r="B8" s="1094"/>
      <c r="C8" s="650"/>
      <c r="D8" s="650"/>
      <c r="E8" s="650"/>
      <c r="F8" s="650"/>
      <c r="G8" s="650"/>
      <c r="H8" s="650"/>
      <c r="I8" s="650"/>
    </row>
    <row r="9" spans="1:10" x14ac:dyDescent="0.25">
      <c r="A9" s="1083" t="s">
        <v>335</v>
      </c>
      <c r="B9" s="1084"/>
      <c r="C9" s="552">
        <f>C10+C14</f>
        <v>0</v>
      </c>
      <c r="D9" s="552">
        <f t="shared" ref="D9:I9" si="0">D10+D14</f>
        <v>0</v>
      </c>
      <c r="E9" s="552">
        <f t="shared" si="0"/>
        <v>0</v>
      </c>
      <c r="F9" s="552">
        <f t="shared" si="0"/>
        <v>0</v>
      </c>
      <c r="G9" s="552">
        <f>+C9+D9-E9+F9</f>
        <v>0</v>
      </c>
      <c r="H9" s="552">
        <f t="shared" si="0"/>
        <v>0</v>
      </c>
      <c r="I9" s="552">
        <f t="shared" si="0"/>
        <v>0</v>
      </c>
    </row>
    <row r="10" spans="1:10" ht="16.5" x14ac:dyDescent="0.25">
      <c r="A10" s="1083" t="s">
        <v>336</v>
      </c>
      <c r="B10" s="1084"/>
      <c r="C10" s="552">
        <f>SUM(C11:C13)</f>
        <v>0</v>
      </c>
      <c r="D10" s="552">
        <f t="shared" ref="D10:I10" si="1">SUM(D11:D13)</f>
        <v>0</v>
      </c>
      <c r="E10" s="552">
        <f t="shared" si="1"/>
        <v>0</v>
      </c>
      <c r="F10" s="552">
        <f t="shared" si="1"/>
        <v>0</v>
      </c>
      <c r="G10" s="552">
        <f t="shared" si="1"/>
        <v>0</v>
      </c>
      <c r="H10" s="552">
        <f t="shared" si="1"/>
        <v>0</v>
      </c>
      <c r="I10" s="552">
        <f t="shared" si="1"/>
        <v>0</v>
      </c>
      <c r="J10" s="390" t="str">
        <f>IF(C10&lt;&gt;'ETCA-I-08'!E21,"ERROR!!!!! NO CONCUERDA CON LO REPORTADO EN EL ESTADO ANALITICO  DE LA DEUDA Y OTROS PASIVOS","")</f>
        <v/>
      </c>
    </row>
    <row r="11" spans="1:10" ht="16.5" x14ac:dyDescent="0.25">
      <c r="A11" s="649"/>
      <c r="B11" s="653" t="s">
        <v>337</v>
      </c>
      <c r="C11" s="571">
        <v>0</v>
      </c>
      <c r="D11" s="571">
        <v>0</v>
      </c>
      <c r="E11" s="571">
        <v>0</v>
      </c>
      <c r="F11" s="571">
        <v>0</v>
      </c>
      <c r="G11" s="552">
        <f t="shared" ref="G11:G13" si="2">+C11+D11-E11+F11</f>
        <v>0</v>
      </c>
      <c r="H11" s="571">
        <v>0</v>
      </c>
      <c r="I11" s="571">
        <v>0</v>
      </c>
      <c r="J11" s="390" t="str">
        <f>IF(G10&lt;&gt;'ETCA-I-08'!F21,"ERROR!!!!! NO CONCUERDA CON LO REPORTADO EN EL ESTADO ANALITICO  DE LA DEUDA Y OTROS PASIVOS","")</f>
        <v/>
      </c>
    </row>
    <row r="12" spans="1:10" x14ac:dyDescent="0.25">
      <c r="A12" s="652"/>
      <c r="B12" s="653" t="s">
        <v>338</v>
      </c>
      <c r="C12" s="571">
        <v>0</v>
      </c>
      <c r="D12" s="571">
        <v>0</v>
      </c>
      <c r="E12" s="571">
        <v>0</v>
      </c>
      <c r="F12" s="571">
        <v>0</v>
      </c>
      <c r="G12" s="552">
        <f t="shared" si="2"/>
        <v>0</v>
      </c>
      <c r="H12" s="571">
        <v>0</v>
      </c>
      <c r="I12" s="571">
        <v>0</v>
      </c>
    </row>
    <row r="13" spans="1:10" x14ac:dyDescent="0.25">
      <c r="A13" s="652"/>
      <c r="B13" s="653" t="s">
        <v>339</v>
      </c>
      <c r="C13" s="571">
        <v>0</v>
      </c>
      <c r="D13" s="571">
        <v>0</v>
      </c>
      <c r="E13" s="571">
        <v>0</v>
      </c>
      <c r="F13" s="571">
        <v>0</v>
      </c>
      <c r="G13" s="552">
        <f t="shared" si="2"/>
        <v>0</v>
      </c>
      <c r="H13" s="571">
        <v>0</v>
      </c>
      <c r="I13" s="571">
        <v>0</v>
      </c>
    </row>
    <row r="14" spans="1:10" ht="16.5" x14ac:dyDescent="0.25">
      <c r="A14" s="1083" t="s">
        <v>340</v>
      </c>
      <c r="B14" s="1084"/>
      <c r="C14" s="552">
        <f t="shared" ref="C14:I14" si="3">SUM(C15:C17)</f>
        <v>0</v>
      </c>
      <c r="D14" s="552">
        <f t="shared" si="3"/>
        <v>0</v>
      </c>
      <c r="E14" s="552">
        <f t="shared" si="3"/>
        <v>0</v>
      </c>
      <c r="F14" s="552">
        <f t="shared" si="3"/>
        <v>0</v>
      </c>
      <c r="G14" s="552">
        <f t="shared" si="3"/>
        <v>0</v>
      </c>
      <c r="H14" s="552">
        <f t="shared" si="3"/>
        <v>0</v>
      </c>
      <c r="I14" s="552">
        <f t="shared" si="3"/>
        <v>0</v>
      </c>
      <c r="J14" s="390" t="str">
        <f>IF(C14&lt;&gt;'ETCA-I-08'!E35,"ERROR!!!!! NO CONCUERDA CON LO REPORTADO EN EL ESTADO ANALITICO DE LA DEUDA Y OTROS PASIVOS","")</f>
        <v/>
      </c>
    </row>
    <row r="15" spans="1:10" ht="16.5" x14ac:dyDescent="0.25">
      <c r="A15" s="649"/>
      <c r="B15" s="653" t="s">
        <v>341</v>
      </c>
      <c r="C15" s="571">
        <v>0</v>
      </c>
      <c r="D15" s="571">
        <v>0</v>
      </c>
      <c r="E15" s="571">
        <v>0</v>
      </c>
      <c r="F15" s="571">
        <v>0</v>
      </c>
      <c r="G15" s="552">
        <f t="shared" ref="G15:G17" si="4">+C15+D15-E15+F15</f>
        <v>0</v>
      </c>
      <c r="H15" s="571">
        <v>0</v>
      </c>
      <c r="I15" s="571">
        <v>0</v>
      </c>
      <c r="J15" s="390" t="str">
        <f>IF(G14&lt;&gt;'ETCA-I-08'!F35,"ERROR!!!!! NO CONCUERDA CON LO REPORTADO EN EL ESTADO ANALITICO DE LA DEUDA Y OTROS PASIVOS","")</f>
        <v/>
      </c>
    </row>
    <row r="16" spans="1:10" x14ac:dyDescent="0.25">
      <c r="A16" s="652"/>
      <c r="B16" s="653" t="s">
        <v>342</v>
      </c>
      <c r="C16" s="571">
        <v>0</v>
      </c>
      <c r="D16" s="571">
        <v>0</v>
      </c>
      <c r="E16" s="571">
        <v>0</v>
      </c>
      <c r="F16" s="571">
        <v>0</v>
      </c>
      <c r="G16" s="552">
        <f t="shared" si="4"/>
        <v>0</v>
      </c>
      <c r="H16" s="571">
        <v>0</v>
      </c>
      <c r="I16" s="571">
        <v>0</v>
      </c>
    </row>
    <row r="17" spans="1:10" x14ac:dyDescent="0.25">
      <c r="A17" s="652"/>
      <c r="B17" s="653" t="s">
        <v>343</v>
      </c>
      <c r="C17" s="571">
        <v>0</v>
      </c>
      <c r="D17" s="571">
        <v>0</v>
      </c>
      <c r="E17" s="571">
        <v>0</v>
      </c>
      <c r="F17" s="571">
        <v>0</v>
      </c>
      <c r="G17" s="552">
        <f t="shared" si="4"/>
        <v>0</v>
      </c>
      <c r="H17" s="571">
        <v>0</v>
      </c>
      <c r="I17" s="571">
        <v>0</v>
      </c>
    </row>
    <row r="18" spans="1:10" s="548" customFormat="1" ht="16.5" x14ac:dyDescent="0.25">
      <c r="A18" s="1083" t="s">
        <v>344</v>
      </c>
      <c r="B18" s="1084"/>
      <c r="C18" s="636">
        <f>'ETCA-I-08'!E37</f>
        <v>645460.89999999991</v>
      </c>
      <c r="D18" s="590"/>
      <c r="E18" s="590"/>
      <c r="F18" s="590"/>
      <c r="G18" s="636">
        <f>'ETCA-I-08'!F37</f>
        <v>1065494.44</v>
      </c>
      <c r="H18" s="590"/>
      <c r="I18" s="590"/>
      <c r="J18" s="390" t="str">
        <f>IF(C18&lt;&gt;'ETCA-I-08'!E37,"ERROR!!! NO CONCUERDA CON LO REPORTADO EN EL ESTADO ANALITICO DE LA DEUDA Y OTROS PASIVOS","")</f>
        <v/>
      </c>
    </row>
    <row r="19" spans="1:10" ht="16.5" customHeight="1" x14ac:dyDescent="0.25">
      <c r="A19" s="1083" t="s">
        <v>345</v>
      </c>
      <c r="B19" s="1084"/>
      <c r="C19" s="552">
        <f t="shared" ref="C19:I19" si="5">C9+C18</f>
        <v>645460.89999999991</v>
      </c>
      <c r="D19" s="552">
        <f t="shared" si="5"/>
        <v>0</v>
      </c>
      <c r="E19" s="552">
        <f t="shared" si="5"/>
        <v>0</v>
      </c>
      <c r="F19" s="552">
        <f t="shared" si="5"/>
        <v>0</v>
      </c>
      <c r="G19" s="552">
        <f t="shared" si="5"/>
        <v>1065494.44</v>
      </c>
      <c r="H19" s="552">
        <f t="shared" si="5"/>
        <v>0</v>
      </c>
      <c r="I19" s="552">
        <f t="shared" si="5"/>
        <v>0</v>
      </c>
      <c r="J19" s="390" t="str">
        <f>IF(G18&lt;&gt;'ETCA-I-08'!F37,"ERROR!!! NO CONCUERDA CON LO REPORTADO EN EL ESTADO ANALITICO DE LA DEUDA Y OTROS PASIVOS","")</f>
        <v/>
      </c>
    </row>
    <row r="20" spans="1:10" ht="16.5" customHeight="1" x14ac:dyDescent="0.25">
      <c r="A20" s="1083" t="s">
        <v>346</v>
      </c>
      <c r="B20" s="1084"/>
      <c r="C20" s="623">
        <f>SUM(C21:C23)</f>
        <v>0</v>
      </c>
      <c r="D20" s="552">
        <f t="shared" ref="D20:I20" si="6">SUM(D21:D23)</f>
        <v>0</v>
      </c>
      <c r="E20" s="552">
        <f t="shared" si="6"/>
        <v>0</v>
      </c>
      <c r="F20" s="552">
        <f t="shared" si="6"/>
        <v>0</v>
      </c>
      <c r="G20" s="552">
        <f>+C20+D20-E20+F20</f>
        <v>0</v>
      </c>
      <c r="H20" s="552">
        <f t="shared" si="6"/>
        <v>0</v>
      </c>
      <c r="I20" s="552">
        <f t="shared" si="6"/>
        <v>0</v>
      </c>
      <c r="J20" s="390" t="str">
        <f>IF(G19&lt;&gt;'ETCA-I-08'!F39,"ERROR!!!! NO CONCUERDA CON LO REPORTADO EN EL ESTADO ANALITICO DE LA DEUDA Y OTROS PASIVOS","")</f>
        <v/>
      </c>
    </row>
    <row r="21" spans="1:10" x14ac:dyDescent="0.25">
      <c r="A21" s="1102" t="s">
        <v>347</v>
      </c>
      <c r="B21" s="1103"/>
      <c r="C21" s="571">
        <v>0</v>
      </c>
      <c r="D21" s="571">
        <v>0</v>
      </c>
      <c r="E21" s="571">
        <v>0</v>
      </c>
      <c r="F21" s="571">
        <v>0</v>
      </c>
      <c r="G21" s="552">
        <f t="shared" ref="G21:G23" si="7">+C21+D21-E21+F21</f>
        <v>0</v>
      </c>
      <c r="H21" s="571">
        <v>0</v>
      </c>
      <c r="I21" s="571">
        <v>0</v>
      </c>
      <c r="J21" t="str">
        <f>IF(C19&lt;&gt;'ETCA-I-08'!E39,"ERROR!!!!! , NO CONCUERDA CON LO REPORTADO EN EL ESTADO ANALITICO DE LA DEUDA Y OTROS PASIVOS","")</f>
        <v/>
      </c>
    </row>
    <row r="22" spans="1:10" x14ac:dyDescent="0.25">
      <c r="A22" s="1102" t="s">
        <v>348</v>
      </c>
      <c r="B22" s="1103"/>
      <c r="C22" s="571">
        <v>0</v>
      </c>
      <c r="D22" s="571">
        <v>0</v>
      </c>
      <c r="E22" s="571">
        <v>0</v>
      </c>
      <c r="F22" s="571">
        <v>0</v>
      </c>
      <c r="G22" s="552">
        <f t="shared" si="7"/>
        <v>0</v>
      </c>
      <c r="H22" s="571">
        <v>0</v>
      </c>
      <c r="I22" s="571">
        <v>0</v>
      </c>
    </row>
    <row r="23" spans="1:10" x14ac:dyDescent="0.25">
      <c r="A23" s="1102" t="s">
        <v>349</v>
      </c>
      <c r="B23" s="1103"/>
      <c r="C23" s="571"/>
      <c r="D23" s="571"/>
      <c r="E23" s="571"/>
      <c r="F23" s="571"/>
      <c r="G23" s="552">
        <f t="shared" si="7"/>
        <v>0</v>
      </c>
      <c r="H23" s="571"/>
      <c r="I23" s="571"/>
    </row>
    <row r="24" spans="1:10" ht="16.5" customHeight="1" x14ac:dyDescent="0.25">
      <c r="A24" s="1083" t="s">
        <v>350</v>
      </c>
      <c r="B24" s="1084"/>
      <c r="C24" s="552">
        <f>SUM(C25:C27)</f>
        <v>0</v>
      </c>
      <c r="D24" s="552">
        <f t="shared" ref="D24:I24" si="8">SUM(D25:D27)</f>
        <v>0</v>
      </c>
      <c r="E24" s="552">
        <f t="shared" si="8"/>
        <v>0</v>
      </c>
      <c r="F24" s="552">
        <f t="shared" si="8"/>
        <v>0</v>
      </c>
      <c r="G24" s="552">
        <f t="shared" si="8"/>
        <v>0</v>
      </c>
      <c r="H24" s="552">
        <f t="shared" si="8"/>
        <v>0</v>
      </c>
      <c r="I24" s="552">
        <f t="shared" si="8"/>
        <v>0</v>
      </c>
    </row>
    <row r="25" spans="1:10" x14ac:dyDescent="0.25">
      <c r="A25" s="1102" t="s">
        <v>351</v>
      </c>
      <c r="B25" s="1103"/>
      <c r="C25" s="571">
        <v>0</v>
      </c>
      <c r="D25" s="571">
        <v>0</v>
      </c>
      <c r="E25" s="571">
        <v>0</v>
      </c>
      <c r="F25" s="571">
        <v>0</v>
      </c>
      <c r="G25" s="552">
        <f t="shared" ref="G25:G27" si="9">+C25+D25-E25+F25</f>
        <v>0</v>
      </c>
      <c r="H25" s="571">
        <v>0</v>
      </c>
      <c r="I25" s="571">
        <v>0</v>
      </c>
    </row>
    <row r="26" spans="1:10" x14ac:dyDescent="0.25">
      <c r="A26" s="1102" t="s">
        <v>352</v>
      </c>
      <c r="B26" s="1103"/>
      <c r="C26" s="571">
        <v>0</v>
      </c>
      <c r="D26" s="571">
        <v>0</v>
      </c>
      <c r="E26" s="571">
        <v>0</v>
      </c>
      <c r="F26" s="571">
        <v>0</v>
      </c>
      <c r="G26" s="552">
        <f t="shared" si="9"/>
        <v>0</v>
      </c>
      <c r="H26" s="571">
        <v>0</v>
      </c>
      <c r="I26" s="571">
        <v>0</v>
      </c>
    </row>
    <row r="27" spans="1:10" x14ac:dyDescent="0.25">
      <c r="A27" s="1102" t="s">
        <v>353</v>
      </c>
      <c r="B27" s="1103"/>
      <c r="C27" s="571">
        <v>0</v>
      </c>
      <c r="D27" s="571">
        <v>0</v>
      </c>
      <c r="E27" s="571">
        <v>0</v>
      </c>
      <c r="F27" s="571">
        <v>0</v>
      </c>
      <c r="G27" s="552">
        <f t="shared" si="9"/>
        <v>0</v>
      </c>
      <c r="H27" s="571">
        <v>0</v>
      </c>
      <c r="I27" s="571">
        <v>0</v>
      </c>
    </row>
    <row r="28" spans="1:10" ht="7.5" customHeight="1" thickBot="1" x14ac:dyDescent="0.3">
      <c r="A28" s="1104"/>
      <c r="B28" s="1105"/>
      <c r="C28" s="555"/>
      <c r="D28" s="555"/>
      <c r="E28" s="555"/>
      <c r="F28" s="555"/>
      <c r="G28" s="555"/>
      <c r="H28" s="555"/>
      <c r="I28" s="555"/>
    </row>
    <row r="29" spans="1:10" ht="3.75" customHeight="1" x14ac:dyDescent="0.25"/>
    <row r="30" spans="1:10" ht="33" customHeight="1" x14ac:dyDescent="0.25">
      <c r="B30" s="518">
        <v>1</v>
      </c>
      <c r="C30" s="1095" t="s">
        <v>354</v>
      </c>
      <c r="D30" s="1095"/>
      <c r="E30" s="1095"/>
      <c r="F30" s="1095"/>
      <c r="G30" s="1095"/>
      <c r="H30" s="1095"/>
      <c r="I30" s="1095"/>
    </row>
    <row r="31" spans="1:10" ht="18.75" customHeight="1" x14ac:dyDescent="0.25">
      <c r="B31" s="518">
        <v>2</v>
      </c>
      <c r="C31" s="1095" t="s">
        <v>355</v>
      </c>
      <c r="D31" s="1095"/>
      <c r="E31" s="1095"/>
      <c r="F31" s="1095"/>
      <c r="G31" s="1095"/>
      <c r="H31" s="1095"/>
      <c r="I31" s="1095"/>
    </row>
    <row r="32" spans="1:10" ht="3.75" customHeight="1" thickBot="1" x14ac:dyDescent="0.3"/>
    <row r="33" spans="2:7" ht="19.5" x14ac:dyDescent="0.25">
      <c r="B33" s="1096" t="s">
        <v>356</v>
      </c>
      <c r="C33" s="513" t="s">
        <v>357</v>
      </c>
      <c r="D33" s="513" t="s">
        <v>358</v>
      </c>
      <c r="E33" s="513" t="s">
        <v>359</v>
      </c>
      <c r="F33" s="1099" t="s">
        <v>360</v>
      </c>
      <c r="G33" s="513" t="s">
        <v>361</v>
      </c>
    </row>
    <row r="34" spans="2:7" x14ac:dyDescent="0.25">
      <c r="B34" s="1097"/>
      <c r="C34" s="503" t="s">
        <v>362</v>
      </c>
      <c r="D34" s="503" t="s">
        <v>363</v>
      </c>
      <c r="E34" s="503" t="s">
        <v>364</v>
      </c>
      <c r="F34" s="1100"/>
      <c r="G34" s="503" t="s">
        <v>365</v>
      </c>
    </row>
    <row r="35" spans="2:7" ht="15.75" thickBot="1" x14ac:dyDescent="0.3">
      <c r="B35" s="1098"/>
      <c r="C35" s="514"/>
      <c r="D35" s="504" t="s">
        <v>366</v>
      </c>
      <c r="E35" s="514"/>
      <c r="F35" s="1101"/>
      <c r="G35" s="514"/>
    </row>
    <row r="36" spans="2:7" ht="19.5" x14ac:dyDescent="0.25">
      <c r="B36" s="515" t="s">
        <v>367</v>
      </c>
      <c r="C36" s="505"/>
      <c r="D36" s="505"/>
      <c r="E36" s="505"/>
      <c r="F36" s="505"/>
      <c r="G36" s="505"/>
    </row>
    <row r="37" spans="2:7" x14ac:dyDescent="0.25">
      <c r="B37" s="516" t="s">
        <v>368</v>
      </c>
      <c r="C37" s="553"/>
      <c r="D37" s="553"/>
      <c r="E37" s="553"/>
      <c r="F37" s="553"/>
      <c r="G37" s="553"/>
    </row>
    <row r="38" spans="2:7" x14ac:dyDescent="0.25">
      <c r="B38" s="516" t="s">
        <v>369</v>
      </c>
      <c r="C38" s="553"/>
      <c r="D38" s="553"/>
      <c r="E38" s="553"/>
      <c r="F38" s="553"/>
      <c r="G38" s="553"/>
    </row>
    <row r="39" spans="2:7" ht="15.75" thickBot="1" x14ac:dyDescent="0.3">
      <c r="B39" s="517" t="s">
        <v>370</v>
      </c>
      <c r="C39" s="554"/>
      <c r="D39" s="554"/>
      <c r="E39" s="554"/>
      <c r="F39" s="554"/>
      <c r="G39" s="554"/>
    </row>
    <row r="40" spans="2:7" x14ac:dyDescent="0.25">
      <c r="B40" s="722"/>
      <c r="C40" s="723"/>
      <c r="D40" s="723"/>
      <c r="E40" s="723"/>
      <c r="F40" s="723"/>
      <c r="G40" s="723"/>
    </row>
    <row r="41" spans="2:7" x14ac:dyDescent="0.25">
      <c r="B41" s="722"/>
      <c r="C41" s="723"/>
      <c r="D41" s="723"/>
      <c r="E41" s="723"/>
      <c r="F41" s="723"/>
      <c r="G41" s="723"/>
    </row>
  </sheetData>
  <sheetProtection formatColumns="0" formatRows="0" insertHyperlinks="0"/>
  <mergeCells count="30">
    <mergeCell ref="A20:B20"/>
    <mergeCell ref="A21:B21"/>
    <mergeCell ref="A22:B22"/>
    <mergeCell ref="A23:B23"/>
    <mergeCell ref="A19:B19"/>
    <mergeCell ref="C31:I31"/>
    <mergeCell ref="C30:I30"/>
    <mergeCell ref="B33:B35"/>
    <mergeCell ref="F33:F35"/>
    <mergeCell ref="A24:B24"/>
    <mergeCell ref="A25:B25"/>
    <mergeCell ref="A26:B26"/>
    <mergeCell ref="A27:B27"/>
    <mergeCell ref="A28:B28"/>
    <mergeCell ref="A9:B9"/>
    <mergeCell ref="A10:B10"/>
    <mergeCell ref="A14:B14"/>
    <mergeCell ref="A18:B18"/>
    <mergeCell ref="A1:I1"/>
    <mergeCell ref="A2:I2"/>
    <mergeCell ref="A4:I4"/>
    <mergeCell ref="A5:I5"/>
    <mergeCell ref="A6:B7"/>
    <mergeCell ref="D6:D7"/>
    <mergeCell ref="E6:E7"/>
    <mergeCell ref="F6:F7"/>
    <mergeCell ref="H6:H7"/>
    <mergeCell ref="I6:I7"/>
    <mergeCell ref="A3:I3"/>
    <mergeCell ref="A8:B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7" workbookViewId="0">
      <selection activeCell="L22" sqref="L22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1049" t="s">
        <v>25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</row>
    <row r="2" spans="1:11" ht="15.75" customHeight="1" x14ac:dyDescent="0.25">
      <c r="A2" s="1050" t="s">
        <v>371</v>
      </c>
      <c r="B2" s="1050"/>
      <c r="C2" s="1050"/>
      <c r="D2" s="1050"/>
      <c r="E2" s="1050"/>
      <c r="F2" s="1050"/>
      <c r="G2" s="1050"/>
      <c r="H2" s="1050"/>
      <c r="I2" s="1050"/>
      <c r="J2" s="1050"/>
      <c r="K2" s="1050"/>
    </row>
    <row r="3" spans="1:11" ht="16.5" customHeight="1" x14ac:dyDescent="0.25">
      <c r="A3" s="1050" t="str">
        <f>'ETCA-I-01'!A3:G3</f>
        <v>Centro de Evaluacion y Control de Confianza del Estado de Sonora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</row>
    <row r="4" spans="1:11" ht="15.75" customHeight="1" x14ac:dyDescent="0.25">
      <c r="A4" s="1085" t="str">
        <f>'ETCA-I-09'!A4:I4</f>
        <v>Del 01 de Enero  al 31 de Marzo de 2018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</row>
    <row r="5" spans="1:11" ht="15.75" thickBot="1" x14ac:dyDescent="0.3">
      <c r="A5" s="1086" t="s">
        <v>89</v>
      </c>
      <c r="B5" s="1086"/>
      <c r="C5" s="1086"/>
      <c r="D5" s="1086"/>
      <c r="E5" s="1086"/>
      <c r="F5" s="1086"/>
      <c r="G5" s="1086"/>
      <c r="H5" s="1086"/>
      <c r="I5" s="1086"/>
      <c r="J5" s="1086"/>
      <c r="K5" s="1086"/>
    </row>
    <row r="6" spans="1:11" ht="115.5" thickBot="1" x14ac:dyDescent="0.3">
      <c r="A6" s="507" t="s">
        <v>372</v>
      </c>
      <c r="B6" s="508" t="s">
        <v>373</v>
      </c>
      <c r="C6" s="508" t="s">
        <v>374</v>
      </c>
      <c r="D6" s="508" t="s">
        <v>375</v>
      </c>
      <c r="E6" s="508" t="s">
        <v>376</v>
      </c>
      <c r="F6" s="508" t="s">
        <v>377</v>
      </c>
      <c r="G6" s="508" t="s">
        <v>378</v>
      </c>
      <c r="H6" s="508" t="s">
        <v>379</v>
      </c>
      <c r="I6" s="709" t="s">
        <v>1081</v>
      </c>
      <c r="J6" s="709" t="s">
        <v>1082</v>
      </c>
      <c r="K6" s="709" t="s">
        <v>1083</v>
      </c>
    </row>
    <row r="7" spans="1:11" x14ac:dyDescent="0.25">
      <c r="A7" s="500"/>
      <c r="B7" s="502"/>
      <c r="C7" s="502"/>
      <c r="D7" s="502"/>
      <c r="E7" s="502"/>
      <c r="F7" s="502"/>
      <c r="G7" s="502"/>
      <c r="H7" s="502"/>
      <c r="I7" s="502"/>
      <c r="J7" s="502"/>
      <c r="K7" s="502"/>
    </row>
    <row r="8" spans="1:11" ht="25.5" x14ac:dyDescent="0.25">
      <c r="A8" s="509" t="s">
        <v>380</v>
      </c>
      <c r="B8" s="556">
        <f t="shared" ref="B8:J8" si="0">B9+B10+B11+B12</f>
        <v>0</v>
      </c>
      <c r="C8" s="556">
        <f t="shared" si="0"/>
        <v>0</v>
      </c>
      <c r="D8" s="556">
        <f t="shared" si="0"/>
        <v>0</v>
      </c>
      <c r="E8" s="556">
        <f t="shared" si="0"/>
        <v>0</v>
      </c>
      <c r="F8" s="556">
        <f t="shared" si="0"/>
        <v>0</v>
      </c>
      <c r="G8" s="556">
        <f t="shared" si="0"/>
        <v>0</v>
      </c>
      <c r="H8" s="556">
        <f t="shared" si="0"/>
        <v>0</v>
      </c>
      <c r="I8" s="556">
        <f t="shared" si="0"/>
        <v>0</v>
      </c>
      <c r="J8" s="556">
        <f t="shared" si="0"/>
        <v>0</v>
      </c>
      <c r="K8" s="556">
        <f>E8-J8</f>
        <v>0</v>
      </c>
    </row>
    <row r="9" spans="1:11" x14ac:dyDescent="0.25">
      <c r="A9" s="510" t="s">
        <v>381</v>
      </c>
      <c r="B9" s="567">
        <v>0</v>
      </c>
      <c r="C9" s="567">
        <v>0</v>
      </c>
      <c r="D9" s="567">
        <v>0</v>
      </c>
      <c r="E9" s="567">
        <v>0</v>
      </c>
      <c r="F9" s="567">
        <v>0</v>
      </c>
      <c r="G9" s="567">
        <v>0</v>
      </c>
      <c r="H9" s="567">
        <v>0</v>
      </c>
      <c r="I9" s="567">
        <v>0</v>
      </c>
      <c r="J9" s="567">
        <v>0</v>
      </c>
      <c r="K9" s="556">
        <f t="shared" ref="K9:K12" si="1">E9-J9</f>
        <v>0</v>
      </c>
    </row>
    <row r="10" spans="1:11" x14ac:dyDescent="0.25">
      <c r="A10" s="510" t="s">
        <v>382</v>
      </c>
      <c r="B10" s="567">
        <v>0</v>
      </c>
      <c r="C10" s="567"/>
      <c r="D10" s="567"/>
      <c r="E10" s="567">
        <v>0</v>
      </c>
      <c r="F10" s="567"/>
      <c r="G10" s="567"/>
      <c r="H10" s="567"/>
      <c r="I10" s="567"/>
      <c r="J10" s="567">
        <v>0</v>
      </c>
      <c r="K10" s="556">
        <f t="shared" si="1"/>
        <v>0</v>
      </c>
    </row>
    <row r="11" spans="1:11" x14ac:dyDescent="0.25">
      <c r="A11" s="510" t="s">
        <v>383</v>
      </c>
      <c r="B11" s="567">
        <v>0</v>
      </c>
      <c r="C11" s="567">
        <v>0</v>
      </c>
      <c r="D11" s="567">
        <v>0</v>
      </c>
      <c r="E11" s="567">
        <v>0</v>
      </c>
      <c r="F11" s="567">
        <v>0</v>
      </c>
      <c r="G11" s="567">
        <v>0</v>
      </c>
      <c r="H11" s="567">
        <v>0</v>
      </c>
      <c r="I11" s="567">
        <v>0</v>
      </c>
      <c r="J11" s="567">
        <v>0</v>
      </c>
      <c r="K11" s="556">
        <f t="shared" si="1"/>
        <v>0</v>
      </c>
    </row>
    <row r="12" spans="1:11" x14ac:dyDescent="0.25">
      <c r="A12" s="510" t="s">
        <v>384</v>
      </c>
      <c r="B12" s="567">
        <v>0</v>
      </c>
      <c r="C12" s="567"/>
      <c r="D12" s="567"/>
      <c r="E12" s="567">
        <v>0</v>
      </c>
      <c r="F12" s="567"/>
      <c r="G12" s="567"/>
      <c r="H12" s="567"/>
      <c r="I12" s="567"/>
      <c r="J12" s="567">
        <v>0</v>
      </c>
      <c r="K12" s="556">
        <f t="shared" si="1"/>
        <v>0</v>
      </c>
    </row>
    <row r="13" spans="1:11" x14ac:dyDescent="0.25">
      <c r="A13" s="501"/>
      <c r="B13" s="556"/>
      <c r="C13" s="556" t="s">
        <v>1099</v>
      </c>
      <c r="D13" s="556"/>
      <c r="E13" s="556"/>
      <c r="F13" s="556"/>
      <c r="G13" s="556"/>
      <c r="H13" s="556"/>
      <c r="I13" s="556" t="s">
        <v>1099</v>
      </c>
      <c r="J13" s="556"/>
      <c r="K13" s="556"/>
    </row>
    <row r="14" spans="1:11" ht="25.5" x14ac:dyDescent="0.25">
      <c r="A14" s="509" t="s">
        <v>385</v>
      </c>
      <c r="B14" s="556">
        <f t="shared" ref="B14:J14" si="2">B15+B16+B17+B18</f>
        <v>0</v>
      </c>
      <c r="C14" s="556">
        <f t="shared" si="2"/>
        <v>0</v>
      </c>
      <c r="D14" s="556">
        <f t="shared" si="2"/>
        <v>0</v>
      </c>
      <c r="E14" s="556">
        <f t="shared" si="2"/>
        <v>0</v>
      </c>
      <c r="F14" s="556">
        <f t="shared" si="2"/>
        <v>0</v>
      </c>
      <c r="G14" s="556">
        <f t="shared" si="2"/>
        <v>0</v>
      </c>
      <c r="H14" s="556">
        <f t="shared" si="2"/>
        <v>0</v>
      </c>
      <c r="I14" s="556">
        <f t="shared" si="2"/>
        <v>0</v>
      </c>
      <c r="J14" s="556">
        <f t="shared" si="2"/>
        <v>0</v>
      </c>
      <c r="K14" s="556">
        <f>E14-J14</f>
        <v>0</v>
      </c>
    </row>
    <row r="15" spans="1:11" x14ac:dyDescent="0.25">
      <c r="A15" s="510" t="s">
        <v>386</v>
      </c>
      <c r="B15" s="567">
        <v>0</v>
      </c>
      <c r="C15" s="567"/>
      <c r="D15" s="567"/>
      <c r="E15" s="567">
        <v>0</v>
      </c>
      <c r="F15" s="567"/>
      <c r="G15" s="567"/>
      <c r="H15" s="567"/>
      <c r="I15" s="567"/>
      <c r="J15" s="567"/>
      <c r="K15" s="556">
        <f t="shared" ref="K15:K18" si="3">E15-J15</f>
        <v>0</v>
      </c>
    </row>
    <row r="16" spans="1:11" x14ac:dyDescent="0.25">
      <c r="A16" s="510" t="s">
        <v>387</v>
      </c>
      <c r="B16" s="567">
        <v>0</v>
      </c>
      <c r="C16" s="567"/>
      <c r="D16" s="567">
        <v>0</v>
      </c>
      <c r="E16" s="567">
        <v>0</v>
      </c>
      <c r="F16" s="567">
        <v>0</v>
      </c>
      <c r="G16" s="567">
        <v>0</v>
      </c>
      <c r="H16" s="567">
        <v>0</v>
      </c>
      <c r="I16" s="567">
        <v>0</v>
      </c>
      <c r="J16" s="567">
        <v>0</v>
      </c>
      <c r="K16" s="556">
        <f t="shared" si="3"/>
        <v>0</v>
      </c>
    </row>
    <row r="17" spans="1:11" x14ac:dyDescent="0.25">
      <c r="A17" s="510" t="s">
        <v>388</v>
      </c>
      <c r="B17" s="567">
        <v>0</v>
      </c>
      <c r="C17" s="567">
        <v>0</v>
      </c>
      <c r="D17" s="567"/>
      <c r="E17" s="567">
        <v>0</v>
      </c>
      <c r="F17" s="567"/>
      <c r="G17" s="567"/>
      <c r="H17" s="567"/>
      <c r="I17" s="567"/>
      <c r="J17" s="567"/>
      <c r="K17" s="556">
        <f t="shared" si="3"/>
        <v>0</v>
      </c>
    </row>
    <row r="18" spans="1:11" x14ac:dyDescent="0.25">
      <c r="A18" s="510" t="s">
        <v>389</v>
      </c>
      <c r="B18" s="567">
        <v>0</v>
      </c>
      <c r="C18" s="567"/>
      <c r="D18" s="567"/>
      <c r="E18" s="567">
        <v>0</v>
      </c>
      <c r="F18" s="567"/>
      <c r="G18" s="567"/>
      <c r="H18" s="567"/>
      <c r="I18" s="567"/>
      <c r="J18" s="567"/>
      <c r="K18" s="556">
        <f t="shared" si="3"/>
        <v>0</v>
      </c>
    </row>
    <row r="19" spans="1:11" x14ac:dyDescent="0.25">
      <c r="A19" s="501"/>
      <c r="B19" s="556">
        <v>0</v>
      </c>
      <c r="C19" s="556" t="s">
        <v>1099</v>
      </c>
      <c r="D19" s="556"/>
      <c r="E19" s="556"/>
      <c r="F19" s="556"/>
      <c r="G19" s="556"/>
      <c r="H19" s="556"/>
      <c r="I19" s="556" t="s">
        <v>1099</v>
      </c>
      <c r="J19" s="556"/>
      <c r="K19" s="568"/>
    </row>
    <row r="20" spans="1:11" ht="38.25" x14ac:dyDescent="0.25">
      <c r="A20" s="509" t="s">
        <v>390</v>
      </c>
      <c r="B20" s="556">
        <f>B8+B14</f>
        <v>0</v>
      </c>
      <c r="C20" s="556">
        <f t="shared" ref="C20:J20" si="4">C8+C14</f>
        <v>0</v>
      </c>
      <c r="D20" s="556">
        <f t="shared" si="4"/>
        <v>0</v>
      </c>
      <c r="E20" s="556">
        <f t="shared" si="4"/>
        <v>0</v>
      </c>
      <c r="F20" s="556">
        <f t="shared" si="4"/>
        <v>0</v>
      </c>
      <c r="G20" s="556">
        <f t="shared" si="4"/>
        <v>0</v>
      </c>
      <c r="H20" s="556">
        <f t="shared" si="4"/>
        <v>0</v>
      </c>
      <c r="I20" s="556">
        <f t="shared" si="4"/>
        <v>0</v>
      </c>
      <c r="J20" s="556">
        <f t="shared" si="4"/>
        <v>0</v>
      </c>
      <c r="K20" s="556">
        <f>E20-J20</f>
        <v>0</v>
      </c>
    </row>
    <row r="21" spans="1:11" ht="15.75" thickBot="1" x14ac:dyDescent="0.3">
      <c r="A21" s="511"/>
      <c r="B21" s="512"/>
      <c r="C21" s="512"/>
      <c r="D21" s="512"/>
      <c r="E21" s="512"/>
      <c r="F21" s="512"/>
      <c r="G21" s="512"/>
      <c r="H21" s="512"/>
      <c r="I21" s="512"/>
      <c r="J21" s="512"/>
      <c r="K21" s="512"/>
    </row>
    <row r="26" spans="1:11" x14ac:dyDescent="0.25">
      <c r="E26" s="721" t="s">
        <v>1094</v>
      </c>
    </row>
    <row r="27" spans="1:11" x14ac:dyDescent="0.25">
      <c r="E27" s="721" t="s">
        <v>1095</v>
      </c>
    </row>
    <row r="28" spans="1:11" x14ac:dyDescent="0.25">
      <c r="E28" s="721" t="s">
        <v>1096</v>
      </c>
    </row>
  </sheetData>
  <mergeCells count="5">
    <mergeCell ref="A3:K3"/>
    <mergeCell ref="A1:K1"/>
    <mergeCell ref="A2:K2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50"/>
  <sheetViews>
    <sheetView view="pageBreakPreview" zoomScale="90" zoomScaleNormal="100" zoomScaleSheetLayoutView="90" workbookViewId="0">
      <selection activeCell="L25" sqref="L25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115" t="s">
        <v>25</v>
      </c>
      <c r="B1" s="1115"/>
      <c r="C1" s="1115"/>
      <c r="D1" s="1115"/>
      <c r="E1" s="1115"/>
      <c r="F1" s="1115"/>
      <c r="G1" s="1115"/>
      <c r="H1" s="1115"/>
      <c r="I1" s="1115"/>
    </row>
    <row r="2" spans="1:9" x14ac:dyDescent="0.3">
      <c r="A2" s="1117" t="s">
        <v>8</v>
      </c>
      <c r="B2" s="1117"/>
      <c r="C2" s="1117"/>
      <c r="D2" s="1117"/>
      <c r="E2" s="1117"/>
      <c r="F2" s="1117"/>
      <c r="G2" s="1117"/>
      <c r="H2" s="1117"/>
      <c r="I2" s="1117"/>
    </row>
    <row r="3" spans="1:9" x14ac:dyDescent="0.3">
      <c r="A3" s="1116" t="str">
        <f>'ETCA-I-01'!A3:G3</f>
        <v>Centro de Evaluacion y Control de Confianza del Estado de Sonora</v>
      </c>
      <c r="B3" s="1116"/>
      <c r="C3" s="1116"/>
      <c r="D3" s="1116"/>
      <c r="E3" s="1116"/>
      <c r="F3" s="1116"/>
      <c r="G3" s="1116"/>
      <c r="H3" s="1116"/>
      <c r="I3" s="1116"/>
    </row>
    <row r="4" spans="1:9" x14ac:dyDescent="0.3">
      <c r="A4" s="1116" t="str">
        <f>'ETCA-I-01'!A4:G4</f>
        <v>Al 31 de Marzo de 2018</v>
      </c>
      <c r="B4" s="1116"/>
      <c r="C4" s="1116"/>
      <c r="D4" s="1116"/>
      <c r="E4" s="1116"/>
      <c r="F4" s="1116"/>
      <c r="G4" s="1116"/>
      <c r="H4" s="1116"/>
      <c r="I4" s="1116"/>
    </row>
    <row r="5" spans="1:9" ht="18" customHeight="1" thickBot="1" x14ac:dyDescent="0.35">
      <c r="A5" s="5"/>
      <c r="B5" s="1118" t="s">
        <v>391</v>
      </c>
      <c r="C5" s="1118"/>
      <c r="D5" s="1118"/>
      <c r="E5" s="1118"/>
      <c r="F5" s="1118"/>
      <c r="G5" s="1118"/>
      <c r="H5" s="295"/>
      <c r="I5" s="5"/>
    </row>
    <row r="6" spans="1:9" x14ac:dyDescent="0.3">
      <c r="A6" s="7"/>
      <c r="B6" s="8"/>
      <c r="C6" s="8"/>
      <c r="D6" s="8"/>
      <c r="E6" s="8"/>
      <c r="F6" s="8"/>
      <c r="G6" s="8"/>
      <c r="H6" s="8"/>
      <c r="I6" s="9"/>
    </row>
    <row r="7" spans="1:9" x14ac:dyDescent="0.3">
      <c r="A7" s="10"/>
      <c r="B7" s="11"/>
      <c r="C7" s="11"/>
      <c r="D7" s="11"/>
      <c r="E7" s="11"/>
      <c r="F7" s="11"/>
      <c r="G7" s="11"/>
      <c r="H7" s="11"/>
      <c r="I7" s="12"/>
    </row>
    <row r="8" spans="1:9" x14ac:dyDescent="0.3">
      <c r="A8" s="13" t="s">
        <v>392</v>
      </c>
      <c r="B8" s="11"/>
      <c r="C8" s="11"/>
      <c r="D8" s="11"/>
      <c r="E8" s="11"/>
      <c r="F8" s="11"/>
      <c r="G8" s="11"/>
      <c r="H8" s="11"/>
      <c r="I8" s="12"/>
    </row>
    <row r="9" spans="1:9" x14ac:dyDescent="0.3">
      <c r="A9" s="13"/>
      <c r="B9" s="11"/>
      <c r="C9" s="11" t="s">
        <v>1099</v>
      </c>
      <c r="D9" s="11"/>
      <c r="E9" s="11"/>
      <c r="F9" s="11"/>
      <c r="G9" s="11"/>
      <c r="H9" s="11" t="s">
        <v>1099</v>
      </c>
      <c r="I9" s="12"/>
    </row>
    <row r="10" spans="1:9" x14ac:dyDescent="0.3">
      <c r="A10" s="13"/>
      <c r="B10" s="11"/>
      <c r="C10" s="11"/>
      <c r="D10" s="11"/>
      <c r="E10" s="11"/>
      <c r="F10" s="11"/>
      <c r="G10" s="11"/>
      <c r="H10" s="11"/>
      <c r="I10" s="12"/>
    </row>
    <row r="11" spans="1:9" x14ac:dyDescent="0.3">
      <c r="A11" s="13"/>
      <c r="B11" s="11"/>
      <c r="C11" s="11"/>
      <c r="D11" s="11"/>
      <c r="E11" s="11"/>
      <c r="F11" s="11"/>
      <c r="G11" s="11"/>
      <c r="H11" s="11"/>
      <c r="I11" s="12"/>
    </row>
    <row r="12" spans="1:9" x14ac:dyDescent="0.3">
      <c r="A12" s="13"/>
      <c r="B12" s="11"/>
      <c r="C12" s="11"/>
      <c r="D12" s="11"/>
      <c r="E12" s="11"/>
      <c r="F12" s="11"/>
      <c r="G12" s="11"/>
      <c r="H12" s="11"/>
      <c r="I12" s="12"/>
    </row>
    <row r="13" spans="1:9" ht="15.75" customHeight="1" x14ac:dyDescent="0.3">
      <c r="A13" s="10"/>
      <c r="B13" s="11"/>
      <c r="C13" s="14"/>
      <c r="D13" s="14"/>
      <c r="E13" s="14"/>
      <c r="F13" s="14"/>
      <c r="G13" s="14"/>
      <c r="H13" s="14"/>
      <c r="I13" s="12"/>
    </row>
    <row r="14" spans="1:9" ht="15" customHeight="1" thickBot="1" x14ac:dyDescent="0.35">
      <c r="A14" s="15"/>
      <c r="B14" s="1"/>
      <c r="C14" s="16"/>
      <c r="D14" s="16"/>
      <c r="E14" s="16"/>
      <c r="F14" s="16"/>
      <c r="G14" s="16"/>
      <c r="H14" s="16"/>
      <c r="I14" s="2"/>
    </row>
    <row r="15" spans="1:9" ht="15" customHeight="1" thickBot="1" x14ac:dyDescent="0.35">
      <c r="A15" s="10"/>
      <c r="B15" s="11"/>
      <c r="C15" s="14"/>
      <c r="D15" s="14"/>
      <c r="E15" s="14"/>
      <c r="F15" s="14"/>
      <c r="G15" s="14"/>
      <c r="H15" s="14"/>
      <c r="I15" s="12"/>
    </row>
    <row r="16" spans="1:9" ht="15" customHeight="1" x14ac:dyDescent="0.3">
      <c r="A16" s="10"/>
      <c r="B16" s="11"/>
      <c r="C16" s="1106" t="s">
        <v>393</v>
      </c>
      <c r="D16" s="1107"/>
      <c r="E16" s="1107"/>
      <c r="F16" s="1107"/>
      <c r="G16" s="1107"/>
      <c r="H16" s="1108"/>
      <c r="I16" s="12"/>
    </row>
    <row r="17" spans="1:9" ht="15" customHeight="1" x14ac:dyDescent="0.3">
      <c r="A17" s="10"/>
      <c r="B17" s="11"/>
      <c r="C17" s="1109"/>
      <c r="D17" s="1110"/>
      <c r="E17" s="1110"/>
      <c r="F17" s="1110"/>
      <c r="G17" s="1110"/>
      <c r="H17" s="1111"/>
      <c r="I17" s="12"/>
    </row>
    <row r="18" spans="1:9" ht="15" customHeight="1" x14ac:dyDescent="0.3">
      <c r="A18" s="10"/>
      <c r="B18" s="11"/>
      <c r="C18" s="1109"/>
      <c r="D18" s="1110"/>
      <c r="E18" s="1110"/>
      <c r="F18" s="1110"/>
      <c r="G18" s="1110"/>
      <c r="H18" s="1111"/>
      <c r="I18" s="12"/>
    </row>
    <row r="19" spans="1:9" ht="15" customHeight="1" x14ac:dyDescent="0.3">
      <c r="A19" s="13" t="s">
        <v>394</v>
      </c>
      <c r="B19" s="11"/>
      <c r="C19" s="1109"/>
      <c r="D19" s="1110"/>
      <c r="E19" s="1110"/>
      <c r="F19" s="1110"/>
      <c r="G19" s="1110"/>
      <c r="H19" s="1111"/>
      <c r="I19" s="12"/>
    </row>
    <row r="20" spans="1:9" ht="15" customHeight="1" x14ac:dyDescent="0.3">
      <c r="A20" s="10"/>
      <c r="B20" s="11"/>
      <c r="C20" s="1109"/>
      <c r="D20" s="1110"/>
      <c r="E20" s="1110"/>
      <c r="F20" s="1110"/>
      <c r="G20" s="1110"/>
      <c r="H20" s="1111"/>
      <c r="I20" s="12"/>
    </row>
    <row r="21" spans="1:9" ht="15" customHeight="1" x14ac:dyDescent="0.3">
      <c r="A21" s="10"/>
      <c r="B21" s="11"/>
      <c r="C21" s="1109"/>
      <c r="D21" s="1110"/>
      <c r="E21" s="1110"/>
      <c r="F21" s="1110"/>
      <c r="G21" s="1110"/>
      <c r="H21" s="1111"/>
      <c r="I21" s="12"/>
    </row>
    <row r="22" spans="1:9" ht="15" customHeight="1" x14ac:dyDescent="0.3">
      <c r="A22" s="10"/>
      <c r="B22" s="11"/>
      <c r="C22" s="1109"/>
      <c r="D22" s="1110"/>
      <c r="E22" s="1110"/>
      <c r="F22" s="1110"/>
      <c r="G22" s="1110"/>
      <c r="H22" s="1111"/>
      <c r="I22" s="12"/>
    </row>
    <row r="23" spans="1:9" ht="15" customHeight="1" x14ac:dyDescent="0.3">
      <c r="A23" s="10"/>
      <c r="B23" s="11"/>
      <c r="C23" s="1109"/>
      <c r="D23" s="1110"/>
      <c r="E23" s="1110"/>
      <c r="F23" s="1110"/>
      <c r="G23" s="1110"/>
      <c r="H23" s="1111"/>
      <c r="I23" s="12"/>
    </row>
    <row r="24" spans="1:9" ht="15" customHeight="1" x14ac:dyDescent="0.3">
      <c r="A24" s="10"/>
      <c r="B24" s="11"/>
      <c r="C24" s="1109"/>
      <c r="D24" s="1110"/>
      <c r="E24" s="1110"/>
      <c r="F24" s="1110"/>
      <c r="G24" s="1110"/>
      <c r="H24" s="1111"/>
      <c r="I24" s="12"/>
    </row>
    <row r="25" spans="1:9" ht="15" customHeight="1" x14ac:dyDescent="0.3">
      <c r="A25" s="10"/>
      <c r="B25" s="11"/>
      <c r="C25" s="1109"/>
      <c r="D25" s="1110"/>
      <c r="E25" s="1110"/>
      <c r="F25" s="1110"/>
      <c r="G25" s="1110"/>
      <c r="H25" s="1111"/>
      <c r="I25" s="12"/>
    </row>
    <row r="26" spans="1:9" ht="15" customHeight="1" x14ac:dyDescent="0.3">
      <c r="A26" s="10"/>
      <c r="B26" s="11"/>
      <c r="C26" s="1109"/>
      <c r="D26" s="1110"/>
      <c r="E26" s="1110"/>
      <c r="F26" s="1110"/>
      <c r="G26" s="1110"/>
      <c r="H26" s="1111"/>
      <c r="I26" s="12"/>
    </row>
    <row r="27" spans="1:9" ht="14.25" customHeight="1" x14ac:dyDescent="0.3">
      <c r="A27" s="10"/>
      <c r="B27" s="11"/>
      <c r="C27" s="1109"/>
      <c r="D27" s="1110"/>
      <c r="E27" s="1110"/>
      <c r="F27" s="1110"/>
      <c r="G27" s="1110"/>
      <c r="H27" s="1111"/>
      <c r="I27" s="12"/>
    </row>
    <row r="28" spans="1:9" ht="15.75" customHeight="1" x14ac:dyDescent="0.3">
      <c r="A28" s="10"/>
      <c r="B28" s="11"/>
      <c r="C28" s="1109"/>
      <c r="D28" s="1110"/>
      <c r="E28" s="1110"/>
      <c r="F28" s="1110"/>
      <c r="G28" s="1110"/>
      <c r="H28" s="1111"/>
      <c r="I28" s="12"/>
    </row>
    <row r="29" spans="1:9" x14ac:dyDescent="0.3">
      <c r="A29" s="10"/>
      <c r="B29" s="11"/>
      <c r="C29" s="1109"/>
      <c r="D29" s="1110"/>
      <c r="E29" s="1110"/>
      <c r="F29" s="1110"/>
      <c r="G29" s="1110"/>
      <c r="H29" s="1111"/>
      <c r="I29" s="12"/>
    </row>
    <row r="30" spans="1:9" ht="17.25" thickBot="1" x14ac:dyDescent="0.35">
      <c r="A30" s="10"/>
      <c r="B30" s="11"/>
      <c r="C30" s="1112"/>
      <c r="D30" s="1113"/>
      <c r="E30" s="1113"/>
      <c r="F30" s="1113"/>
      <c r="G30" s="1113"/>
      <c r="H30" s="1114"/>
      <c r="I30" s="12"/>
    </row>
    <row r="31" spans="1:9" ht="17.25" thickBot="1" x14ac:dyDescent="0.35">
      <c r="A31" s="15"/>
      <c r="B31" s="1"/>
      <c r="C31" s="1"/>
      <c r="D31" s="1"/>
      <c r="E31" s="1"/>
      <c r="F31" s="1"/>
      <c r="G31" s="1"/>
      <c r="H31" s="1"/>
      <c r="I31" s="2"/>
    </row>
    <row r="32" spans="1:9" x14ac:dyDescent="0.3">
      <c r="A32" s="10"/>
      <c r="B32" s="11"/>
      <c r="C32" s="11"/>
      <c r="D32" s="11"/>
      <c r="E32" s="11"/>
      <c r="F32" s="11"/>
      <c r="G32" s="11"/>
      <c r="H32" s="11"/>
      <c r="I32" s="12"/>
    </row>
    <row r="33" spans="1:9" x14ac:dyDescent="0.3">
      <c r="A33" s="13" t="s">
        <v>395</v>
      </c>
      <c r="B33" s="11"/>
      <c r="C33" s="11"/>
      <c r="D33" s="11"/>
      <c r="E33" s="11"/>
      <c r="F33" s="11"/>
      <c r="G33" s="11"/>
      <c r="H33" s="11"/>
      <c r="I33" s="12"/>
    </row>
    <row r="34" spans="1:9" x14ac:dyDescent="0.3">
      <c r="A34" s="10"/>
      <c r="B34" s="11"/>
      <c r="C34" s="11"/>
      <c r="D34" s="11"/>
      <c r="E34" s="11"/>
      <c r="F34" s="11"/>
      <c r="G34" s="11"/>
      <c r="H34" s="11"/>
      <c r="I34" s="12"/>
    </row>
    <row r="35" spans="1:9" x14ac:dyDescent="0.3">
      <c r="A35" s="10"/>
      <c r="B35" s="11"/>
      <c r="C35" s="11"/>
      <c r="D35" s="11"/>
      <c r="E35" s="11"/>
      <c r="F35" s="11"/>
      <c r="G35" s="11"/>
      <c r="H35" s="11"/>
      <c r="I35" s="12"/>
    </row>
    <row r="36" spans="1:9" x14ac:dyDescent="0.3">
      <c r="A36" s="10"/>
      <c r="B36" s="11" t="s">
        <v>1099</v>
      </c>
      <c r="C36" s="11"/>
      <c r="D36" s="11"/>
      <c r="E36" s="11"/>
      <c r="F36" s="11"/>
      <c r="G36" s="11" t="s">
        <v>1099</v>
      </c>
      <c r="H36" s="11"/>
      <c r="I36" s="12"/>
    </row>
    <row r="37" spans="1:9" x14ac:dyDescent="0.3">
      <c r="A37" s="10"/>
      <c r="B37" s="11"/>
      <c r="C37" s="11"/>
      <c r="D37" s="11"/>
      <c r="E37" s="11"/>
      <c r="F37" s="11"/>
      <c r="G37" s="11"/>
      <c r="H37" s="11"/>
      <c r="I37" s="12"/>
    </row>
    <row r="38" spans="1:9" x14ac:dyDescent="0.3">
      <c r="A38" s="10"/>
      <c r="B38" s="11"/>
      <c r="C38" s="11"/>
      <c r="D38" s="11"/>
      <c r="E38" s="11"/>
      <c r="F38" s="11"/>
      <c r="G38" s="11"/>
      <c r="H38" s="11"/>
      <c r="I38" s="12"/>
    </row>
    <row r="39" spans="1:9" x14ac:dyDescent="0.3">
      <c r="A39" s="10"/>
      <c r="B39" s="11"/>
      <c r="C39" s="11"/>
      <c r="D39" s="11"/>
      <c r="E39" s="11"/>
      <c r="F39" s="11"/>
      <c r="G39" s="11"/>
      <c r="H39" s="11"/>
      <c r="I39" s="12"/>
    </row>
    <row r="40" spans="1:9" x14ac:dyDescent="0.3">
      <c r="A40" s="10"/>
      <c r="B40" s="11"/>
      <c r="C40" s="11"/>
      <c r="D40" s="11"/>
      <c r="E40" s="11"/>
      <c r="F40" s="11"/>
      <c r="G40" s="11"/>
      <c r="H40" s="11"/>
      <c r="I40" s="12"/>
    </row>
    <row r="41" spans="1:9" ht="17.25" thickBot="1" x14ac:dyDescent="0.35">
      <c r="A41" s="15"/>
      <c r="B41" s="1"/>
      <c r="C41" s="1"/>
      <c r="D41" s="1"/>
      <c r="E41" s="1"/>
      <c r="F41" s="1"/>
      <c r="G41" s="1"/>
      <c r="H41" s="1"/>
      <c r="I41" s="2"/>
    </row>
    <row r="42" spans="1:9" x14ac:dyDescent="0.3">
      <c r="A42" s="3" t="s">
        <v>257</v>
      </c>
    </row>
    <row r="48" spans="1:9" x14ac:dyDescent="0.3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3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3">
      <c r="A50" s="11"/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0"/>
  <sheetViews>
    <sheetView view="pageBreakPreview" zoomScaleNormal="100" zoomScaleSheetLayoutView="100" workbookViewId="0">
      <selection activeCell="I8" sqref="I8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115" t="s">
        <v>25</v>
      </c>
      <c r="B1" s="1115"/>
      <c r="C1" s="1115"/>
      <c r="D1" s="1115"/>
      <c r="E1" s="1115"/>
      <c r="F1" s="1115"/>
      <c r="G1" s="1115"/>
      <c r="H1" s="1115"/>
      <c r="I1" s="1115"/>
      <c r="J1" s="1115"/>
    </row>
    <row r="2" spans="1:10" x14ac:dyDescent="0.3">
      <c r="A2" s="1117" t="s">
        <v>9</v>
      </c>
      <c r="B2" s="1117"/>
      <c r="C2" s="1117"/>
      <c r="D2" s="1117"/>
      <c r="E2" s="1117"/>
      <c r="F2" s="1117"/>
      <c r="G2" s="1117"/>
      <c r="H2" s="1117"/>
      <c r="I2" s="1117"/>
      <c r="J2" s="1117"/>
    </row>
    <row r="3" spans="1:10" x14ac:dyDescent="0.3">
      <c r="A3" s="1116" t="str">
        <f>'ETCA-I-01'!A3:G3</f>
        <v>Centro de Evaluacion y Control de Confianza del Estado de Sonora</v>
      </c>
      <c r="B3" s="1116"/>
      <c r="C3" s="1116"/>
      <c r="D3" s="1116"/>
      <c r="E3" s="1116"/>
      <c r="F3" s="1116"/>
      <c r="G3" s="1116"/>
      <c r="H3" s="1116"/>
      <c r="I3" s="1116"/>
      <c r="J3" s="1116"/>
    </row>
    <row r="4" spans="1:10" x14ac:dyDescent="0.3">
      <c r="A4" s="1116" t="str">
        <f>'ETCA-I-01'!A4:G4</f>
        <v>Al 31 de Marzo de 2018</v>
      </c>
      <c r="B4" s="1116"/>
      <c r="C4" s="1116"/>
      <c r="D4" s="1116"/>
      <c r="E4" s="1116"/>
      <c r="F4" s="1116"/>
      <c r="G4" s="1116"/>
      <c r="H4" s="1116"/>
      <c r="I4" s="1116"/>
      <c r="J4" s="1116"/>
    </row>
    <row r="5" spans="1:10" ht="18" customHeight="1" thickBot="1" x14ac:dyDescent="0.35">
      <c r="A5" s="1128" t="s">
        <v>396</v>
      </c>
      <c r="B5" s="1128"/>
      <c r="C5" s="1128"/>
      <c r="D5" s="1128"/>
      <c r="E5" s="1128"/>
      <c r="F5" s="1128"/>
      <c r="G5" s="1128"/>
      <c r="H5" s="1128"/>
      <c r="I5" s="4"/>
    </row>
    <row r="6" spans="1:10" x14ac:dyDescent="0.3">
      <c r="A6" s="7"/>
      <c r="B6" s="8"/>
      <c r="C6" s="8"/>
      <c r="D6" s="8"/>
      <c r="E6" s="8"/>
      <c r="F6" s="8"/>
      <c r="G6" s="8"/>
      <c r="H6" s="8"/>
      <c r="I6" s="8"/>
      <c r="J6" s="9"/>
    </row>
    <row r="7" spans="1:10" x14ac:dyDescent="0.3">
      <c r="A7" s="10"/>
      <c r="B7" s="11"/>
      <c r="C7" s="11"/>
      <c r="D7" s="11"/>
      <c r="E7" s="11"/>
      <c r="F7" s="11"/>
      <c r="G7" s="11"/>
      <c r="H7" s="11"/>
      <c r="I7" s="11"/>
      <c r="J7" s="12"/>
    </row>
    <row r="8" spans="1:10" x14ac:dyDescent="0.3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6" customHeight="1" x14ac:dyDescent="0.3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9" customHeight="1" thickBot="1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2"/>
    </row>
    <row r="11" spans="1:10" x14ac:dyDescent="0.3">
      <c r="A11" s="10"/>
      <c r="B11" s="11"/>
      <c r="C11" s="1119" t="s">
        <v>397</v>
      </c>
      <c r="D11" s="1120"/>
      <c r="E11" s="1120"/>
      <c r="F11" s="1120"/>
      <c r="G11" s="1120"/>
      <c r="H11" s="1121"/>
      <c r="I11" s="11"/>
      <c r="J11" s="12"/>
    </row>
    <row r="12" spans="1:10" x14ac:dyDescent="0.3">
      <c r="A12" s="10"/>
      <c r="B12" s="11"/>
      <c r="C12" s="1122"/>
      <c r="D12" s="1123"/>
      <c r="E12" s="1123"/>
      <c r="F12" s="1123"/>
      <c r="G12" s="1123"/>
      <c r="H12" s="1124"/>
      <c r="I12" s="11"/>
      <c r="J12" s="12"/>
    </row>
    <row r="13" spans="1:10" x14ac:dyDescent="0.3">
      <c r="A13" s="10"/>
      <c r="B13" s="11"/>
      <c r="C13" s="1122"/>
      <c r="D13" s="1123"/>
      <c r="E13" s="1123"/>
      <c r="F13" s="1123"/>
      <c r="G13" s="1123"/>
      <c r="H13" s="1124"/>
      <c r="I13" s="11"/>
      <c r="J13" s="12"/>
    </row>
    <row r="14" spans="1:10" x14ac:dyDescent="0.3">
      <c r="A14" s="10"/>
      <c r="B14" s="11"/>
      <c r="C14" s="1122"/>
      <c r="D14" s="1123"/>
      <c r="E14" s="1123"/>
      <c r="F14" s="1123"/>
      <c r="G14" s="1123"/>
      <c r="H14" s="1124"/>
      <c r="I14" s="11"/>
      <c r="J14" s="12"/>
    </row>
    <row r="15" spans="1:10" x14ac:dyDescent="0.3">
      <c r="A15" s="10"/>
      <c r="B15" s="11"/>
      <c r="C15" s="1122"/>
      <c r="D15" s="1123"/>
      <c r="E15" s="1123"/>
      <c r="F15" s="1123"/>
      <c r="G15" s="1123"/>
      <c r="H15" s="1124"/>
      <c r="I15" s="11"/>
      <c r="J15" s="12"/>
    </row>
    <row r="16" spans="1:10" x14ac:dyDescent="0.3">
      <c r="A16" s="10"/>
      <c r="B16" s="11"/>
      <c r="C16" s="1122"/>
      <c r="D16" s="1123"/>
      <c r="E16" s="1123"/>
      <c r="F16" s="1123"/>
      <c r="G16" s="1123"/>
      <c r="H16" s="1124"/>
      <c r="I16" s="11"/>
      <c r="J16" s="12"/>
    </row>
    <row r="17" spans="1:10" ht="17.25" thickBot="1" x14ac:dyDescent="0.35">
      <c r="A17" s="10"/>
      <c r="B17" s="11"/>
      <c r="C17" s="1125"/>
      <c r="D17" s="1126"/>
      <c r="E17" s="1126"/>
      <c r="F17" s="1126"/>
      <c r="G17" s="1126"/>
      <c r="H17" s="1127"/>
      <c r="I17" s="11"/>
      <c r="J17" s="12"/>
    </row>
    <row r="18" spans="1:10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2"/>
    </row>
    <row r="19" spans="1:10" x14ac:dyDescent="0.3">
      <c r="A19" s="10"/>
      <c r="B19" s="11"/>
      <c r="C19" s="18" t="s">
        <v>398</v>
      </c>
      <c r="D19" s="11"/>
      <c r="E19" s="11"/>
      <c r="F19" s="11"/>
      <c r="G19" s="11"/>
      <c r="H19" s="11"/>
      <c r="I19" s="11"/>
      <c r="J19" s="12"/>
    </row>
    <row r="20" spans="1:10" ht="9.75" customHeight="1" thickBot="1" x14ac:dyDescent="0.35">
      <c r="A20" s="10"/>
      <c r="B20" s="11"/>
      <c r="C20" s="18"/>
      <c r="D20" s="11"/>
      <c r="E20" s="11"/>
      <c r="F20" s="11"/>
      <c r="G20" s="11"/>
      <c r="H20" s="11"/>
      <c r="I20" s="11"/>
      <c r="J20" s="12"/>
    </row>
    <row r="21" spans="1:10" x14ac:dyDescent="0.3">
      <c r="A21" s="10"/>
      <c r="B21" s="11"/>
      <c r="C21" s="19" t="s">
        <v>399</v>
      </c>
      <c r="D21" s="20"/>
      <c r="E21" s="20"/>
      <c r="F21" s="20"/>
      <c r="G21" s="20"/>
      <c r="H21" s="21"/>
      <c r="I21" s="11"/>
      <c r="J21" s="12"/>
    </row>
    <row r="22" spans="1:10" x14ac:dyDescent="0.3">
      <c r="A22" s="10"/>
      <c r="B22" s="11"/>
      <c r="C22" s="22" t="s">
        <v>400</v>
      </c>
      <c r="D22" s="23"/>
      <c r="E22" s="23"/>
      <c r="F22" s="23"/>
      <c r="G22" s="23"/>
      <c r="H22" s="24"/>
      <c r="I22" s="11"/>
      <c r="J22" s="12"/>
    </row>
    <row r="23" spans="1:10" x14ac:dyDescent="0.3">
      <c r="A23" s="10"/>
      <c r="B23" s="11"/>
      <c r="C23" s="22" t="s">
        <v>401</v>
      </c>
      <c r="D23" s="23"/>
      <c r="E23" s="23"/>
      <c r="F23" s="23"/>
      <c r="G23" s="23"/>
      <c r="H23" s="24"/>
      <c r="I23" s="11"/>
      <c r="J23" s="12"/>
    </row>
    <row r="24" spans="1:10" ht="17.25" thickBot="1" x14ac:dyDescent="0.35">
      <c r="A24" s="10"/>
      <c r="B24" s="11"/>
      <c r="C24" s="25" t="s">
        <v>402</v>
      </c>
      <c r="D24" s="26"/>
      <c r="E24" s="26"/>
      <c r="F24" s="26"/>
      <c r="G24" s="26"/>
      <c r="H24" s="27"/>
      <c r="I24" s="11"/>
      <c r="J24" s="12"/>
    </row>
    <row r="25" spans="1:10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2"/>
    </row>
    <row r="26" spans="1:10" x14ac:dyDescent="0.3">
      <c r="A26" s="28" t="s">
        <v>403</v>
      </c>
      <c r="B26" s="11" t="s">
        <v>404</v>
      </c>
      <c r="C26" s="11"/>
      <c r="D26" s="11"/>
      <c r="E26" s="11"/>
      <c r="F26" s="11"/>
      <c r="G26" s="11"/>
      <c r="H26" s="11"/>
      <c r="I26" s="11"/>
      <c r="J26" s="12"/>
    </row>
    <row r="27" spans="1:10" x14ac:dyDescent="0.3">
      <c r="A27" s="28" t="s">
        <v>405</v>
      </c>
      <c r="B27" s="11" t="s">
        <v>406</v>
      </c>
      <c r="C27" s="11"/>
      <c r="D27" s="11"/>
      <c r="E27" s="11"/>
      <c r="F27" s="11"/>
      <c r="G27" s="11"/>
      <c r="H27" s="11"/>
      <c r="I27" s="11"/>
      <c r="J27" s="12"/>
    </row>
    <row r="28" spans="1:10" x14ac:dyDescent="0.3">
      <c r="A28" s="28" t="s">
        <v>407</v>
      </c>
      <c r="B28" s="11" t="s">
        <v>408</v>
      </c>
      <c r="C28" s="11"/>
      <c r="D28" s="11"/>
      <c r="E28" s="11"/>
      <c r="F28" s="11"/>
      <c r="G28" s="11"/>
      <c r="H28" s="11"/>
      <c r="I28" s="11"/>
      <c r="J28" s="12"/>
    </row>
    <row r="29" spans="1:10" x14ac:dyDescent="0.3">
      <c r="A29" s="28" t="s">
        <v>409</v>
      </c>
      <c r="B29" s="29" t="s">
        <v>410</v>
      </c>
      <c r="C29" s="11"/>
      <c r="D29" s="11"/>
      <c r="E29" s="11"/>
      <c r="F29" s="11"/>
      <c r="G29" s="11"/>
      <c r="H29" s="11"/>
      <c r="I29" s="11"/>
      <c r="J29" s="12"/>
    </row>
    <row r="30" spans="1:10" x14ac:dyDescent="0.3">
      <c r="A30" s="28" t="s">
        <v>411</v>
      </c>
      <c r="B30" s="29" t="s">
        <v>412</v>
      </c>
      <c r="C30" s="11"/>
      <c r="D30" s="11"/>
      <c r="E30" s="11"/>
      <c r="F30" s="11"/>
      <c r="G30" s="11"/>
      <c r="H30" s="11"/>
      <c r="I30" s="11"/>
      <c r="J30" s="12"/>
    </row>
    <row r="31" spans="1:10" x14ac:dyDescent="0.3">
      <c r="A31" s="28" t="s">
        <v>413</v>
      </c>
      <c r="B31" s="29" t="s">
        <v>414</v>
      </c>
      <c r="C31" s="11"/>
      <c r="D31" s="11"/>
      <c r="E31" s="11"/>
      <c r="F31" s="11"/>
      <c r="G31" s="11"/>
      <c r="H31" s="11"/>
      <c r="I31" s="11"/>
      <c r="J31" s="12"/>
    </row>
    <row r="32" spans="1:10" x14ac:dyDescent="0.3">
      <c r="A32" s="28" t="s">
        <v>415</v>
      </c>
      <c r="B32" s="29" t="s">
        <v>416</v>
      </c>
      <c r="C32" s="11"/>
      <c r="D32" s="11"/>
      <c r="E32" s="11"/>
      <c r="F32" s="11"/>
      <c r="G32" s="11"/>
      <c r="H32" s="11"/>
      <c r="I32" s="11"/>
      <c r="J32" s="12"/>
    </row>
    <row r="33" spans="1:10" x14ac:dyDescent="0.3">
      <c r="A33" s="28" t="s">
        <v>417</v>
      </c>
      <c r="B33" s="29" t="s">
        <v>418</v>
      </c>
      <c r="C33" s="11"/>
      <c r="D33" s="11"/>
      <c r="E33" s="11"/>
      <c r="F33" s="11"/>
      <c r="G33" s="11"/>
      <c r="H33" s="11"/>
      <c r="I33" s="11"/>
      <c r="J33" s="12"/>
    </row>
    <row r="34" spans="1:10" x14ac:dyDescent="0.3">
      <c r="A34" s="28" t="s">
        <v>419</v>
      </c>
      <c r="B34" s="29" t="s">
        <v>420</v>
      </c>
      <c r="C34" s="11"/>
      <c r="D34" s="11"/>
      <c r="E34" s="11"/>
      <c r="F34" s="11"/>
      <c r="G34" s="11"/>
      <c r="H34" s="11"/>
      <c r="I34" s="11"/>
      <c r="J34" s="12"/>
    </row>
    <row r="35" spans="1:10" x14ac:dyDescent="0.3">
      <c r="A35" s="28" t="s">
        <v>421</v>
      </c>
      <c r="B35" s="29" t="s">
        <v>422</v>
      </c>
      <c r="C35" s="11"/>
      <c r="D35" s="11"/>
      <c r="E35" s="11"/>
      <c r="F35" s="11"/>
      <c r="G35" s="11"/>
      <c r="H35" s="11"/>
      <c r="I35" s="11"/>
      <c r="J35" s="12"/>
    </row>
    <row r="36" spans="1:10" x14ac:dyDescent="0.3">
      <c r="A36" s="28" t="s">
        <v>423</v>
      </c>
      <c r="B36" s="29" t="s">
        <v>424</v>
      </c>
      <c r="C36" s="11"/>
      <c r="D36" s="11"/>
      <c r="E36" s="11"/>
      <c r="F36" s="11"/>
      <c r="G36" s="11"/>
      <c r="H36" s="11"/>
      <c r="I36" s="11"/>
      <c r="J36" s="12"/>
    </row>
    <row r="37" spans="1:10" x14ac:dyDescent="0.3">
      <c r="A37" s="28" t="s">
        <v>425</v>
      </c>
      <c r="B37" s="29" t="s">
        <v>426</v>
      </c>
      <c r="C37" s="11"/>
      <c r="D37" s="11"/>
      <c r="E37" s="11"/>
      <c r="F37" s="11"/>
      <c r="G37" s="11"/>
      <c r="H37" s="11"/>
      <c r="I37" s="11"/>
      <c r="J37" s="12"/>
    </row>
    <row r="38" spans="1:10" x14ac:dyDescent="0.3">
      <c r="A38" s="28" t="s">
        <v>427</v>
      </c>
      <c r="B38" s="29" t="s">
        <v>428</v>
      </c>
      <c r="C38" s="11"/>
      <c r="D38" s="11"/>
      <c r="E38" s="11"/>
      <c r="F38" s="11"/>
      <c r="G38" s="11"/>
      <c r="H38" s="11"/>
      <c r="I38" s="11"/>
      <c r="J38" s="12"/>
    </row>
    <row r="39" spans="1:10" x14ac:dyDescent="0.3">
      <c r="A39" s="28" t="s">
        <v>429</v>
      </c>
      <c r="B39" s="29" t="s">
        <v>430</v>
      </c>
      <c r="C39" s="11"/>
      <c r="D39" s="11"/>
      <c r="E39" s="11"/>
      <c r="F39" s="11"/>
      <c r="G39" s="11"/>
      <c r="H39" s="11"/>
      <c r="I39" s="11"/>
      <c r="J39" s="12"/>
    </row>
    <row r="40" spans="1:10" x14ac:dyDescent="0.3">
      <c r="A40" s="28" t="s">
        <v>431</v>
      </c>
      <c r="B40" s="29" t="s">
        <v>432</v>
      </c>
      <c r="C40" s="11"/>
      <c r="D40" s="11"/>
      <c r="E40" s="11"/>
      <c r="F40" s="11"/>
      <c r="G40" s="11"/>
      <c r="H40" s="11"/>
      <c r="I40" s="11"/>
      <c r="J40" s="12"/>
    </row>
    <row r="41" spans="1:10" x14ac:dyDescent="0.3">
      <c r="A41" s="28" t="s">
        <v>433</v>
      </c>
      <c r="B41" s="29" t="s">
        <v>434</v>
      </c>
      <c r="C41" s="11"/>
      <c r="D41" s="11"/>
      <c r="E41" s="11"/>
      <c r="F41" s="11"/>
      <c r="G41" s="11"/>
      <c r="H41" s="11"/>
      <c r="I41" s="11"/>
      <c r="J41" s="12"/>
    </row>
    <row r="42" spans="1:10" x14ac:dyDescent="0.3">
      <c r="A42" s="28" t="s">
        <v>435</v>
      </c>
      <c r="B42" s="29" t="s">
        <v>436</v>
      </c>
      <c r="C42" s="11"/>
      <c r="D42" s="11"/>
      <c r="E42" s="11"/>
      <c r="F42" s="11"/>
      <c r="G42" s="11"/>
      <c r="H42" s="11"/>
      <c r="I42" s="11"/>
      <c r="J42" s="12"/>
    </row>
    <row r="43" spans="1:10" x14ac:dyDescent="0.3">
      <c r="A43" s="10"/>
      <c r="B43" s="11"/>
      <c r="C43" s="11"/>
      <c r="D43" s="11"/>
      <c r="E43" s="11"/>
      <c r="F43" s="11"/>
      <c r="G43" s="11"/>
      <c r="H43" s="11"/>
      <c r="I43" s="11"/>
      <c r="J43" s="12"/>
    </row>
    <row r="44" spans="1:10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2"/>
    </row>
    <row r="45" spans="1:10" x14ac:dyDescent="0.3">
      <c r="A45" s="10"/>
      <c r="B45" s="11"/>
      <c r="C45" s="11"/>
      <c r="D45" s="11"/>
      <c r="E45" s="11"/>
      <c r="F45" s="11"/>
      <c r="G45" s="11"/>
      <c r="H45" s="11"/>
      <c r="I45" s="11"/>
      <c r="J45" s="12"/>
    </row>
    <row r="46" spans="1:10" x14ac:dyDescent="0.3">
      <c r="A46" s="10"/>
      <c r="B46" s="11"/>
      <c r="C46" s="11"/>
      <c r="D46" s="11"/>
      <c r="E46" s="11"/>
      <c r="F46" s="11"/>
      <c r="G46" s="11"/>
      <c r="H46" s="11"/>
      <c r="I46" s="11"/>
      <c r="J46" s="12"/>
    </row>
    <row r="47" spans="1:10" x14ac:dyDescent="0.3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x14ac:dyDescent="0.3">
      <c r="A48" s="10"/>
      <c r="B48" s="11"/>
      <c r="C48" s="11"/>
      <c r="D48" s="11"/>
      <c r="E48" s="11"/>
      <c r="F48" s="11"/>
      <c r="G48" s="11"/>
      <c r="H48" s="11"/>
      <c r="I48" s="11"/>
      <c r="J48" s="12"/>
    </row>
    <row r="49" spans="1:10" x14ac:dyDescent="0.3">
      <c r="A49" s="10"/>
      <c r="B49" s="11"/>
      <c r="C49" s="11"/>
      <c r="D49" s="11"/>
      <c r="E49" s="11"/>
      <c r="F49" s="11"/>
      <c r="G49" s="11"/>
      <c r="H49" s="11"/>
      <c r="I49" s="18"/>
      <c r="J49" s="12"/>
    </row>
    <row r="50" spans="1:10" ht="17.25" thickBot="1" x14ac:dyDescent="0.35">
      <c r="A50" s="15"/>
      <c r="B50" s="1"/>
      <c r="C50" s="1"/>
      <c r="D50" s="1"/>
      <c r="E50" s="1"/>
      <c r="F50" s="1"/>
      <c r="G50" s="1"/>
      <c r="H50" s="1"/>
      <c r="I50" s="1"/>
      <c r="J50" s="2"/>
    </row>
  </sheetData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topLeftCell="A16" zoomScaleNormal="100" zoomScaleSheetLayoutView="100" workbookViewId="0">
      <selection activeCell="H47" sqref="H47"/>
    </sheetView>
  </sheetViews>
  <sheetFormatPr baseColWidth="10" defaultColWidth="11.28515625" defaultRowHeight="16.5" x14ac:dyDescent="0.25"/>
  <cols>
    <col min="1" max="1" width="1.140625" style="214" customWidth="1"/>
    <col min="2" max="2" width="31.7109375" style="214" customWidth="1"/>
    <col min="3" max="4" width="14.28515625" style="103" customWidth="1"/>
    <col min="5" max="5" width="13.140625" style="103" customWidth="1"/>
    <col min="6" max="6" width="14" style="103" customWidth="1"/>
    <col min="7" max="7" width="15" style="103" customWidth="1"/>
    <col min="8" max="8" width="14.28515625" style="103" customWidth="1"/>
    <col min="9" max="9" width="18.140625" style="103" customWidth="1"/>
    <col min="10" max="16384" width="11.28515625" style="103"/>
  </cols>
  <sheetData>
    <row r="1" spans="1:8" x14ac:dyDescent="0.25">
      <c r="A1" s="1067" t="s">
        <v>25</v>
      </c>
      <c r="B1" s="1067"/>
      <c r="C1" s="1067"/>
      <c r="D1" s="1067"/>
      <c r="E1" s="1067"/>
      <c r="F1" s="1067"/>
      <c r="G1" s="1067"/>
      <c r="H1" s="1067"/>
    </row>
    <row r="2" spans="1:8" s="142" customFormat="1" ht="15.75" x14ac:dyDescent="0.25">
      <c r="A2" s="1067" t="s">
        <v>11</v>
      </c>
      <c r="B2" s="1067"/>
      <c r="C2" s="1067"/>
      <c r="D2" s="1067"/>
      <c r="E2" s="1067"/>
      <c r="F2" s="1067"/>
      <c r="G2" s="1067"/>
      <c r="H2" s="1067"/>
    </row>
    <row r="3" spans="1:8" s="142" customFormat="1" ht="15.75" x14ac:dyDescent="0.25">
      <c r="A3" s="1068" t="str">
        <f>'ETCA-I-01'!A3:G3</f>
        <v>Centro de Evaluacion y Control de Confianza del Estado de Sonora</v>
      </c>
      <c r="B3" s="1068"/>
      <c r="C3" s="1068"/>
      <c r="D3" s="1068"/>
      <c r="E3" s="1068"/>
      <c r="F3" s="1068"/>
      <c r="G3" s="1068"/>
      <c r="H3" s="1068"/>
    </row>
    <row r="4" spans="1:8" s="142" customFormat="1" x14ac:dyDescent="0.25">
      <c r="A4" s="1069" t="str">
        <f>'ETCA-I-03'!A4:D4</f>
        <v>Del 01 de Enero  al 31 de Marzo de 2018</v>
      </c>
      <c r="B4" s="1069"/>
      <c r="C4" s="1069"/>
      <c r="D4" s="1069"/>
      <c r="E4" s="1069"/>
      <c r="F4" s="1069"/>
      <c r="G4" s="1069"/>
      <c r="H4" s="1069"/>
    </row>
    <row r="5" spans="1:8" s="144" customFormat="1" ht="17.25" thickBot="1" x14ac:dyDescent="0.3">
      <c r="A5" s="143"/>
      <c r="B5" s="143"/>
      <c r="C5" s="1070" t="s">
        <v>89</v>
      </c>
      <c r="D5" s="1070"/>
      <c r="E5" s="1070"/>
      <c r="F5" s="1070"/>
      <c r="G5" s="451"/>
      <c r="H5" s="45"/>
    </row>
    <row r="6" spans="1:8" s="177" customFormat="1" ht="38.25" x14ac:dyDescent="0.25">
      <c r="A6" s="1131" t="s">
        <v>437</v>
      </c>
      <c r="B6" s="1132"/>
      <c r="C6" s="698" t="s">
        <v>438</v>
      </c>
      <c r="D6" s="698" t="s">
        <v>439</v>
      </c>
      <c r="E6" s="698" t="s">
        <v>440</v>
      </c>
      <c r="F6" s="699" t="s">
        <v>441</v>
      </c>
      <c r="G6" s="699" t="s">
        <v>442</v>
      </c>
      <c r="H6" s="698" t="s">
        <v>443</v>
      </c>
    </row>
    <row r="7" spans="1:8" s="177" customFormat="1" ht="17.25" thickBot="1" x14ac:dyDescent="0.3">
      <c r="A7" s="1133"/>
      <c r="B7" s="1134"/>
      <c r="C7" s="194" t="s">
        <v>444</v>
      </c>
      <c r="D7" s="194" t="s">
        <v>445</v>
      </c>
      <c r="E7" s="194" t="s">
        <v>446</v>
      </c>
      <c r="F7" s="700" t="s">
        <v>447</v>
      </c>
      <c r="G7" s="700" t="s">
        <v>448</v>
      </c>
      <c r="H7" s="194" t="s">
        <v>449</v>
      </c>
    </row>
    <row r="8" spans="1:8" s="177" customFormat="1" ht="8.25" customHeight="1" x14ac:dyDescent="0.25">
      <c r="A8" s="180"/>
      <c r="B8" s="693"/>
      <c r="C8" s="701"/>
      <c r="D8" s="701"/>
      <c r="E8" s="702"/>
      <c r="F8" s="701"/>
      <c r="G8" s="701"/>
      <c r="H8" s="702"/>
    </row>
    <row r="9" spans="1:8" ht="17.100000000000001" customHeight="1" x14ac:dyDescent="0.25">
      <c r="A9" s="181"/>
      <c r="B9" s="694" t="s">
        <v>205</v>
      </c>
      <c r="C9" s="703"/>
      <c r="D9" s="703"/>
      <c r="E9" s="704">
        <f>C9+D9</f>
        <v>0</v>
      </c>
      <c r="F9" s="703"/>
      <c r="G9" s="703"/>
      <c r="H9" s="704">
        <f>G9-C9</f>
        <v>0</v>
      </c>
    </row>
    <row r="10" spans="1:8" ht="17.100000000000001" customHeight="1" x14ac:dyDescent="0.25">
      <c r="A10" s="181"/>
      <c r="B10" s="694" t="s">
        <v>206</v>
      </c>
      <c r="C10" s="703">
        <v>0</v>
      </c>
      <c r="D10" s="703">
        <v>0</v>
      </c>
      <c r="E10" s="704">
        <f t="shared" ref="E10:E24" si="0">C10+D10</f>
        <v>0</v>
      </c>
      <c r="F10" s="703">
        <v>0</v>
      </c>
      <c r="G10" s="703">
        <v>0</v>
      </c>
      <c r="H10" s="704">
        <f t="shared" ref="H10:H23" si="1">G10-C10</f>
        <v>0</v>
      </c>
    </row>
    <row r="11" spans="1:8" ht="17.100000000000001" customHeight="1" x14ac:dyDescent="0.25">
      <c r="A11" s="181"/>
      <c r="B11" s="694" t="s">
        <v>450</v>
      </c>
      <c r="C11" s="703"/>
      <c r="D11" s="703"/>
      <c r="E11" s="704">
        <f t="shared" si="0"/>
        <v>0</v>
      </c>
      <c r="F11" s="703"/>
      <c r="G11" s="703"/>
      <c r="H11" s="704">
        <f t="shared" si="1"/>
        <v>0</v>
      </c>
    </row>
    <row r="12" spans="1:8" ht="17.100000000000001" customHeight="1" x14ac:dyDescent="0.25">
      <c r="A12" s="181"/>
      <c r="B12" s="694" t="s">
        <v>208</v>
      </c>
      <c r="C12" s="725">
        <v>8474999.9999999981</v>
      </c>
      <c r="D12" s="703"/>
      <c r="E12" s="726">
        <f>C12+D19</f>
        <v>8474999.9999999981</v>
      </c>
      <c r="F12" s="725">
        <v>546500</v>
      </c>
      <c r="G12" s="725">
        <v>546500</v>
      </c>
      <c r="H12" s="726">
        <f>E12-G12</f>
        <v>7928499.9999999981</v>
      </c>
    </row>
    <row r="13" spans="1:8" ht="17.100000000000001" customHeight="1" x14ac:dyDescent="0.25">
      <c r="A13" s="181"/>
      <c r="B13" s="694" t="s">
        <v>451</v>
      </c>
      <c r="C13" s="704">
        <f>C14+C15</f>
        <v>0</v>
      </c>
      <c r="D13" s="704">
        <f>D14+D15</f>
        <v>0</v>
      </c>
      <c r="E13" s="704">
        <f t="shared" si="0"/>
        <v>0</v>
      </c>
      <c r="F13" s="704">
        <f>F14+F15</f>
        <v>0</v>
      </c>
      <c r="G13" s="704">
        <f>G14+G15</f>
        <v>0</v>
      </c>
      <c r="H13" s="704">
        <f t="shared" si="1"/>
        <v>0</v>
      </c>
    </row>
    <row r="14" spans="1:8" ht="17.100000000000001" customHeight="1" x14ac:dyDescent="0.25">
      <c r="A14" s="181"/>
      <c r="B14" s="694" t="s">
        <v>452</v>
      </c>
      <c r="C14" s="703"/>
      <c r="D14" s="703"/>
      <c r="E14" s="704">
        <f t="shared" si="0"/>
        <v>0</v>
      </c>
      <c r="F14" s="703"/>
      <c r="G14" s="703"/>
      <c r="H14" s="704">
        <f t="shared" si="1"/>
        <v>0</v>
      </c>
    </row>
    <row r="15" spans="1:8" ht="17.100000000000001" customHeight="1" x14ac:dyDescent="0.25">
      <c r="A15" s="181"/>
      <c r="B15" s="694" t="s">
        <v>453</v>
      </c>
      <c r="C15" s="703"/>
      <c r="D15" s="703"/>
      <c r="E15" s="704">
        <f t="shared" si="0"/>
        <v>0</v>
      </c>
      <c r="F15" s="703"/>
      <c r="G15" s="705"/>
      <c r="H15" s="704">
        <f t="shared" si="1"/>
        <v>0</v>
      </c>
    </row>
    <row r="16" spans="1:8" ht="17.100000000000001" customHeight="1" x14ac:dyDescent="0.25">
      <c r="A16" s="181"/>
      <c r="B16" s="694" t="s">
        <v>454</v>
      </c>
      <c r="C16" s="704">
        <f>C17+C18</f>
        <v>0</v>
      </c>
      <c r="D16" s="704">
        <f>D17+D18</f>
        <v>0</v>
      </c>
      <c r="E16" s="704">
        <f t="shared" si="0"/>
        <v>0</v>
      </c>
      <c r="F16" s="704">
        <f>F17+F18</f>
        <v>0</v>
      </c>
      <c r="G16" s="704">
        <f>G17+G18</f>
        <v>0</v>
      </c>
      <c r="H16" s="704">
        <f t="shared" si="1"/>
        <v>0</v>
      </c>
    </row>
    <row r="17" spans="1:9" ht="17.100000000000001" customHeight="1" x14ac:dyDescent="0.25">
      <c r="A17" s="181"/>
      <c r="B17" s="694" t="s">
        <v>452</v>
      </c>
      <c r="C17" s="703"/>
      <c r="D17" s="703"/>
      <c r="E17" s="704">
        <f t="shared" si="0"/>
        <v>0</v>
      </c>
      <c r="F17" s="703"/>
      <c r="G17" s="703"/>
      <c r="H17" s="704">
        <f t="shared" si="1"/>
        <v>0</v>
      </c>
    </row>
    <row r="18" spans="1:9" ht="17.100000000000001" customHeight="1" x14ac:dyDescent="0.25">
      <c r="A18" s="181"/>
      <c r="B18" s="694" t="s">
        <v>453</v>
      </c>
      <c r="C18" s="703"/>
      <c r="D18" s="703"/>
      <c r="E18" s="704">
        <f t="shared" si="0"/>
        <v>0</v>
      </c>
      <c r="F18" s="703"/>
      <c r="G18" s="703"/>
      <c r="H18" s="704">
        <f t="shared" si="1"/>
        <v>0</v>
      </c>
    </row>
    <row r="19" spans="1:9" ht="17.100000000000001" customHeight="1" x14ac:dyDescent="0.25">
      <c r="A19" s="181"/>
      <c r="B19" s="694" t="s">
        <v>455</v>
      </c>
      <c r="C19" s="1023"/>
      <c r="D19" s="725"/>
      <c r="F19" s="1024"/>
      <c r="H19" s="1023"/>
    </row>
    <row r="20" spans="1:9" ht="17.100000000000001" customHeight="1" x14ac:dyDescent="0.25">
      <c r="A20" s="181"/>
      <c r="B20" s="694" t="s">
        <v>214</v>
      </c>
      <c r="C20" s="725"/>
      <c r="D20" s="725"/>
      <c r="E20" s="726">
        <f t="shared" si="0"/>
        <v>0</v>
      </c>
      <c r="F20" s="725"/>
      <c r="G20" s="725"/>
      <c r="H20" s="725"/>
    </row>
    <row r="21" spans="1:9" ht="25.5" x14ac:dyDescent="0.25">
      <c r="A21" s="181"/>
      <c r="B21" s="694" t="s">
        <v>456</v>
      </c>
      <c r="C21" s="725">
        <v>0</v>
      </c>
      <c r="D21" s="725"/>
      <c r="E21" s="726">
        <f t="shared" si="0"/>
        <v>0</v>
      </c>
      <c r="F21" s="726">
        <v>0</v>
      </c>
      <c r="G21" s="726">
        <v>0</v>
      </c>
      <c r="H21" s="726">
        <f t="shared" si="1"/>
        <v>0</v>
      </c>
    </row>
    <row r="22" spans="1:9" ht="25.5" x14ac:dyDescent="0.25">
      <c r="A22" s="181"/>
      <c r="B22" s="694" t="s">
        <v>457</v>
      </c>
      <c r="C22" s="725">
        <v>46848720</v>
      </c>
      <c r="D22" s="725"/>
      <c r="E22" s="726">
        <f t="shared" si="0"/>
        <v>46848720</v>
      </c>
      <c r="F22" s="725">
        <v>10431162.24</v>
      </c>
      <c r="G22" s="725">
        <v>10431162.24</v>
      </c>
      <c r="H22" s="726">
        <f>E22-G22</f>
        <v>36417557.759999998</v>
      </c>
      <c r="I22" s="936"/>
    </row>
    <row r="23" spans="1:9" ht="17.100000000000001" customHeight="1" thickBot="1" x14ac:dyDescent="0.3">
      <c r="A23" s="182"/>
      <c r="B23" s="695" t="s">
        <v>458</v>
      </c>
      <c r="C23" s="706"/>
      <c r="D23" s="706"/>
      <c r="E23" s="707">
        <f t="shared" si="0"/>
        <v>0</v>
      </c>
      <c r="F23" s="706"/>
      <c r="G23" s="706"/>
      <c r="H23" s="707">
        <f t="shared" si="1"/>
        <v>0</v>
      </c>
      <c r="I23" s="920"/>
    </row>
    <row r="24" spans="1:9" s="215" customFormat="1" ht="28.5" customHeight="1" thickBot="1" x14ac:dyDescent="0.3">
      <c r="A24" s="1135" t="s">
        <v>265</v>
      </c>
      <c r="B24" s="1136"/>
      <c r="C24" s="727">
        <f>SUM(C10:C23)</f>
        <v>55323720</v>
      </c>
      <c r="D24" s="727">
        <f>D9+D10+D11+D12+D13+D16+D19+D20+D21+D22+D23</f>
        <v>0</v>
      </c>
      <c r="E24" s="727">
        <f t="shared" si="0"/>
        <v>55323720</v>
      </c>
      <c r="F24" s="727">
        <f>SUM(F12:F23)</f>
        <v>10977662.24</v>
      </c>
      <c r="G24" s="727">
        <f>SUM(G12:G23)</f>
        <v>10977662.24</v>
      </c>
      <c r="H24" s="727">
        <f>E24-G24</f>
        <v>44346057.759999998</v>
      </c>
    </row>
    <row r="25" spans="1:9" ht="22.5" customHeight="1" thickBot="1" x14ac:dyDescent="0.3">
      <c r="A25" s="183"/>
      <c r="B25" s="183"/>
      <c r="C25" s="184"/>
      <c r="D25" s="184"/>
      <c r="E25" s="184"/>
      <c r="F25" s="185"/>
      <c r="G25" s="949"/>
      <c r="H25" s="683" t="str">
        <f>IF(($G$24-$C$24)&lt;=0,"",$G$24-$C$24)</f>
        <v/>
      </c>
    </row>
    <row r="26" spans="1:9" ht="10.5" customHeight="1" thickBot="1" x14ac:dyDescent="0.3">
      <c r="A26" s="186"/>
      <c r="B26" s="186"/>
      <c r="C26" s="187"/>
      <c r="D26" s="187"/>
      <c r="E26" s="187"/>
      <c r="F26" s="188"/>
      <c r="G26" s="189"/>
      <c r="H26" s="185"/>
    </row>
    <row r="27" spans="1:9" s="177" customFormat="1" ht="38.25" x14ac:dyDescent="0.25">
      <c r="A27" s="1137" t="s">
        <v>460</v>
      </c>
      <c r="B27" s="1138"/>
      <c r="C27" s="190" t="s">
        <v>438</v>
      </c>
      <c r="D27" s="696" t="s">
        <v>439</v>
      </c>
      <c r="E27" s="698" t="s">
        <v>440</v>
      </c>
      <c r="F27" s="699" t="s">
        <v>441</v>
      </c>
      <c r="G27" s="699" t="s">
        <v>442</v>
      </c>
      <c r="H27" s="698" t="s">
        <v>443</v>
      </c>
    </row>
    <row r="28" spans="1:9" s="177" customFormat="1" ht="17.25" thickBot="1" x14ac:dyDescent="0.3">
      <c r="A28" s="191"/>
      <c r="B28" s="192" t="s">
        <v>461</v>
      </c>
      <c r="C28" s="193" t="s">
        <v>444</v>
      </c>
      <c r="D28" s="697" t="s">
        <v>445</v>
      </c>
      <c r="E28" s="194" t="s">
        <v>446</v>
      </c>
      <c r="F28" s="700" t="s">
        <v>447</v>
      </c>
      <c r="G28" s="700" t="s">
        <v>448</v>
      </c>
      <c r="H28" s="194" t="s">
        <v>449</v>
      </c>
    </row>
    <row r="29" spans="1:9" s="197" customFormat="1" ht="17.100000000000001" customHeight="1" x14ac:dyDescent="0.25">
      <c r="A29" s="195" t="s">
        <v>462</v>
      </c>
      <c r="B29" s="196"/>
      <c r="C29" s="728">
        <f t="shared" ref="C29:H29" si="2">SUM(C30:C33,C36,C39:C40)</f>
        <v>0</v>
      </c>
      <c r="D29" s="728">
        <f t="shared" si="2"/>
        <v>0</v>
      </c>
      <c r="E29" s="728">
        <f t="shared" si="2"/>
        <v>0</v>
      </c>
      <c r="F29" s="728">
        <f t="shared" si="2"/>
        <v>0</v>
      </c>
      <c r="G29" s="728">
        <f t="shared" si="2"/>
        <v>0</v>
      </c>
      <c r="H29" s="728">
        <f t="shared" si="2"/>
        <v>0</v>
      </c>
    </row>
    <row r="30" spans="1:9" s="197" customFormat="1" ht="17.100000000000001" customHeight="1" x14ac:dyDescent="0.25">
      <c r="A30" s="198" t="s">
        <v>463</v>
      </c>
      <c r="B30" s="199"/>
      <c r="C30" s="729">
        <v>0</v>
      </c>
      <c r="D30" s="729">
        <v>0</v>
      </c>
      <c r="E30" s="730">
        <f>C30+D30</f>
        <v>0</v>
      </c>
      <c r="F30" s="729">
        <v>0</v>
      </c>
      <c r="G30" s="729">
        <v>0</v>
      </c>
      <c r="H30" s="731">
        <f>G30-C30</f>
        <v>0</v>
      </c>
    </row>
    <row r="31" spans="1:9" s="197" customFormat="1" ht="17.100000000000001" customHeight="1" x14ac:dyDescent="0.25">
      <c r="A31" s="198" t="s">
        <v>450</v>
      </c>
      <c r="B31" s="199"/>
      <c r="C31" s="729"/>
      <c r="D31" s="729"/>
      <c r="E31" s="730">
        <f t="shared" ref="E31:E49" si="3">C31+D31</f>
        <v>0</v>
      </c>
      <c r="F31" s="729"/>
      <c r="G31" s="729"/>
      <c r="H31" s="731">
        <f t="shared" ref="H31:H49" si="4">G31-C31</f>
        <v>0</v>
      </c>
    </row>
    <row r="32" spans="1:9" s="197" customFormat="1" x14ac:dyDescent="0.25">
      <c r="A32" s="1139" t="s">
        <v>208</v>
      </c>
      <c r="B32" s="1140"/>
      <c r="C32" s="729"/>
      <c r="D32" s="729"/>
      <c r="E32" s="730">
        <f t="shared" si="3"/>
        <v>0</v>
      </c>
      <c r="F32" s="729"/>
      <c r="G32" s="729"/>
      <c r="H32" s="731">
        <f t="shared" si="4"/>
        <v>0</v>
      </c>
    </row>
    <row r="33" spans="1:9" s="197" customFormat="1" ht="17.100000000000001" customHeight="1" x14ac:dyDescent="0.25">
      <c r="A33" s="198" t="s">
        <v>451</v>
      </c>
      <c r="B33" s="199"/>
      <c r="C33" s="921">
        <f>C34+C35</f>
        <v>0</v>
      </c>
      <c r="D33" s="921">
        <f>D34+D35</f>
        <v>0</v>
      </c>
      <c r="E33" s="921">
        <f>SUM(E34:E35)</f>
        <v>0</v>
      </c>
      <c r="F33" s="921">
        <f>F34+F35</f>
        <v>0</v>
      </c>
      <c r="G33" s="921">
        <f>G34+G35</f>
        <v>0</v>
      </c>
      <c r="H33" s="922">
        <f>SUM(H34:H35)</f>
        <v>0</v>
      </c>
    </row>
    <row r="34" spans="1:9" s="197" customFormat="1" ht="17.100000000000001" customHeight="1" x14ac:dyDescent="0.25">
      <c r="A34" s="200" t="s">
        <v>464</v>
      </c>
      <c r="B34" s="201"/>
      <c r="C34" s="729"/>
      <c r="D34" s="729"/>
      <c r="E34" s="730">
        <f t="shared" si="3"/>
        <v>0</v>
      </c>
      <c r="F34" s="729"/>
      <c r="G34" s="729"/>
      <c r="H34" s="731">
        <f t="shared" si="4"/>
        <v>0</v>
      </c>
    </row>
    <row r="35" spans="1:9" s="197" customFormat="1" ht="17.100000000000001" customHeight="1" x14ac:dyDescent="0.25">
      <c r="A35" s="200" t="s">
        <v>465</v>
      </c>
      <c r="B35" s="201"/>
      <c r="C35" s="729"/>
      <c r="D35" s="729"/>
      <c r="E35" s="730">
        <f t="shared" si="3"/>
        <v>0</v>
      </c>
      <c r="F35" s="729"/>
      <c r="G35" s="729"/>
      <c r="H35" s="731">
        <f t="shared" si="4"/>
        <v>0</v>
      </c>
    </row>
    <row r="36" spans="1:9" ht="17.100000000000001" customHeight="1" x14ac:dyDescent="0.25">
      <c r="A36" s="1139" t="s">
        <v>454</v>
      </c>
      <c r="B36" s="1140"/>
      <c r="C36" s="923">
        <f>C37+C38</f>
        <v>0</v>
      </c>
      <c r="D36" s="923">
        <f>D37+D38</f>
        <v>0</v>
      </c>
      <c r="E36" s="921">
        <f>SUM(E37:E38)</f>
        <v>0</v>
      </c>
      <c r="F36" s="923">
        <f>F37+F38</f>
        <v>0</v>
      </c>
      <c r="G36" s="923">
        <f>G37+G38</f>
        <v>0</v>
      </c>
      <c r="H36" s="922">
        <f>SUM(H37:H38)</f>
        <v>0</v>
      </c>
    </row>
    <row r="37" spans="1:9" ht="17.100000000000001" customHeight="1" x14ac:dyDescent="0.25">
      <c r="A37" s="682"/>
      <c r="B37" s="202" t="s">
        <v>464</v>
      </c>
      <c r="C37" s="924"/>
      <c r="D37" s="924"/>
      <c r="E37" s="730">
        <f t="shared" si="3"/>
        <v>0</v>
      </c>
      <c r="F37" s="924"/>
      <c r="G37" s="924"/>
      <c r="H37" s="731">
        <f t="shared" si="4"/>
        <v>0</v>
      </c>
    </row>
    <row r="38" spans="1:9" ht="17.100000000000001" customHeight="1" x14ac:dyDescent="0.25">
      <c r="A38" s="682"/>
      <c r="B38" s="202" t="s">
        <v>465</v>
      </c>
      <c r="C38" s="924"/>
      <c r="D38" s="924"/>
      <c r="E38" s="730">
        <f t="shared" si="3"/>
        <v>0</v>
      </c>
      <c r="F38" s="924"/>
      <c r="G38" s="924"/>
      <c r="H38" s="731">
        <f t="shared" si="4"/>
        <v>0</v>
      </c>
    </row>
    <row r="39" spans="1:9" s="197" customFormat="1" x14ac:dyDescent="0.25">
      <c r="A39" s="198" t="s">
        <v>214</v>
      </c>
      <c r="B39" s="199"/>
      <c r="C39" s="729">
        <v>0</v>
      </c>
      <c r="D39" s="729"/>
      <c r="E39" s="730">
        <f t="shared" si="3"/>
        <v>0</v>
      </c>
      <c r="F39" s="729"/>
      <c r="G39" s="729">
        <f>F39</f>
        <v>0</v>
      </c>
      <c r="H39" s="731">
        <f t="shared" si="4"/>
        <v>0</v>
      </c>
    </row>
    <row r="40" spans="1:9" s="197" customFormat="1" ht="27.75" customHeight="1" x14ac:dyDescent="0.25">
      <c r="A40" s="1139" t="s">
        <v>466</v>
      </c>
      <c r="B40" s="1140"/>
      <c r="C40" s="729"/>
      <c r="D40" s="729"/>
      <c r="E40" s="730">
        <f t="shared" si="3"/>
        <v>0</v>
      </c>
      <c r="F40" s="729"/>
      <c r="G40" s="729"/>
      <c r="H40" s="731">
        <f t="shared" si="4"/>
        <v>0</v>
      </c>
    </row>
    <row r="41" spans="1:9" s="197" customFormat="1" ht="8.25" customHeight="1" x14ac:dyDescent="0.25">
      <c r="A41" s="203"/>
      <c r="B41" s="204"/>
      <c r="C41" s="729"/>
      <c r="D41" s="729"/>
      <c r="E41" s="730"/>
      <c r="F41" s="729"/>
      <c r="G41" s="729"/>
      <c r="H41" s="731"/>
    </row>
    <row r="42" spans="1:9" s="197" customFormat="1" ht="17.100000000000001" customHeight="1" x14ac:dyDescent="0.25">
      <c r="A42" s="203" t="s">
        <v>467</v>
      </c>
      <c r="B42" s="204"/>
      <c r="C42" s="728">
        <f>SUM(C43:C46)</f>
        <v>55323720</v>
      </c>
      <c r="D42" s="728">
        <f t="shared" ref="D42:G42" si="5">SUM(D43:D46)</f>
        <v>0</v>
      </c>
      <c r="E42" s="728">
        <f t="shared" si="5"/>
        <v>55323720</v>
      </c>
      <c r="F42" s="728">
        <f t="shared" si="5"/>
        <v>10977662.24</v>
      </c>
      <c r="G42" s="728">
        <f t="shared" si="5"/>
        <v>10977662.24</v>
      </c>
      <c r="H42" s="728">
        <f>SUM(H43:H46)</f>
        <v>44346057.759999998</v>
      </c>
    </row>
    <row r="43" spans="1:9" s="197" customFormat="1" ht="17.100000000000001" customHeight="1" x14ac:dyDescent="0.25">
      <c r="A43" s="205"/>
      <c r="B43" s="206" t="s">
        <v>468</v>
      </c>
      <c r="C43" s="729"/>
      <c r="D43" s="729"/>
      <c r="E43" s="730">
        <f t="shared" si="3"/>
        <v>0</v>
      </c>
      <c r="F43" s="729"/>
      <c r="G43" s="729"/>
      <c r="H43" s="731">
        <f t="shared" si="4"/>
        <v>0</v>
      </c>
    </row>
    <row r="44" spans="1:9" s="197" customFormat="1" ht="17.100000000000001" customHeight="1" x14ac:dyDescent="0.25">
      <c r="A44" s="205"/>
      <c r="B44" s="206" t="s">
        <v>469</v>
      </c>
      <c r="C44" s="729">
        <v>8474999.9999999981</v>
      </c>
      <c r="D44" s="729"/>
      <c r="E44" s="730">
        <f t="shared" si="3"/>
        <v>8474999.9999999981</v>
      </c>
      <c r="F44" s="729">
        <f>F12</f>
        <v>546500</v>
      </c>
      <c r="G44" s="729">
        <f>G12</f>
        <v>546500</v>
      </c>
      <c r="H44" s="731">
        <f>E44-G44</f>
        <v>7928499.9999999981</v>
      </c>
      <c r="I44" s="732"/>
    </row>
    <row r="45" spans="1:9" s="197" customFormat="1" ht="29.25" customHeight="1" x14ac:dyDescent="0.25">
      <c r="A45" s="205"/>
      <c r="B45" s="207" t="s">
        <v>470</v>
      </c>
      <c r="C45" s="729"/>
      <c r="D45" s="729"/>
      <c r="E45" s="730">
        <f t="shared" si="3"/>
        <v>0</v>
      </c>
      <c r="F45" s="729"/>
      <c r="G45" s="729"/>
      <c r="H45" s="729"/>
    </row>
    <row r="46" spans="1:9" s="197" customFormat="1" ht="33.75" customHeight="1" x14ac:dyDescent="0.25">
      <c r="A46" s="205"/>
      <c r="B46" s="207" t="s">
        <v>471</v>
      </c>
      <c r="C46" s="729">
        <v>46848720</v>
      </c>
      <c r="D46" s="729"/>
      <c r="E46" s="729">
        <f>SUM(C46:D46)</f>
        <v>46848720</v>
      </c>
      <c r="F46" s="729">
        <f>F22</f>
        <v>10431162.24</v>
      </c>
      <c r="G46" s="729">
        <f>G22</f>
        <v>10431162.24</v>
      </c>
      <c r="H46" s="731">
        <f>E46-G46</f>
        <v>36417557.759999998</v>
      </c>
    </row>
    <row r="47" spans="1:9" s="197" customFormat="1" ht="17.25" customHeight="1" x14ac:dyDescent="0.25">
      <c r="A47" s="205"/>
      <c r="B47" s="206"/>
      <c r="C47" s="729"/>
      <c r="D47" s="729" t="s">
        <v>1244</v>
      </c>
      <c r="E47" s="729"/>
      <c r="F47" s="729"/>
      <c r="G47" s="729"/>
      <c r="H47" s="731"/>
    </row>
    <row r="48" spans="1:9" s="197" customFormat="1" ht="17.100000000000001" customHeight="1" x14ac:dyDescent="0.25">
      <c r="A48" s="203" t="s">
        <v>472</v>
      </c>
      <c r="B48" s="204"/>
      <c r="C48" s="728">
        <f t="shared" ref="C48:H48" si="6">C49</f>
        <v>0</v>
      </c>
      <c r="D48" s="728">
        <f t="shared" si="6"/>
        <v>0</v>
      </c>
      <c r="E48" s="728">
        <f t="shared" si="6"/>
        <v>0</v>
      </c>
      <c r="F48" s="728">
        <f t="shared" si="6"/>
        <v>0</v>
      </c>
      <c r="G48" s="728">
        <f t="shared" si="6"/>
        <v>0</v>
      </c>
      <c r="H48" s="728">
        <f t="shared" si="6"/>
        <v>0</v>
      </c>
    </row>
    <row r="49" spans="1:8" s="197" customFormat="1" ht="17.100000000000001" customHeight="1" x14ac:dyDescent="0.25">
      <c r="A49" s="203"/>
      <c r="B49" s="208" t="s">
        <v>458</v>
      </c>
      <c r="C49" s="729"/>
      <c r="D49" s="729"/>
      <c r="E49" s="730">
        <f t="shared" si="3"/>
        <v>0</v>
      </c>
      <c r="F49" s="729"/>
      <c r="G49" s="729"/>
      <c r="H49" s="731">
        <f t="shared" si="4"/>
        <v>0</v>
      </c>
    </row>
    <row r="50" spans="1:8" s="197" customFormat="1" ht="12.75" customHeight="1" thickBot="1" x14ac:dyDescent="0.3">
      <c r="A50" s="209"/>
      <c r="B50" s="210"/>
      <c r="C50" s="733"/>
      <c r="D50" s="733"/>
      <c r="E50" s="734"/>
      <c r="F50" s="733"/>
      <c r="G50" s="733"/>
      <c r="H50" s="735"/>
    </row>
    <row r="51" spans="1:8" ht="21.75" customHeight="1" thickBot="1" x14ac:dyDescent="0.3">
      <c r="A51" s="1129" t="s">
        <v>265</v>
      </c>
      <c r="B51" s="1130"/>
      <c r="C51" s="736">
        <f t="shared" ref="C51:G51" si="7">C29+C42+C48</f>
        <v>55323720</v>
      </c>
      <c r="D51" s="736">
        <f t="shared" si="7"/>
        <v>0</v>
      </c>
      <c r="E51" s="736">
        <f t="shared" si="7"/>
        <v>55323720</v>
      </c>
      <c r="F51" s="736">
        <f t="shared" si="7"/>
        <v>10977662.24</v>
      </c>
      <c r="G51" s="736">
        <f t="shared" si="7"/>
        <v>10977662.24</v>
      </c>
      <c r="H51" s="736">
        <f>H29+H42+H48</f>
        <v>44346057.759999998</v>
      </c>
    </row>
    <row r="52" spans="1:8" ht="23.25" customHeight="1" thickBot="1" x14ac:dyDescent="0.3">
      <c r="A52" s="183"/>
      <c r="B52" s="183"/>
      <c r="C52" s="211"/>
      <c r="D52" s="211"/>
      <c r="E52" s="211"/>
      <c r="F52" s="212"/>
      <c r="G52" s="684" t="s">
        <v>459</v>
      </c>
      <c r="H52" s="685" t="str">
        <f>IF(($G$51-$C$51)&lt;=0,"",$G$51-$C$51)</f>
        <v/>
      </c>
    </row>
    <row r="53" spans="1:8" ht="23.25" customHeight="1" x14ac:dyDescent="0.25">
      <c r="A53" s="186"/>
      <c r="B53" s="186"/>
      <c r="C53" s="480"/>
      <c r="D53" s="480"/>
      <c r="E53" s="480"/>
      <c r="F53" s="481"/>
      <c r="G53" s="482"/>
      <c r="H53" s="482"/>
    </row>
    <row r="54" spans="1:8" ht="23.25" customHeight="1" x14ac:dyDescent="0.25">
      <c r="A54" s="186"/>
      <c r="B54" s="186"/>
      <c r="C54" s="480"/>
      <c r="D54" s="480"/>
      <c r="E54" s="480"/>
      <c r="F54" s="481"/>
      <c r="G54" s="482"/>
      <c r="H54" s="482"/>
    </row>
    <row r="55" spans="1:8" ht="23.25" customHeight="1" x14ac:dyDescent="0.25">
      <c r="A55" s="186"/>
      <c r="B55" s="186"/>
      <c r="C55" s="480"/>
      <c r="D55" s="480"/>
      <c r="E55" s="480"/>
      <c r="F55" s="481"/>
      <c r="G55" s="482"/>
      <c r="H55" s="482"/>
    </row>
    <row r="56" spans="1:8" ht="8.25" customHeight="1" x14ac:dyDescent="0.25">
      <c r="A56" s="213"/>
      <c r="B56" s="103"/>
    </row>
    <row r="57" spans="1:8" x14ac:dyDescent="0.25">
      <c r="A57" s="216"/>
      <c r="B57" s="103"/>
      <c r="H57" s="408"/>
    </row>
    <row r="58" spans="1:8" x14ac:dyDescent="0.25">
      <c r="A58" s="217"/>
      <c r="B58" s="218" t="s">
        <v>473</v>
      </c>
      <c r="C58" s="219"/>
      <c r="D58" s="219"/>
      <c r="E58" s="219"/>
      <c r="F58" s="219"/>
      <c r="G58" s="219"/>
      <c r="H58" s="219"/>
    </row>
    <row r="59" spans="1:8" x14ac:dyDescent="0.25">
      <c r="A59" s="217"/>
      <c r="B59" s="218" t="s">
        <v>474</v>
      </c>
      <c r="C59" s="219"/>
      <c r="D59" s="219"/>
      <c r="E59" s="219"/>
      <c r="F59" s="219"/>
      <c r="G59" s="219"/>
      <c r="H59" s="219"/>
    </row>
    <row r="60" spans="1:8" x14ac:dyDescent="0.25">
      <c r="A60" s="217"/>
      <c r="B60" s="218"/>
      <c r="C60" s="219"/>
      <c r="D60" s="219"/>
      <c r="E60" s="219"/>
      <c r="F60" s="219"/>
      <c r="G60" s="219"/>
      <c r="H60" s="219"/>
    </row>
  </sheetData>
  <sheetProtection formatColumns="0" formatRows="0" insertHyperlinks="0"/>
  <mergeCells count="12">
    <mergeCell ref="A51:B51"/>
    <mergeCell ref="A1:H1"/>
    <mergeCell ref="A2:H2"/>
    <mergeCell ref="A3:H3"/>
    <mergeCell ref="A4:H4"/>
    <mergeCell ref="C5:F5"/>
    <mergeCell ref="A6:B7"/>
    <mergeCell ref="A24:B24"/>
    <mergeCell ref="A27:B27"/>
    <mergeCell ref="A32:B32"/>
    <mergeCell ref="A36:B36"/>
    <mergeCell ref="A40:B40"/>
  </mergeCells>
  <printOptions horizontalCentered="1"/>
  <pageMargins left="0.39370078740157483" right="0.39370078740157483" top="0.39370078740157483" bottom="0.51181102362204722" header="0.31496062992125984" footer="0.31496062992125984"/>
  <pageSetup scale="86" fitToHeight="2" orientation="landscape" r:id="rId1"/>
  <rowBreaks count="1" manualBreakCount="1">
    <brk id="26" max="7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15" zoomScale="120" zoomScaleNormal="120" workbookViewId="0">
      <selection activeCell="I15" sqref="I15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4" max="4" width="14.7109375" bestFit="1" customWidth="1"/>
    <col min="5" max="5" width="12.85546875" customWidth="1"/>
    <col min="6" max="6" width="14.7109375" bestFit="1" customWidth="1"/>
    <col min="7" max="8" width="14.42578125" bestFit="1" customWidth="1"/>
    <col min="9" max="9" width="14.7109375" bestFit="1" customWidth="1"/>
  </cols>
  <sheetData>
    <row r="1" spans="1:9" ht="15.75" x14ac:dyDescent="0.25">
      <c r="A1" s="1049" t="s">
        <v>25</v>
      </c>
      <c r="B1" s="1049"/>
      <c r="C1" s="1049"/>
      <c r="D1" s="1049"/>
      <c r="E1" s="1049"/>
      <c r="F1" s="1049"/>
      <c r="G1" s="1049"/>
      <c r="H1" s="1049"/>
      <c r="I1" s="1049"/>
    </row>
    <row r="2" spans="1:9" ht="15.75" customHeight="1" x14ac:dyDescent="0.25">
      <c r="A2" s="1050" t="s">
        <v>475</v>
      </c>
      <c r="B2" s="1050"/>
      <c r="C2" s="1050"/>
      <c r="D2" s="1050"/>
      <c r="E2" s="1050"/>
      <c r="F2" s="1050"/>
      <c r="G2" s="1050"/>
      <c r="H2" s="1050"/>
      <c r="I2" s="1050"/>
    </row>
    <row r="3" spans="1:9" ht="16.5" customHeight="1" x14ac:dyDescent="0.25">
      <c r="A3" s="1050" t="str">
        <f>'ETCA-I-01'!A3:G3</f>
        <v>Centro de Evaluacion y Control de Confianza del Estado de Sonora</v>
      </c>
      <c r="B3" s="1050"/>
      <c r="C3" s="1050"/>
      <c r="D3" s="1050"/>
      <c r="E3" s="1050"/>
      <c r="F3" s="1050"/>
      <c r="G3" s="1050"/>
      <c r="H3" s="1050"/>
      <c r="I3" s="1050"/>
    </row>
    <row r="4" spans="1:9" ht="15.75" customHeight="1" x14ac:dyDescent="0.25">
      <c r="A4" s="1141" t="str">
        <f>'ETCA-I-10'!A4:K4</f>
        <v>Del 01 de Enero  al 31 de Marzo de 2018</v>
      </c>
      <c r="B4" s="1141"/>
      <c r="C4" s="1141"/>
      <c r="D4" s="1141"/>
      <c r="E4" s="1141"/>
      <c r="F4" s="1141"/>
      <c r="G4" s="1141"/>
      <c r="H4" s="1141"/>
      <c r="I4" s="1141"/>
    </row>
    <row r="5" spans="1:9" ht="15.75" customHeight="1" thickBot="1" x14ac:dyDescent="0.3">
      <c r="A5" s="1086" t="s">
        <v>89</v>
      </c>
      <c r="B5" s="1086"/>
      <c r="C5" s="1086"/>
      <c r="D5" s="1086"/>
      <c r="E5" s="1086"/>
      <c r="F5" s="1086"/>
      <c r="G5" s="1086"/>
      <c r="H5" s="1086"/>
      <c r="I5" s="1086"/>
    </row>
    <row r="6" spans="1:9" ht="15.75" thickBot="1" x14ac:dyDescent="0.3">
      <c r="A6" s="1142"/>
      <c r="B6" s="1143"/>
      <c r="C6" s="1144"/>
      <c r="D6" s="1145" t="s">
        <v>476</v>
      </c>
      <c r="E6" s="1146"/>
      <c r="F6" s="1146"/>
      <c r="G6" s="1146"/>
      <c r="H6" s="1147"/>
      <c r="I6" s="1148" t="s">
        <v>477</v>
      </c>
    </row>
    <row r="7" spans="1:9" x14ac:dyDescent="0.25">
      <c r="A7" s="1151" t="s">
        <v>261</v>
      </c>
      <c r="B7" s="1152"/>
      <c r="C7" s="1153"/>
      <c r="D7" s="1148" t="s">
        <v>478</v>
      </c>
      <c r="E7" s="1157" t="s">
        <v>479</v>
      </c>
      <c r="F7" s="1148" t="s">
        <v>480</v>
      </c>
      <c r="G7" s="1148" t="s">
        <v>481</v>
      </c>
      <c r="H7" s="1148" t="s">
        <v>482</v>
      </c>
      <c r="I7" s="1149"/>
    </row>
    <row r="8" spans="1:9" ht="15.75" thickBot="1" x14ac:dyDescent="0.3">
      <c r="A8" s="1154" t="s">
        <v>483</v>
      </c>
      <c r="B8" s="1155"/>
      <c r="C8" s="1156"/>
      <c r="D8" s="1150"/>
      <c r="E8" s="1158"/>
      <c r="F8" s="1150"/>
      <c r="G8" s="1150"/>
      <c r="H8" s="1150"/>
      <c r="I8" s="1150"/>
    </row>
    <row r="9" spans="1:9" x14ac:dyDescent="0.25">
      <c r="A9" s="1159"/>
      <c r="B9" s="1160"/>
      <c r="C9" s="1161"/>
      <c r="D9" s="643"/>
      <c r="E9" s="643"/>
      <c r="F9" s="643"/>
      <c r="G9" s="643"/>
      <c r="H9" s="643"/>
      <c r="I9" s="643"/>
    </row>
    <row r="10" spans="1:9" x14ac:dyDescent="0.25">
      <c r="A10" s="1165" t="s">
        <v>484</v>
      </c>
      <c r="B10" s="1166"/>
      <c r="C10" s="1167"/>
      <c r="D10" s="561"/>
      <c r="E10" s="561"/>
      <c r="F10" s="561"/>
      <c r="G10" s="561"/>
      <c r="H10" s="561"/>
      <c r="I10" s="561"/>
    </row>
    <row r="11" spans="1:9" x14ac:dyDescent="0.25">
      <c r="A11" s="656"/>
      <c r="B11" s="1162" t="s">
        <v>485</v>
      </c>
      <c r="C11" s="1163"/>
      <c r="D11" s="563">
        <v>0</v>
      </c>
      <c r="E11" s="563">
        <v>0</v>
      </c>
      <c r="F11" s="563">
        <f t="shared" ref="F11:F16" si="0">+D11+E11</f>
        <v>0</v>
      </c>
      <c r="G11" s="563">
        <v>0</v>
      </c>
      <c r="H11" s="563">
        <v>0</v>
      </c>
      <c r="I11" s="562">
        <f>+H11-D11</f>
        <v>0</v>
      </c>
    </row>
    <row r="12" spans="1:9" x14ac:dyDescent="0.25">
      <c r="A12" s="656"/>
      <c r="B12" s="1162" t="s">
        <v>486</v>
      </c>
      <c r="C12" s="1163"/>
      <c r="D12" s="563">
        <v>0</v>
      </c>
      <c r="E12" s="563">
        <v>0</v>
      </c>
      <c r="F12" s="563">
        <f t="shared" si="0"/>
        <v>0</v>
      </c>
      <c r="G12" s="563">
        <v>0</v>
      </c>
      <c r="H12" s="563">
        <v>0</v>
      </c>
      <c r="I12" s="562">
        <f t="shared" ref="I12:I16" si="1">+H12-D12</f>
        <v>0</v>
      </c>
    </row>
    <row r="13" spans="1:9" x14ac:dyDescent="0.25">
      <c r="A13" s="656"/>
      <c r="B13" s="1162" t="s">
        <v>487</v>
      </c>
      <c r="C13" s="1163"/>
      <c r="D13" s="563">
        <v>0</v>
      </c>
      <c r="E13" s="563">
        <v>0</v>
      </c>
      <c r="F13" s="563">
        <f t="shared" si="0"/>
        <v>0</v>
      </c>
      <c r="G13" s="563">
        <v>0</v>
      </c>
      <c r="H13" s="563">
        <v>0</v>
      </c>
      <c r="I13" s="562">
        <f t="shared" si="1"/>
        <v>0</v>
      </c>
    </row>
    <row r="14" spans="1:9" x14ac:dyDescent="0.25">
      <c r="A14" s="656"/>
      <c r="B14" s="1162" t="s">
        <v>488</v>
      </c>
      <c r="C14" s="1163"/>
      <c r="D14" s="563">
        <f>'ETCA-II-01'!C12</f>
        <v>8474999.9999999981</v>
      </c>
      <c r="E14" s="563">
        <v>0</v>
      </c>
      <c r="F14" s="563">
        <f t="shared" si="0"/>
        <v>8474999.9999999981</v>
      </c>
      <c r="G14" s="563">
        <f>'ETCA-II-01'!F12</f>
        <v>546500</v>
      </c>
      <c r="H14" s="563">
        <f>'ETCA-II-01'!G12</f>
        <v>546500</v>
      </c>
      <c r="I14" s="562">
        <f>F14-H14</f>
        <v>7928499.9999999981</v>
      </c>
    </row>
    <row r="15" spans="1:9" x14ac:dyDescent="0.25">
      <c r="A15" s="656"/>
      <c r="B15" s="1162" t="s">
        <v>489</v>
      </c>
      <c r="C15" s="1163"/>
      <c r="D15" s="563">
        <v>0</v>
      </c>
      <c r="E15" s="563">
        <v>0</v>
      </c>
      <c r="F15" s="563">
        <f t="shared" si="0"/>
        <v>0</v>
      </c>
      <c r="G15" s="563">
        <v>0</v>
      </c>
      <c r="H15" s="563">
        <v>0</v>
      </c>
      <c r="I15" s="562">
        <f t="shared" si="1"/>
        <v>0</v>
      </c>
    </row>
    <row r="16" spans="1:9" x14ac:dyDescent="0.25">
      <c r="A16" s="656"/>
      <c r="B16" s="1162" t="s">
        <v>490</v>
      </c>
      <c r="C16" s="1163"/>
      <c r="D16" s="563">
        <v>0</v>
      </c>
      <c r="E16" s="563">
        <v>0</v>
      </c>
      <c r="F16" s="563">
        <f t="shared" si="0"/>
        <v>0</v>
      </c>
      <c r="G16" s="563">
        <v>0</v>
      </c>
      <c r="H16" s="563"/>
      <c r="I16" s="562">
        <f t="shared" si="1"/>
        <v>0</v>
      </c>
    </row>
    <row r="17" spans="1:9" x14ac:dyDescent="0.25">
      <c r="A17" s="656"/>
      <c r="B17" s="1162" t="s">
        <v>491</v>
      </c>
      <c r="C17" s="1163"/>
      <c r="D17" s="563"/>
      <c r="E17" s="563"/>
      <c r="F17" s="563"/>
      <c r="G17" s="563"/>
      <c r="H17" s="563"/>
      <c r="I17" s="562"/>
    </row>
    <row r="18" spans="1:9" x14ac:dyDescent="0.25">
      <c r="A18" s="1164"/>
      <c r="B18" s="1162" t="s">
        <v>492</v>
      </c>
      <c r="C18" s="1163"/>
      <c r="D18" s="1171">
        <f t="shared" ref="D18:I18" si="2">SUM(D20:D30)</f>
        <v>0</v>
      </c>
      <c r="E18" s="1171">
        <f t="shared" si="2"/>
        <v>0</v>
      </c>
      <c r="F18" s="1171">
        <f t="shared" si="2"/>
        <v>0</v>
      </c>
      <c r="G18" s="1171">
        <f t="shared" si="2"/>
        <v>0</v>
      </c>
      <c r="H18" s="1171">
        <f t="shared" si="2"/>
        <v>0</v>
      </c>
      <c r="I18" s="1171">
        <f t="shared" si="2"/>
        <v>0</v>
      </c>
    </row>
    <row r="19" spans="1:9" x14ac:dyDescent="0.25">
      <c r="A19" s="1164"/>
      <c r="B19" s="1162" t="s">
        <v>493</v>
      </c>
      <c r="C19" s="1163"/>
      <c r="D19" s="1171"/>
      <c r="E19" s="1171"/>
      <c r="F19" s="1171"/>
      <c r="G19" s="1171"/>
      <c r="H19" s="1171"/>
      <c r="I19" s="1171"/>
    </row>
    <row r="20" spans="1:9" x14ac:dyDescent="0.25">
      <c r="A20" s="656"/>
      <c r="B20" s="654"/>
      <c r="C20" s="655" t="s">
        <v>494</v>
      </c>
      <c r="D20" s="563">
        <v>0</v>
      </c>
      <c r="E20" s="563">
        <v>0</v>
      </c>
      <c r="F20" s="563">
        <f t="shared" ref="F20:F30" si="3">+D20+E20</f>
        <v>0</v>
      </c>
      <c r="G20" s="563">
        <v>0</v>
      </c>
      <c r="H20" s="563">
        <v>0</v>
      </c>
      <c r="I20" s="562">
        <f>+H20-D20</f>
        <v>0</v>
      </c>
    </row>
    <row r="21" spans="1:9" x14ac:dyDescent="0.25">
      <c r="A21" s="656"/>
      <c r="B21" s="654"/>
      <c r="C21" s="655" t="s">
        <v>495</v>
      </c>
      <c r="D21" s="563">
        <v>0</v>
      </c>
      <c r="E21" s="563">
        <v>0</v>
      </c>
      <c r="F21" s="563">
        <f t="shared" si="3"/>
        <v>0</v>
      </c>
      <c r="G21" s="563">
        <v>0</v>
      </c>
      <c r="H21" s="563">
        <v>0</v>
      </c>
      <c r="I21" s="562">
        <f t="shared" ref="I21:I36" si="4">+H21-D21</f>
        <v>0</v>
      </c>
    </row>
    <row r="22" spans="1:9" x14ac:dyDescent="0.25">
      <c r="A22" s="656"/>
      <c r="B22" s="654"/>
      <c r="C22" s="655" t="s">
        <v>496</v>
      </c>
      <c r="D22" s="563">
        <v>0</v>
      </c>
      <c r="E22" s="563">
        <v>0</v>
      </c>
      <c r="F22" s="563">
        <f t="shared" si="3"/>
        <v>0</v>
      </c>
      <c r="G22" s="563">
        <v>0</v>
      </c>
      <c r="H22" s="563">
        <v>0</v>
      </c>
      <c r="I22" s="562">
        <f t="shared" si="4"/>
        <v>0</v>
      </c>
    </row>
    <row r="23" spans="1:9" x14ac:dyDescent="0.25">
      <c r="A23" s="656"/>
      <c r="B23" s="654"/>
      <c r="C23" s="655" t="s">
        <v>497</v>
      </c>
      <c r="D23" s="563">
        <v>0</v>
      </c>
      <c r="E23" s="563">
        <v>0</v>
      </c>
      <c r="F23" s="563">
        <f t="shared" si="3"/>
        <v>0</v>
      </c>
      <c r="G23" s="563">
        <v>0</v>
      </c>
      <c r="H23" s="563">
        <v>0</v>
      </c>
      <c r="I23" s="562">
        <f t="shared" si="4"/>
        <v>0</v>
      </c>
    </row>
    <row r="24" spans="1:9" x14ac:dyDescent="0.25">
      <c r="A24" s="656"/>
      <c r="B24" s="654"/>
      <c r="C24" s="655" t="s">
        <v>498</v>
      </c>
      <c r="D24" s="563">
        <v>0</v>
      </c>
      <c r="E24" s="563">
        <v>0</v>
      </c>
      <c r="F24" s="563">
        <f t="shared" si="3"/>
        <v>0</v>
      </c>
      <c r="G24" s="563">
        <v>0</v>
      </c>
      <c r="H24" s="563">
        <v>0</v>
      </c>
      <c r="I24" s="562">
        <f t="shared" si="4"/>
        <v>0</v>
      </c>
    </row>
    <row r="25" spans="1:9" x14ac:dyDescent="0.25">
      <c r="A25" s="656"/>
      <c r="B25" s="654"/>
      <c r="C25" s="655" t="s">
        <v>499</v>
      </c>
      <c r="D25" s="563">
        <v>0</v>
      </c>
      <c r="E25" s="563">
        <v>0</v>
      </c>
      <c r="F25" s="563">
        <f t="shared" si="3"/>
        <v>0</v>
      </c>
      <c r="G25" s="563">
        <v>0</v>
      </c>
      <c r="H25" s="563">
        <v>0</v>
      </c>
      <c r="I25" s="562">
        <f t="shared" si="4"/>
        <v>0</v>
      </c>
    </row>
    <row r="26" spans="1:9" x14ac:dyDescent="0.25">
      <c r="A26" s="656"/>
      <c r="B26" s="654"/>
      <c r="C26" s="655" t="s">
        <v>500</v>
      </c>
      <c r="D26" s="563">
        <v>0</v>
      </c>
      <c r="E26" s="563">
        <v>0</v>
      </c>
      <c r="F26" s="563">
        <f t="shared" si="3"/>
        <v>0</v>
      </c>
      <c r="G26" s="563">
        <v>0</v>
      </c>
      <c r="H26" s="563">
        <v>0</v>
      </c>
      <c r="I26" s="562">
        <f t="shared" si="4"/>
        <v>0</v>
      </c>
    </row>
    <row r="27" spans="1:9" x14ac:dyDescent="0.25">
      <c r="A27" s="656"/>
      <c r="B27" s="654"/>
      <c r="C27" s="655" t="s">
        <v>501</v>
      </c>
      <c r="D27" s="563">
        <v>0</v>
      </c>
      <c r="E27" s="563">
        <v>0</v>
      </c>
      <c r="F27" s="563">
        <f t="shared" si="3"/>
        <v>0</v>
      </c>
      <c r="G27" s="563">
        <v>0</v>
      </c>
      <c r="H27" s="563">
        <v>0</v>
      </c>
      <c r="I27" s="562">
        <f t="shared" si="4"/>
        <v>0</v>
      </c>
    </row>
    <row r="28" spans="1:9" x14ac:dyDescent="0.25">
      <c r="A28" s="656"/>
      <c r="B28" s="654"/>
      <c r="C28" s="655" t="s">
        <v>502</v>
      </c>
      <c r="D28" s="563">
        <v>0</v>
      </c>
      <c r="E28" s="563">
        <v>0</v>
      </c>
      <c r="F28" s="563">
        <f t="shared" si="3"/>
        <v>0</v>
      </c>
      <c r="G28" s="563">
        <v>0</v>
      </c>
      <c r="H28" s="563">
        <v>0</v>
      </c>
      <c r="I28" s="562">
        <f t="shared" si="4"/>
        <v>0</v>
      </c>
    </row>
    <row r="29" spans="1:9" x14ac:dyDescent="0.25">
      <c r="A29" s="656"/>
      <c r="B29" s="654"/>
      <c r="C29" s="655" t="s">
        <v>503</v>
      </c>
      <c r="D29" s="563">
        <v>0</v>
      </c>
      <c r="E29" s="563">
        <v>0</v>
      </c>
      <c r="F29" s="563">
        <f t="shared" si="3"/>
        <v>0</v>
      </c>
      <c r="G29" s="563">
        <v>0</v>
      </c>
      <c r="H29" s="563">
        <v>0</v>
      </c>
      <c r="I29" s="562">
        <f t="shared" si="4"/>
        <v>0</v>
      </c>
    </row>
    <row r="30" spans="1:9" x14ac:dyDescent="0.25">
      <c r="A30" s="656"/>
      <c r="B30" s="654"/>
      <c r="C30" s="655" t="s">
        <v>504</v>
      </c>
      <c r="D30" s="563">
        <v>0</v>
      </c>
      <c r="E30" s="563">
        <v>0</v>
      </c>
      <c r="F30" s="563">
        <f t="shared" si="3"/>
        <v>0</v>
      </c>
      <c r="G30" s="563">
        <v>0</v>
      </c>
      <c r="H30" s="563">
        <v>0</v>
      </c>
      <c r="I30" s="562">
        <f t="shared" si="4"/>
        <v>0</v>
      </c>
    </row>
    <row r="31" spans="1:9" x14ac:dyDescent="0.25">
      <c r="A31" s="656"/>
      <c r="B31" s="1162" t="s">
        <v>505</v>
      </c>
      <c r="C31" s="1163"/>
      <c r="D31" s="562">
        <f t="shared" ref="D31:I31" si="5">SUM(D32:D36)</f>
        <v>0</v>
      </c>
      <c r="E31" s="562">
        <f t="shared" si="5"/>
        <v>0</v>
      </c>
      <c r="F31" s="562">
        <f t="shared" si="5"/>
        <v>0</v>
      </c>
      <c r="G31" s="562">
        <f t="shared" si="5"/>
        <v>0</v>
      </c>
      <c r="H31" s="562">
        <f t="shared" si="5"/>
        <v>0</v>
      </c>
      <c r="I31" s="562">
        <f t="shared" si="5"/>
        <v>0</v>
      </c>
    </row>
    <row r="32" spans="1:9" x14ac:dyDescent="0.25">
      <c r="A32" s="656"/>
      <c r="B32" s="654"/>
      <c r="C32" s="655" t="s">
        <v>506</v>
      </c>
      <c r="D32" s="563">
        <v>0</v>
      </c>
      <c r="E32" s="563">
        <v>0</v>
      </c>
      <c r="F32" s="563">
        <v>0</v>
      </c>
      <c r="G32" s="563"/>
      <c r="H32" s="563">
        <v>0</v>
      </c>
      <c r="I32" s="562">
        <f t="shared" si="4"/>
        <v>0</v>
      </c>
    </row>
    <row r="33" spans="1:9" x14ac:dyDescent="0.25">
      <c r="A33" s="656"/>
      <c r="B33" s="654"/>
      <c r="C33" s="655" t="s">
        <v>507</v>
      </c>
      <c r="D33" s="563">
        <v>0</v>
      </c>
      <c r="E33" s="563">
        <v>0</v>
      </c>
      <c r="F33" s="563">
        <f t="shared" ref="F33:F37" si="6">+D33+E33</f>
        <v>0</v>
      </c>
      <c r="G33" s="563"/>
      <c r="H33" s="563">
        <v>0</v>
      </c>
      <c r="I33" s="562">
        <f t="shared" si="4"/>
        <v>0</v>
      </c>
    </row>
    <row r="34" spans="1:9" ht="15.75" thickBot="1" x14ac:dyDescent="0.3">
      <c r="A34" s="529"/>
      <c r="B34" s="599"/>
      <c r="C34" s="646" t="s">
        <v>508</v>
      </c>
      <c r="D34" s="564">
        <v>0</v>
      </c>
      <c r="E34" s="564">
        <v>0</v>
      </c>
      <c r="F34" s="564">
        <f t="shared" si="6"/>
        <v>0</v>
      </c>
      <c r="G34" s="564"/>
      <c r="H34" s="564"/>
      <c r="I34" s="621">
        <f t="shared" si="4"/>
        <v>0</v>
      </c>
    </row>
    <row r="35" spans="1:9" x14ac:dyDescent="0.25">
      <c r="A35" s="656"/>
      <c r="B35" s="654"/>
      <c r="C35" s="655" t="s">
        <v>509</v>
      </c>
      <c r="D35" s="563">
        <v>0</v>
      </c>
      <c r="E35" s="563">
        <v>0</v>
      </c>
      <c r="F35" s="563">
        <f t="shared" si="6"/>
        <v>0</v>
      </c>
      <c r="G35" s="563"/>
      <c r="H35" s="563"/>
      <c r="I35" s="562">
        <f t="shared" si="4"/>
        <v>0</v>
      </c>
    </row>
    <row r="36" spans="1:9" x14ac:dyDescent="0.25">
      <c r="A36" s="656"/>
      <c r="B36" s="654"/>
      <c r="C36" s="655" t="s">
        <v>510</v>
      </c>
      <c r="D36" s="563">
        <v>0</v>
      </c>
      <c r="E36" s="563">
        <v>0</v>
      </c>
      <c r="F36" s="563">
        <f t="shared" si="6"/>
        <v>0</v>
      </c>
      <c r="G36" s="563"/>
      <c r="H36" s="563"/>
      <c r="I36" s="562">
        <f t="shared" si="4"/>
        <v>0</v>
      </c>
    </row>
    <row r="37" spans="1:9" x14ac:dyDescent="0.25">
      <c r="A37" s="656"/>
      <c r="B37" s="1169" t="s">
        <v>511</v>
      </c>
      <c r="C37" s="1170"/>
      <c r="D37" s="563">
        <f>'ETCA-II-01'!C22</f>
        <v>46848720</v>
      </c>
      <c r="E37" s="563"/>
      <c r="F37" s="644">
        <f t="shared" si="6"/>
        <v>46848720</v>
      </c>
      <c r="G37" s="563">
        <f>'ETCA-II-01'!F22</f>
        <v>10431162.24</v>
      </c>
      <c r="H37" s="563">
        <f>'ETCA-II-01'!G22</f>
        <v>10431162.24</v>
      </c>
      <c r="I37" s="645">
        <f>F37-H37</f>
        <v>36417557.759999998</v>
      </c>
    </row>
    <row r="38" spans="1:9" x14ac:dyDescent="0.25">
      <c r="A38" s="656"/>
      <c r="B38" s="1162" t="s">
        <v>512</v>
      </c>
      <c r="C38" s="1163"/>
      <c r="D38" s="562">
        <f t="shared" ref="D38:I38" si="7">SUM(D39)</f>
        <v>0</v>
      </c>
      <c r="E38" s="562">
        <f t="shared" si="7"/>
        <v>0</v>
      </c>
      <c r="F38" s="562">
        <f t="shared" si="7"/>
        <v>0</v>
      </c>
      <c r="G38" s="562">
        <f t="shared" si="7"/>
        <v>0</v>
      </c>
      <c r="H38" s="562">
        <f t="shared" si="7"/>
        <v>0</v>
      </c>
      <c r="I38" s="562">
        <f t="shared" si="7"/>
        <v>0</v>
      </c>
    </row>
    <row r="39" spans="1:9" x14ac:dyDescent="0.25">
      <c r="A39" s="656"/>
      <c r="B39" s="654"/>
      <c r="C39" s="655" t="s">
        <v>513</v>
      </c>
      <c r="D39" s="563">
        <v>0</v>
      </c>
      <c r="E39" s="563"/>
      <c r="F39" s="563">
        <f>+D39+E39</f>
        <v>0</v>
      </c>
      <c r="G39" s="563"/>
      <c r="H39" s="563"/>
      <c r="I39" s="562">
        <f>+H39-D39</f>
        <v>0</v>
      </c>
    </row>
    <row r="40" spans="1:9" x14ac:dyDescent="0.25">
      <c r="A40" s="656"/>
      <c r="B40" s="1162" t="s">
        <v>514</v>
      </c>
      <c r="C40" s="1163"/>
      <c r="D40" s="562">
        <f t="shared" ref="D40:I40" si="8">SUM(D41:D42)</f>
        <v>0</v>
      </c>
      <c r="E40" s="562">
        <f t="shared" si="8"/>
        <v>0</v>
      </c>
      <c r="F40" s="562">
        <f t="shared" si="8"/>
        <v>0</v>
      </c>
      <c r="G40" s="562">
        <f t="shared" si="8"/>
        <v>0</v>
      </c>
      <c r="H40" s="562">
        <f t="shared" si="8"/>
        <v>0</v>
      </c>
      <c r="I40" s="562">
        <f t="shared" si="8"/>
        <v>0</v>
      </c>
    </row>
    <row r="41" spans="1:9" x14ac:dyDescent="0.25">
      <c r="A41" s="656"/>
      <c r="B41" s="654"/>
      <c r="C41" s="655" t="s">
        <v>515</v>
      </c>
      <c r="D41" s="563">
        <v>0</v>
      </c>
      <c r="E41" s="563">
        <v>0</v>
      </c>
      <c r="F41" s="563">
        <f>+D41+E41</f>
        <v>0</v>
      </c>
      <c r="G41" s="563"/>
      <c r="H41" s="563"/>
      <c r="I41" s="562">
        <f>H41-D41</f>
        <v>0</v>
      </c>
    </row>
    <row r="42" spans="1:9" x14ac:dyDescent="0.25">
      <c r="A42" s="656"/>
      <c r="B42" s="654"/>
      <c r="C42" s="655" t="s">
        <v>516</v>
      </c>
      <c r="D42" s="563">
        <v>0</v>
      </c>
      <c r="E42" s="563">
        <v>0</v>
      </c>
      <c r="F42" s="563">
        <f>+D42+E42</f>
        <v>0</v>
      </c>
      <c r="G42" s="563"/>
      <c r="H42" s="563"/>
      <c r="I42" s="562">
        <f>H42-D42</f>
        <v>0</v>
      </c>
    </row>
    <row r="43" spans="1:9" ht="8.25" customHeight="1" x14ac:dyDescent="0.25">
      <c r="A43" s="656"/>
      <c r="B43" s="654"/>
      <c r="C43" s="655"/>
      <c r="D43" s="558"/>
      <c r="E43" s="558"/>
      <c r="F43" s="558"/>
      <c r="G43" s="558"/>
      <c r="H43" s="558"/>
      <c r="I43" s="562"/>
    </row>
    <row r="44" spans="1:9" ht="15" customHeight="1" x14ac:dyDescent="0.25">
      <c r="A44" s="674" t="s">
        <v>517</v>
      </c>
      <c r="B44" s="537"/>
      <c r="C44" s="557"/>
      <c r="D44" s="1168">
        <f>+D11+D12+D13+D14+D15+D16+D17+D18+D31+D37+D38+D40</f>
        <v>55323720</v>
      </c>
      <c r="E44" s="1168">
        <f t="shared" ref="E44:G44" si="9">+E11+E12+E13+E14+E15+E16+E17+E18+E31+E37+E38+E40</f>
        <v>0</v>
      </c>
      <c r="F44" s="1168">
        <f>+F11+F12+F13+F14+F15+F16+F17+F18+F31+F37+F38+F40</f>
        <v>55323720</v>
      </c>
      <c r="G44" s="1168">
        <f t="shared" si="9"/>
        <v>10977662.24</v>
      </c>
      <c r="H44" s="1168">
        <f>+H11+H12+H13+H14+H15+H16+H17+H18+H31+H37+H38+H40</f>
        <v>10977662.24</v>
      </c>
      <c r="I44" s="1168">
        <f>+I11+I12+I13+I14+I15+I16+I17+I18+I31+I37+I38+I40</f>
        <v>44346057.759999998</v>
      </c>
    </row>
    <row r="45" spans="1:9" x14ac:dyDescent="0.25">
      <c r="A45" s="674" t="s">
        <v>518</v>
      </c>
      <c r="B45" s="537"/>
      <c r="C45" s="557"/>
      <c r="D45" s="1168"/>
      <c r="E45" s="1168"/>
      <c r="F45" s="1168"/>
      <c r="G45" s="1168"/>
      <c r="H45" s="1168"/>
      <c r="I45" s="1168"/>
    </row>
    <row r="46" spans="1:9" ht="8.25" customHeight="1" x14ac:dyDescent="0.25">
      <c r="A46" s="675"/>
      <c r="B46" s="657"/>
      <c r="C46" s="658"/>
      <c r="D46" s="1168"/>
      <c r="E46" s="1168"/>
      <c r="F46" s="1168"/>
      <c r="G46" s="1168"/>
      <c r="H46" s="1168"/>
      <c r="I46" s="1168"/>
    </row>
    <row r="47" spans="1:9" x14ac:dyDescent="0.25">
      <c r="A47" s="1165" t="s">
        <v>519</v>
      </c>
      <c r="B47" s="1166"/>
      <c r="C47" s="1172"/>
      <c r="D47" s="565"/>
      <c r="E47" s="565"/>
      <c r="F47" s="565"/>
      <c r="G47" s="565"/>
      <c r="H47" s="565"/>
      <c r="I47" s="566" t="str">
        <f>IF(($H$44-$D$44)&lt;=0," ",$H$44-$D$44)</f>
        <v xml:space="preserve"> </v>
      </c>
    </row>
    <row r="48" spans="1:9" ht="11.25" customHeight="1" x14ac:dyDescent="0.25">
      <c r="A48" s="656"/>
      <c r="B48" s="654"/>
      <c r="C48" s="655"/>
      <c r="D48" s="558"/>
      <c r="E48" s="558"/>
      <c r="F48" s="558"/>
      <c r="G48" s="558"/>
      <c r="H48" s="558"/>
      <c r="I48" s="562"/>
    </row>
    <row r="49" spans="1:9" x14ac:dyDescent="0.25">
      <c r="A49" s="1165" t="s">
        <v>520</v>
      </c>
      <c r="B49" s="1166"/>
      <c r="C49" s="1172"/>
      <c r="D49" s="558"/>
      <c r="E49" s="558"/>
      <c r="F49" s="558"/>
      <c r="G49" s="558"/>
      <c r="H49" s="558"/>
      <c r="I49" s="562"/>
    </row>
    <row r="50" spans="1:9" x14ac:dyDescent="0.25">
      <c r="A50" s="656"/>
      <c r="B50" s="1162" t="s">
        <v>521</v>
      </c>
      <c r="C50" s="1163"/>
      <c r="D50" s="558">
        <f t="shared" ref="D50:I50" si="10">SUM(D51:D58)</f>
        <v>0</v>
      </c>
      <c r="E50" s="558">
        <f t="shared" si="10"/>
        <v>0</v>
      </c>
      <c r="F50" s="558">
        <f t="shared" si="10"/>
        <v>0</v>
      </c>
      <c r="G50" s="558">
        <f>SUM(G51:G58)</f>
        <v>0</v>
      </c>
      <c r="H50" s="558">
        <f t="shared" si="10"/>
        <v>0</v>
      </c>
      <c r="I50" s="562">
        <f t="shared" si="10"/>
        <v>0</v>
      </c>
    </row>
    <row r="51" spans="1:9" x14ac:dyDescent="0.25">
      <c r="A51" s="656"/>
      <c r="B51" s="654"/>
      <c r="C51" s="655" t="s">
        <v>522</v>
      </c>
      <c r="D51" s="563">
        <v>0</v>
      </c>
      <c r="E51" s="563">
        <v>0</v>
      </c>
      <c r="F51" s="563">
        <f t="shared" ref="F51:F79" si="11">+D51+E51</f>
        <v>0</v>
      </c>
      <c r="G51" s="563">
        <v>0</v>
      </c>
      <c r="H51" s="563">
        <v>0</v>
      </c>
      <c r="I51" s="562">
        <f>H51-D51</f>
        <v>0</v>
      </c>
    </row>
    <row r="52" spans="1:9" x14ac:dyDescent="0.25">
      <c r="A52" s="656"/>
      <c r="B52" s="654"/>
      <c r="C52" s="655" t="s">
        <v>523</v>
      </c>
      <c r="D52" s="563">
        <v>0</v>
      </c>
      <c r="E52" s="563"/>
      <c r="F52" s="563">
        <f t="shared" si="11"/>
        <v>0</v>
      </c>
      <c r="G52" s="563"/>
      <c r="H52" s="563"/>
      <c r="I52" s="562">
        <f t="shared" ref="I52:I63" si="12">H52-D52</f>
        <v>0</v>
      </c>
    </row>
    <row r="53" spans="1:9" x14ac:dyDescent="0.25">
      <c r="A53" s="656"/>
      <c r="B53" s="654"/>
      <c r="C53" s="655" t="s">
        <v>524</v>
      </c>
      <c r="D53" s="563">
        <v>0</v>
      </c>
      <c r="E53" s="563"/>
      <c r="F53" s="563">
        <f t="shared" si="11"/>
        <v>0</v>
      </c>
      <c r="G53" s="563"/>
      <c r="H53" s="563"/>
      <c r="I53" s="562">
        <f t="shared" si="12"/>
        <v>0</v>
      </c>
    </row>
    <row r="54" spans="1:9" ht="19.5" x14ac:dyDescent="0.25">
      <c r="A54" s="656"/>
      <c r="B54" s="654"/>
      <c r="C54" s="659" t="s">
        <v>525</v>
      </c>
      <c r="D54" s="563">
        <v>0</v>
      </c>
      <c r="E54" s="563"/>
      <c r="F54" s="563">
        <f t="shared" si="11"/>
        <v>0</v>
      </c>
      <c r="G54" s="563"/>
      <c r="H54" s="563"/>
      <c r="I54" s="562">
        <f t="shared" si="12"/>
        <v>0</v>
      </c>
    </row>
    <row r="55" spans="1:9" x14ac:dyDescent="0.25">
      <c r="A55" s="656"/>
      <c r="B55" s="654"/>
      <c r="C55" s="655" t="s">
        <v>526</v>
      </c>
      <c r="D55" s="563">
        <v>0</v>
      </c>
      <c r="E55" s="563">
        <v>0</v>
      </c>
      <c r="F55" s="563">
        <f t="shared" si="11"/>
        <v>0</v>
      </c>
      <c r="G55" s="563">
        <v>0</v>
      </c>
      <c r="H55" s="563">
        <v>0</v>
      </c>
      <c r="I55" s="562">
        <f t="shared" si="12"/>
        <v>0</v>
      </c>
    </row>
    <row r="56" spans="1:9" x14ac:dyDescent="0.25">
      <c r="A56" s="656"/>
      <c r="B56" s="654"/>
      <c r="C56" s="655" t="s">
        <v>527</v>
      </c>
      <c r="D56" s="563">
        <v>0</v>
      </c>
      <c r="E56" s="563"/>
      <c r="F56" s="563">
        <f t="shared" si="11"/>
        <v>0</v>
      </c>
      <c r="G56" s="563"/>
      <c r="H56" s="563"/>
      <c r="I56" s="562">
        <f t="shared" si="12"/>
        <v>0</v>
      </c>
    </row>
    <row r="57" spans="1:9" ht="19.5" x14ac:dyDescent="0.25">
      <c r="A57" s="656"/>
      <c r="B57" s="654"/>
      <c r="C57" s="659" t="s">
        <v>528</v>
      </c>
      <c r="D57" s="563">
        <v>0</v>
      </c>
      <c r="E57" s="563"/>
      <c r="F57" s="563">
        <f t="shared" si="11"/>
        <v>0</v>
      </c>
      <c r="G57" s="563">
        <f>F57</f>
        <v>0</v>
      </c>
      <c r="H57" s="563">
        <f>G57</f>
        <v>0</v>
      </c>
      <c r="I57" s="562">
        <f t="shared" si="12"/>
        <v>0</v>
      </c>
    </row>
    <row r="58" spans="1:9" ht="19.5" x14ac:dyDescent="0.25">
      <c r="A58" s="656"/>
      <c r="B58" s="654"/>
      <c r="C58" s="659" t="s">
        <v>529</v>
      </c>
      <c r="D58" s="563">
        <v>0</v>
      </c>
      <c r="E58" s="563"/>
      <c r="F58" s="563">
        <f t="shared" si="11"/>
        <v>0</v>
      </c>
      <c r="G58" s="563"/>
      <c r="H58" s="563"/>
      <c r="I58" s="562">
        <f t="shared" si="12"/>
        <v>0</v>
      </c>
    </row>
    <row r="59" spans="1:9" x14ac:dyDescent="0.25">
      <c r="A59" s="656"/>
      <c r="B59" s="1162" t="s">
        <v>530</v>
      </c>
      <c r="C59" s="1163"/>
      <c r="D59" s="558">
        <f t="shared" ref="D59:I59" si="13">SUM(D60:D63)</f>
        <v>0</v>
      </c>
      <c r="E59" s="558">
        <f t="shared" si="13"/>
        <v>0</v>
      </c>
      <c r="F59" s="558">
        <f t="shared" si="13"/>
        <v>0</v>
      </c>
      <c r="G59" s="558">
        <f t="shared" si="13"/>
        <v>0</v>
      </c>
      <c r="H59" s="558">
        <f t="shared" si="13"/>
        <v>0</v>
      </c>
      <c r="I59" s="562">
        <f t="shared" si="13"/>
        <v>0</v>
      </c>
    </row>
    <row r="60" spans="1:9" x14ac:dyDescent="0.25">
      <c r="A60" s="656"/>
      <c r="B60" s="654"/>
      <c r="C60" s="655" t="s">
        <v>531</v>
      </c>
      <c r="D60" s="563">
        <v>0</v>
      </c>
      <c r="E60" s="563"/>
      <c r="F60" s="563">
        <f t="shared" si="11"/>
        <v>0</v>
      </c>
      <c r="G60" s="563"/>
      <c r="H60" s="563"/>
      <c r="I60" s="562">
        <f t="shared" si="12"/>
        <v>0</v>
      </c>
    </row>
    <row r="61" spans="1:9" x14ac:dyDescent="0.25">
      <c r="A61" s="656"/>
      <c r="B61" s="654"/>
      <c r="C61" s="655" t="s">
        <v>532</v>
      </c>
      <c r="D61" s="563">
        <v>0</v>
      </c>
      <c r="E61" s="563"/>
      <c r="F61" s="563">
        <v>0</v>
      </c>
      <c r="G61" s="563"/>
      <c r="H61" s="563"/>
      <c r="I61" s="562">
        <f t="shared" si="12"/>
        <v>0</v>
      </c>
    </row>
    <row r="62" spans="1:9" x14ac:dyDescent="0.25">
      <c r="A62" s="656"/>
      <c r="B62" s="654"/>
      <c r="C62" s="655" t="s">
        <v>533</v>
      </c>
      <c r="D62" s="563">
        <v>0</v>
      </c>
      <c r="E62" s="563"/>
      <c r="F62" s="563">
        <v>0</v>
      </c>
      <c r="G62" s="563"/>
      <c r="H62" s="563"/>
      <c r="I62" s="562">
        <f t="shared" si="12"/>
        <v>0</v>
      </c>
    </row>
    <row r="63" spans="1:9" x14ac:dyDescent="0.25">
      <c r="A63" s="656"/>
      <c r="B63" s="654"/>
      <c r="C63" s="655" t="s">
        <v>534</v>
      </c>
      <c r="D63" s="563">
        <v>0</v>
      </c>
      <c r="E63" s="563"/>
      <c r="F63" s="563">
        <v>0</v>
      </c>
      <c r="G63" s="563"/>
      <c r="H63" s="563"/>
      <c r="I63" s="562">
        <f t="shared" si="12"/>
        <v>0</v>
      </c>
    </row>
    <row r="64" spans="1:9" x14ac:dyDescent="0.25">
      <c r="A64" s="656"/>
      <c r="B64" s="1162" t="s">
        <v>535</v>
      </c>
      <c r="C64" s="1163"/>
      <c r="D64" s="558">
        <f t="shared" ref="D64:I64" si="14">SUM(D65:D66)</f>
        <v>0</v>
      </c>
      <c r="E64" s="558">
        <f t="shared" si="14"/>
        <v>0</v>
      </c>
      <c r="F64" s="558">
        <f t="shared" si="14"/>
        <v>0</v>
      </c>
      <c r="G64" s="558">
        <f t="shared" si="14"/>
        <v>0</v>
      </c>
      <c r="H64" s="558">
        <f t="shared" si="14"/>
        <v>0</v>
      </c>
      <c r="I64" s="562">
        <f t="shared" si="14"/>
        <v>0</v>
      </c>
    </row>
    <row r="65" spans="1:10" ht="20.25" thickBot="1" x14ac:dyDescent="0.3">
      <c r="A65" s="529"/>
      <c r="B65" s="599"/>
      <c r="C65" s="600" t="s">
        <v>536</v>
      </c>
      <c r="D65" s="564">
        <v>0</v>
      </c>
      <c r="E65" s="564">
        <v>0</v>
      </c>
      <c r="F65" s="564">
        <f t="shared" si="11"/>
        <v>0</v>
      </c>
      <c r="G65" s="564">
        <v>0</v>
      </c>
      <c r="H65" s="564">
        <v>0</v>
      </c>
      <c r="I65" s="621">
        <f>H65-D65</f>
        <v>0</v>
      </c>
    </row>
    <row r="66" spans="1:10" x14ac:dyDescent="0.25">
      <c r="A66" s="656"/>
      <c r="B66" s="654"/>
      <c r="C66" s="659" t="s">
        <v>537</v>
      </c>
      <c r="D66" s="563">
        <v>0</v>
      </c>
      <c r="E66" s="563">
        <v>0</v>
      </c>
      <c r="F66" s="644">
        <v>0</v>
      </c>
      <c r="G66" s="563">
        <v>0</v>
      </c>
      <c r="H66" s="563">
        <v>0</v>
      </c>
      <c r="I66" s="562">
        <f>H66-D66</f>
        <v>0</v>
      </c>
    </row>
    <row r="67" spans="1:10" x14ac:dyDescent="0.25">
      <c r="A67" s="656"/>
      <c r="B67" s="1162" t="s">
        <v>538</v>
      </c>
      <c r="C67" s="1163"/>
      <c r="D67" s="563">
        <v>0</v>
      </c>
      <c r="E67" s="563">
        <v>0</v>
      </c>
      <c r="F67" s="563">
        <f t="shared" si="11"/>
        <v>0</v>
      </c>
      <c r="G67" s="563">
        <v>0</v>
      </c>
      <c r="H67" s="563">
        <v>0</v>
      </c>
      <c r="I67" s="562">
        <f>H67-D67</f>
        <v>0</v>
      </c>
    </row>
    <row r="68" spans="1:10" x14ac:dyDescent="0.25">
      <c r="A68" s="656"/>
      <c r="B68" s="1162" t="s">
        <v>539</v>
      </c>
      <c r="C68" s="1163"/>
      <c r="D68" s="563">
        <v>0</v>
      </c>
      <c r="E68" s="563">
        <v>0</v>
      </c>
      <c r="F68" s="563">
        <f t="shared" si="11"/>
        <v>0</v>
      </c>
      <c r="G68" s="563">
        <v>0</v>
      </c>
      <c r="H68" s="563">
        <v>0</v>
      </c>
      <c r="I68" s="562">
        <f>H68-D68</f>
        <v>0</v>
      </c>
    </row>
    <row r="69" spans="1:10" ht="8.25" customHeight="1" x14ac:dyDescent="0.25">
      <c r="A69" s="656"/>
      <c r="B69" s="1162"/>
      <c r="C69" s="1163"/>
      <c r="D69" s="558"/>
      <c r="E69" s="558"/>
      <c r="F69" s="558" t="s">
        <v>258</v>
      </c>
      <c r="G69" s="558"/>
      <c r="H69" s="558"/>
      <c r="I69" s="562"/>
    </row>
    <row r="70" spans="1:10" x14ac:dyDescent="0.25">
      <c r="A70" s="1174" t="s">
        <v>540</v>
      </c>
      <c r="B70" s="1175"/>
      <c r="C70" s="1176"/>
      <c r="D70" s="560">
        <f t="shared" ref="D70:I70" si="15">+D50+D59+D64+D67+D68</f>
        <v>0</v>
      </c>
      <c r="E70" s="560">
        <f t="shared" si="15"/>
        <v>0</v>
      </c>
      <c r="F70" s="560">
        <f t="shared" si="15"/>
        <v>0</v>
      </c>
      <c r="G70" s="560">
        <f t="shared" si="15"/>
        <v>0</v>
      </c>
      <c r="H70" s="560">
        <f t="shared" si="15"/>
        <v>0</v>
      </c>
      <c r="I70" s="622">
        <f t="shared" si="15"/>
        <v>0</v>
      </c>
    </row>
    <row r="71" spans="1:10" ht="6" customHeight="1" x14ac:dyDescent="0.25">
      <c r="A71" s="656"/>
      <c r="B71" s="1162"/>
      <c r="C71" s="1163"/>
      <c r="D71" s="558"/>
      <c r="E71" s="558"/>
      <c r="F71" s="558" t="s">
        <v>258</v>
      </c>
      <c r="G71" s="558"/>
      <c r="H71" s="558"/>
      <c r="I71" s="562"/>
    </row>
    <row r="72" spans="1:10" x14ac:dyDescent="0.25">
      <c r="A72" s="1165" t="s">
        <v>541</v>
      </c>
      <c r="B72" s="1166"/>
      <c r="C72" s="1172"/>
      <c r="D72" s="560">
        <f t="shared" ref="D72:I72" si="16">SUM(D73)</f>
        <v>0</v>
      </c>
      <c r="E72" s="560">
        <f t="shared" si="16"/>
        <v>0</v>
      </c>
      <c r="F72" s="560">
        <f t="shared" si="16"/>
        <v>0</v>
      </c>
      <c r="G72" s="560">
        <f t="shared" si="16"/>
        <v>0</v>
      </c>
      <c r="H72" s="560">
        <f t="shared" si="16"/>
        <v>0</v>
      </c>
      <c r="I72" s="622">
        <f t="shared" si="16"/>
        <v>0</v>
      </c>
    </row>
    <row r="73" spans="1:10" x14ac:dyDescent="0.25">
      <c r="A73" s="656"/>
      <c r="B73" s="1173" t="s">
        <v>542</v>
      </c>
      <c r="C73" s="1163"/>
      <c r="D73" s="563">
        <v>0</v>
      </c>
      <c r="E73" s="563"/>
      <c r="F73" s="563" t="s">
        <v>258</v>
      </c>
      <c r="G73" s="563"/>
      <c r="H73" s="563">
        <v>0</v>
      </c>
      <c r="I73" s="562">
        <f>H73-D73</f>
        <v>0</v>
      </c>
    </row>
    <row r="74" spans="1:10" ht="7.5" customHeight="1" x14ac:dyDescent="0.25">
      <c r="A74" s="656"/>
      <c r="B74" s="1173"/>
      <c r="C74" s="1163"/>
      <c r="D74" s="558"/>
      <c r="E74" s="558"/>
      <c r="F74" s="558" t="s">
        <v>258</v>
      </c>
      <c r="G74" s="558"/>
      <c r="H74" s="558"/>
      <c r="I74" s="562"/>
    </row>
    <row r="75" spans="1:10" x14ac:dyDescent="0.25">
      <c r="A75" s="1165" t="s">
        <v>543</v>
      </c>
      <c r="B75" s="1166"/>
      <c r="C75" s="1172"/>
      <c r="D75" s="560">
        <f t="shared" ref="D75:I75" si="17">+D44+D70+D72</f>
        <v>55323720</v>
      </c>
      <c r="E75" s="560">
        <f t="shared" si="17"/>
        <v>0</v>
      </c>
      <c r="F75" s="560">
        <f t="shared" si="17"/>
        <v>55323720</v>
      </c>
      <c r="G75" s="560">
        <f>+G44+G70+G72</f>
        <v>10977662.24</v>
      </c>
      <c r="H75" s="560">
        <f t="shared" si="17"/>
        <v>10977662.24</v>
      </c>
      <c r="I75" s="622">
        <f t="shared" si="17"/>
        <v>44346057.759999998</v>
      </c>
    </row>
    <row r="76" spans="1:10" ht="6" customHeight="1" x14ac:dyDescent="0.25">
      <c r="A76" s="656"/>
      <c r="B76" s="1173"/>
      <c r="C76" s="1163"/>
      <c r="D76" s="558"/>
      <c r="E76" s="558"/>
      <c r="F76" s="558" t="s">
        <v>258</v>
      </c>
      <c r="G76" s="558"/>
      <c r="H76" s="558"/>
      <c r="I76" s="562"/>
    </row>
    <row r="77" spans="1:10" x14ac:dyDescent="0.25">
      <c r="A77" s="656"/>
      <c r="B77" s="1179" t="s">
        <v>544</v>
      </c>
      <c r="C77" s="1172"/>
      <c r="D77" s="562"/>
      <c r="E77" s="562"/>
      <c r="F77" s="562" t="s">
        <v>258</v>
      </c>
      <c r="G77" s="562"/>
      <c r="H77" s="562"/>
      <c r="I77" s="562"/>
    </row>
    <row r="78" spans="1:10" ht="21.75" customHeight="1" x14ac:dyDescent="0.25">
      <c r="A78" s="656"/>
      <c r="B78" s="1180" t="s">
        <v>545</v>
      </c>
      <c r="C78" s="1181"/>
      <c r="D78" s="563">
        <v>0</v>
      </c>
      <c r="E78" s="563">
        <v>0</v>
      </c>
      <c r="F78" s="563">
        <f t="shared" si="11"/>
        <v>0</v>
      </c>
      <c r="G78" s="563">
        <v>0</v>
      </c>
      <c r="H78" s="563">
        <v>0</v>
      </c>
      <c r="I78" s="562">
        <f t="shared" ref="I78:I79" si="18">H78-D78</f>
        <v>0</v>
      </c>
    </row>
    <row r="79" spans="1:10" ht="22.5" customHeight="1" x14ac:dyDescent="0.25">
      <c r="A79" s="656"/>
      <c r="B79" s="1180" t="s">
        <v>546</v>
      </c>
      <c r="C79" s="1181"/>
      <c r="D79" s="563">
        <v>0</v>
      </c>
      <c r="E79" s="563">
        <v>0</v>
      </c>
      <c r="F79" s="563">
        <f t="shared" si="11"/>
        <v>0</v>
      </c>
      <c r="G79" s="563">
        <v>0</v>
      </c>
      <c r="H79" s="563">
        <v>0</v>
      </c>
      <c r="I79" s="562">
        <f t="shared" si="18"/>
        <v>0</v>
      </c>
    </row>
    <row r="80" spans="1:10" x14ac:dyDescent="0.25">
      <c r="A80" s="656"/>
      <c r="B80" s="1179" t="s">
        <v>547</v>
      </c>
      <c r="C80" s="1172"/>
      <c r="D80" s="560">
        <f t="shared" ref="D80:I80" si="19">+D78+D79</f>
        <v>0</v>
      </c>
      <c r="E80" s="560">
        <f t="shared" si="19"/>
        <v>0</v>
      </c>
      <c r="F80" s="560">
        <f t="shared" si="19"/>
        <v>0</v>
      </c>
      <c r="G80" s="560">
        <f t="shared" si="19"/>
        <v>0</v>
      </c>
      <c r="H80" s="560">
        <f t="shared" si="19"/>
        <v>0</v>
      </c>
      <c r="I80" s="622">
        <f t="shared" si="19"/>
        <v>0</v>
      </c>
      <c r="J80" s="441" t="str">
        <f>IF(D75&lt;&gt;'ETCA-II-01'!C24,"ERROR!!!!! EL MONTO ESTIMADO NO COINCIDE CON LO REPORTADO EN EL FORMATO ETCA-II-01 EN EL TOTAL DE INGRESOS","")</f>
        <v/>
      </c>
    </row>
    <row r="81" spans="1:10" ht="15.75" thickBot="1" x14ac:dyDescent="0.3">
      <c r="A81" s="528"/>
      <c r="B81" s="1177"/>
      <c r="C81" s="1178"/>
      <c r="D81" s="559"/>
      <c r="E81" s="559"/>
      <c r="F81" s="559"/>
      <c r="G81" s="559"/>
      <c r="H81" s="559"/>
      <c r="I81" s="559"/>
      <c r="J81" s="441" t="str">
        <f>IF(E75&lt;&gt;'ETCA-II-01'!D24,"ERROR!!!!! EL MONTO NO COINCIDE CON LO REPORTADO EN EL FORMATO ETCA-II-01 EN EL TOTAL DE INGRESOS","")</f>
        <v/>
      </c>
    </row>
    <row r="82" spans="1:10" x14ac:dyDescent="0.25">
      <c r="J82" s="441" t="str">
        <f>IF(F75&lt;&gt;'ETCA-II-01'!E24,"ERROR!!!!! EL MONTO NO COINCIDE CON LO REPORTADO EN EL FORMATO ETCA-II-01 EN EL TOTAL DE INGRESOS","")</f>
        <v/>
      </c>
    </row>
    <row r="83" spans="1:10" x14ac:dyDescent="0.25">
      <c r="J83" s="441" t="str">
        <f>IF(G75&lt;&gt;'ETCA-II-01'!F24,"ERROR!!!!! EL MONTO NO COINCIDE CON LO REPORTADO EN EL FORMATO ETCA-II-01 EN EL TOTAL DE INGRESOS","")</f>
        <v/>
      </c>
    </row>
    <row r="84" spans="1:10" x14ac:dyDescent="0.25">
      <c r="J84" s="441" t="str">
        <f>IF(H75&lt;&gt;'ETCA-II-01'!G24,"ERROR!!!!! EL MONTO NO COINCIDE CON LO REPORTADO EN EL FORMATO ETCA-II-01 EN EL TOTAL DE INGRESOS","")</f>
        <v/>
      </c>
    </row>
    <row r="85" spans="1:10" x14ac:dyDescent="0.25">
      <c r="J85" s="441" t="str">
        <f>IF(I75&lt;&gt;'ETCA-II-01'!H24,"ERROR!!!!! EL MONTO NO COINCIDE CON LO REPORTADO EN EL FORMATO ETCA-II-01 EN EL TOTAL DE INGRESOS","")</f>
        <v/>
      </c>
    </row>
    <row r="86" spans="1:10" x14ac:dyDescent="0.25">
      <c r="J86" s="441" t="str">
        <f>IF(D75&lt;&gt;'ETCA-II-01'!C51,"ERROR!!!!! EL MONTO NO COINCIDE CON LO REPORTADO EN EL FORMATO ETCA-II-01 EN EL TOTAL DE INGRESOS","")</f>
        <v/>
      </c>
    </row>
    <row r="87" spans="1:10" x14ac:dyDescent="0.25">
      <c r="J87" s="441" t="str">
        <f>IF(E75&lt;&gt;'ETCA-II-01'!D51,"ERROR!!!!! EL MONTO NO COINCIDE CON LO REPORTADO EN EL FORMATO ETCA-II-01 EN EL TOTAL DE INGRESOS","")</f>
        <v/>
      </c>
    </row>
    <row r="88" spans="1:10" x14ac:dyDescent="0.25">
      <c r="J88" s="441" t="str">
        <f>IF(F75&lt;&gt;'ETCA-II-01'!E51,"ERROR!!!!! EL MONTO NO COINCIDE CON LO REPORTADO EN EL FORMATO ETCA-II-01 EN EL TOTAL DE INGRESOS","")</f>
        <v/>
      </c>
    </row>
    <row r="89" spans="1:10" x14ac:dyDescent="0.25">
      <c r="J89" s="441" t="str">
        <f>IF(G75&lt;&gt;'ETCA-II-01'!F51,"ERROR!!!!! EL MONTO NO COINCIDE CON LO REPORTADO EN EL FORMATO ETCA-II-01 EN EL TOTAL DE INGRESOS","")</f>
        <v/>
      </c>
    </row>
    <row r="90" spans="1:10" x14ac:dyDescent="0.25">
      <c r="J90" s="441" t="str">
        <f>IF(H75&lt;&gt;'ETCA-II-01'!G51,"ERROR!!!!! EL MONTO NO COINCIDE CON LO REPORTADO EN EL FORMATO ETCA-II-01 EN EL TOTAL DE INGRESOS","")</f>
        <v/>
      </c>
    </row>
    <row r="91" spans="1:10" x14ac:dyDescent="0.25">
      <c r="J91" s="441" t="str">
        <f>IF(I75&lt;&gt;'ETCA-II-01'!H51,"ERROR!!!!! EL MONTO NO COINCIDE CON LO REPORTADO EN EL FORMATO ETCA-II-01 EN EL TOTAL DE INGRESOS","")</f>
        <v/>
      </c>
    </row>
  </sheetData>
  <sheetProtection formatColumns="0" formatRows="0" insertHyperlinks="0"/>
  <mergeCells count="63"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A47:C47"/>
    <mergeCell ref="B38:C38"/>
    <mergeCell ref="B40:C40"/>
    <mergeCell ref="D44:D46"/>
    <mergeCell ref="F18:F19"/>
    <mergeCell ref="E44:E46"/>
    <mergeCell ref="F44:F46"/>
    <mergeCell ref="G18:G19"/>
    <mergeCell ref="H18:H19"/>
    <mergeCell ref="I18:I19"/>
    <mergeCell ref="D18:D19"/>
    <mergeCell ref="E18:E19"/>
    <mergeCell ref="G44:G46"/>
    <mergeCell ref="H44:H46"/>
    <mergeCell ref="I44:I46"/>
    <mergeCell ref="B31:C31"/>
    <mergeCell ref="B37:C37"/>
    <mergeCell ref="A9:C9"/>
    <mergeCell ref="B17:C17"/>
    <mergeCell ref="A18:A19"/>
    <mergeCell ref="B18:C18"/>
    <mergeCell ref="B19:C19"/>
    <mergeCell ref="B16:C16"/>
    <mergeCell ref="B15:C15"/>
    <mergeCell ref="A10:C10"/>
    <mergeCell ref="B11:C11"/>
    <mergeCell ref="B12:C12"/>
    <mergeCell ref="B13:C13"/>
    <mergeCell ref="B14:C14"/>
    <mergeCell ref="A6:C6"/>
    <mergeCell ref="D6:H6"/>
    <mergeCell ref="I6:I8"/>
    <mergeCell ref="A7:C7"/>
    <mergeCell ref="A8:C8"/>
    <mergeCell ref="D7:D8"/>
    <mergeCell ref="E7:E8"/>
    <mergeCell ref="F7:F8"/>
    <mergeCell ref="G7:G8"/>
    <mergeCell ref="H7:H8"/>
    <mergeCell ref="A5:I5"/>
    <mergeCell ref="A4:I4"/>
    <mergeCell ref="A2:I2"/>
    <mergeCell ref="A1:I1"/>
    <mergeCell ref="A3:I3"/>
  </mergeCells>
  <printOptions horizontalCentered="1"/>
  <pageMargins left="0.23622047244094491" right="0.23622047244094491" top="0.74803149606299213" bottom="0.74803149606299213" header="0.31496062992125984" footer="0.31496062992125984"/>
  <pageSetup scale="98" orientation="landscape" r:id="rId1"/>
  <headerFooter>
    <oddFooter>Página &amp;P</oddFooter>
  </headerFooter>
  <rowBreaks count="1" manualBreakCount="1">
    <brk id="65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E23"/>
  <sheetViews>
    <sheetView view="pageBreakPreview" zoomScaleNormal="100" zoomScaleSheetLayoutView="100" workbookViewId="0">
      <selection activeCell="C14" sqref="C14"/>
    </sheetView>
  </sheetViews>
  <sheetFormatPr baseColWidth="10" defaultColWidth="11.28515625" defaultRowHeight="16.5" x14ac:dyDescent="0.25"/>
  <cols>
    <col min="1" max="1" width="1.28515625" style="103" customWidth="1"/>
    <col min="2" max="2" width="43.85546875" style="103" customWidth="1"/>
    <col min="3" max="4" width="25.7109375" style="103" customWidth="1"/>
    <col min="5" max="5" width="62" style="215" customWidth="1"/>
    <col min="6" max="16384" width="11.28515625" style="103"/>
  </cols>
  <sheetData>
    <row r="1" spans="1:5" x14ac:dyDescent="0.25">
      <c r="A1" s="1067" t="s">
        <v>25</v>
      </c>
      <c r="B1" s="1067"/>
      <c r="C1" s="1067"/>
      <c r="D1" s="1067"/>
    </row>
    <row r="2" spans="1:5" s="142" customFormat="1" ht="15.75" x14ac:dyDescent="0.25">
      <c r="A2" s="1067" t="s">
        <v>548</v>
      </c>
      <c r="B2" s="1067"/>
      <c r="C2" s="1067"/>
      <c r="D2" s="1067"/>
      <c r="E2" s="388"/>
    </row>
    <row r="3" spans="1:5" s="142" customFormat="1" ht="15.75" x14ac:dyDescent="0.25">
      <c r="A3" s="1068" t="str">
        <f>'ETCA-I-01'!A3:G3</f>
        <v>Centro de Evaluacion y Control de Confianza del Estado de Sonora</v>
      </c>
      <c r="B3" s="1068"/>
      <c r="C3" s="1068"/>
      <c r="D3" s="1068"/>
      <c r="E3" s="387"/>
    </row>
    <row r="4" spans="1:5" s="142" customFormat="1" x14ac:dyDescent="0.25">
      <c r="A4" s="1069" t="str">
        <f>'ETCA-I-01'!A4:G4</f>
        <v>Al 31 de Marzo de 2018</v>
      </c>
      <c r="B4" s="1069"/>
      <c r="C4" s="1069"/>
      <c r="D4" s="1069"/>
      <c r="E4" s="387"/>
    </row>
    <row r="5" spans="1:5" s="144" customFormat="1" ht="17.25" thickBot="1" x14ac:dyDescent="0.3">
      <c r="A5" s="143"/>
      <c r="B5" s="1070" t="s">
        <v>549</v>
      </c>
      <c r="C5" s="1070"/>
      <c r="D5" s="220"/>
      <c r="E5" s="389"/>
    </row>
    <row r="6" spans="1:5" s="145" customFormat="1" ht="27" customHeight="1" thickBot="1" x14ac:dyDescent="0.3">
      <c r="A6" s="1182" t="s">
        <v>550</v>
      </c>
      <c r="B6" s="1183"/>
      <c r="C6" s="229"/>
      <c r="D6" s="230">
        <f>'ETCA-II-01'!F24</f>
        <v>10977662.24</v>
      </c>
      <c r="E6" s="390" t="str">
        <f>IF(D6&lt;&gt;'ETCA-II-01'!F51,"ERROR!!!!! EL MONTO NO COINCIDE CON LO REPORTADO EN EL FORMATO ETCA-II-01 EN EL TOTAL DEVENGADO DEL ANALÍTICO DE INGRESOS","")</f>
        <v/>
      </c>
    </row>
    <row r="7" spans="1:5" s="223" customFormat="1" ht="9.75" customHeight="1" x14ac:dyDescent="0.25">
      <c r="A7" s="242"/>
      <c r="B7" s="221"/>
      <c r="C7" s="222"/>
      <c r="D7" s="244"/>
      <c r="E7" s="391"/>
    </row>
    <row r="8" spans="1:5" s="223" customFormat="1" ht="17.25" customHeight="1" thickBot="1" x14ac:dyDescent="0.3">
      <c r="A8" s="243" t="s">
        <v>551</v>
      </c>
      <c r="B8" s="224"/>
      <c r="C8" s="225"/>
      <c r="D8" s="245"/>
      <c r="E8" s="390"/>
    </row>
    <row r="9" spans="1:5" ht="20.100000000000001" customHeight="1" thickBot="1" x14ac:dyDescent="0.3">
      <c r="A9" s="231" t="s">
        <v>552</v>
      </c>
      <c r="B9" s="232"/>
      <c r="C9" s="233"/>
      <c r="D9" s="234">
        <f>SUM(C10:C14)</f>
        <v>1031.47</v>
      </c>
      <c r="E9" s="390"/>
    </row>
    <row r="10" spans="1:5" ht="20.100000000000001" customHeight="1" x14ac:dyDescent="0.2">
      <c r="A10" s="146"/>
      <c r="B10" s="251" t="s">
        <v>553</v>
      </c>
      <c r="C10" s="235"/>
      <c r="D10" s="392"/>
      <c r="E10" s="409" t="str">
        <f>IF(C10&lt;&gt;'ETCA-I-03'!C22,"ERROR!!!, NO COINCIDEN LOS MONTOS CON LO REPORTADO EN EL FORMATO ETCA-I-03 EN EL EJERCICIO 2017","")</f>
        <v/>
      </c>
    </row>
    <row r="11" spans="1:5" ht="33" customHeight="1" x14ac:dyDescent="0.2">
      <c r="A11" s="146"/>
      <c r="B11" s="252" t="s">
        <v>554</v>
      </c>
      <c r="C11" s="235"/>
      <c r="D11" s="392"/>
      <c r="E11" s="409" t="str">
        <f>IF(C11&lt;&gt;'ETCA-I-03'!C23,"ERROR!!!, NO COINCIDEN LOS MONTOS CON LO REPORTADO EN EL FORMATO ETCA-I-03 EN EL EJERCICIO 2017","")</f>
        <v/>
      </c>
    </row>
    <row r="12" spans="1:5" ht="20.100000000000001" customHeight="1" x14ac:dyDescent="0.2">
      <c r="A12" s="147"/>
      <c r="B12" s="252" t="s">
        <v>555</v>
      </c>
      <c r="C12" s="235"/>
      <c r="D12" s="392"/>
      <c r="E12" s="409" t="str">
        <f>IF(C12&lt;&gt;'ETCA-I-03'!C24,"ERROR!!!, NO COINCIDEN LOS MONTOS CON LO REPORTADO EN EL FORMATO ETCA-I-03 EN EL EJERCICIO 2017","")</f>
        <v/>
      </c>
    </row>
    <row r="13" spans="1:5" ht="20.100000000000001" customHeight="1" x14ac:dyDescent="0.2">
      <c r="A13" s="147"/>
      <c r="B13" s="252" t="s">
        <v>556</v>
      </c>
      <c r="C13" s="235">
        <f>'ETCA-I-03'!C20</f>
        <v>1031.47</v>
      </c>
      <c r="D13" s="392"/>
      <c r="E13" s="409" t="str">
        <f>IF(C13&lt;&gt;'ETCA-I-03'!C25,"ERROR!!!, NO COINCIDEN LOS MONTOS CON LO REPORTADO EN EL FORMATO ETCA-I-03 EN EL EJERCICIO 2017","")</f>
        <v>ERROR!!!, NO COINCIDEN LOS MONTOS CON LO REPORTADO EN EL FORMATO ETCA-I-03 EN EL EJERCICIO 2017</v>
      </c>
    </row>
    <row r="14" spans="1:5" ht="24.75" customHeight="1" thickBot="1" x14ac:dyDescent="0.3">
      <c r="A14" s="226" t="s">
        <v>557</v>
      </c>
      <c r="B14" s="255"/>
      <c r="C14" s="236"/>
      <c r="D14" s="393"/>
      <c r="E14" s="390"/>
    </row>
    <row r="15" spans="1:5" ht="7.5" customHeight="1" x14ac:dyDescent="0.25">
      <c r="A15" s="256"/>
      <c r="B15" s="246"/>
      <c r="C15" s="247"/>
      <c r="D15" s="248"/>
      <c r="E15" s="390"/>
    </row>
    <row r="16" spans="1:5" ht="20.100000000000001" customHeight="1" thickBot="1" x14ac:dyDescent="0.3">
      <c r="A16" s="257" t="s">
        <v>558</v>
      </c>
      <c r="B16" s="249"/>
      <c r="C16" s="250"/>
      <c r="D16" s="227"/>
      <c r="E16" s="390"/>
    </row>
    <row r="17" spans="1:5" ht="20.100000000000001" customHeight="1" thickBot="1" x14ac:dyDescent="0.3">
      <c r="A17" s="231" t="s">
        <v>559</v>
      </c>
      <c r="B17" s="232"/>
      <c r="C17" s="233"/>
      <c r="D17" s="234">
        <f>SUM(C18:C22)</f>
        <v>0</v>
      </c>
      <c r="E17" s="390"/>
    </row>
    <row r="18" spans="1:5" ht="20.100000000000001" customHeight="1" x14ac:dyDescent="0.25">
      <c r="A18" s="147"/>
      <c r="B18" s="251" t="s">
        <v>560</v>
      </c>
      <c r="C18" s="237"/>
      <c r="D18" s="392"/>
      <c r="E18" s="390"/>
    </row>
    <row r="19" spans="1:5" ht="20.100000000000001" customHeight="1" x14ac:dyDescent="0.25">
      <c r="A19" s="147"/>
      <c r="B19" s="252" t="s">
        <v>561</v>
      </c>
      <c r="C19" s="237"/>
      <c r="D19" s="392"/>
      <c r="E19" s="390"/>
    </row>
    <row r="20" spans="1:5" ht="20.100000000000001" customHeight="1" x14ac:dyDescent="0.25">
      <c r="A20" s="147"/>
      <c r="B20" s="252" t="s">
        <v>562</v>
      </c>
      <c r="C20" s="237"/>
      <c r="D20" s="392"/>
      <c r="E20" s="390"/>
    </row>
    <row r="21" spans="1:5" ht="20.100000000000001" customHeight="1" x14ac:dyDescent="0.25">
      <c r="A21" s="228" t="s">
        <v>563</v>
      </c>
      <c r="B21" s="253"/>
      <c r="C21" s="237"/>
      <c r="D21" s="392"/>
      <c r="E21" s="390"/>
    </row>
    <row r="22" spans="1:5" ht="20.100000000000001" customHeight="1" thickBot="1" x14ac:dyDescent="0.3">
      <c r="A22" s="147"/>
      <c r="B22" s="254"/>
      <c r="C22" s="238"/>
      <c r="D22" s="392"/>
      <c r="E22" s="390"/>
    </row>
    <row r="23" spans="1:5" ht="26.25" customHeight="1" thickBot="1" x14ac:dyDescent="0.3">
      <c r="A23" s="239" t="s">
        <v>564</v>
      </c>
      <c r="B23" s="240"/>
      <c r="C23" s="241"/>
      <c r="D23" s="230">
        <f>D6+D9-D17</f>
        <v>10978693.710000001</v>
      </c>
      <c r="E23" s="390" t="str">
        <f>IF(D23&lt;&gt;'ETCA-I-03'!C27,"ERROR!!!!! EL MONTO NO COINCIDE CON LO REPORTADO EN EL FORMATO ETCA-I-03 EN EL TOTAL DE INGRESOS Y OTROS BENEFICIOS","")</f>
        <v/>
      </c>
    </row>
  </sheetData>
  <sheetProtection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view="pageBreakPreview" topLeftCell="A64" zoomScale="98" zoomScaleNormal="100" zoomScaleSheetLayoutView="98" workbookViewId="0">
      <selection activeCell="F27" sqref="F27"/>
    </sheetView>
  </sheetViews>
  <sheetFormatPr baseColWidth="10" defaultRowHeight="15" x14ac:dyDescent="0.25"/>
  <cols>
    <col min="1" max="1" width="52.28515625" style="569" bestFit="1" customWidth="1"/>
    <col min="2" max="2" width="13.7109375" style="569" customWidth="1"/>
    <col min="3" max="3" width="15.42578125" style="569" customWidth="1"/>
    <col min="4" max="7" width="13.7109375" style="569" customWidth="1"/>
    <col min="8" max="16384" width="11.42578125" style="569"/>
  </cols>
  <sheetData>
    <row r="1" spans="1:7" ht="15.75" x14ac:dyDescent="0.25">
      <c r="A1" s="1067" t="s">
        <v>25</v>
      </c>
      <c r="B1" s="1067"/>
      <c r="C1" s="1067"/>
      <c r="D1" s="1067"/>
      <c r="E1" s="1067"/>
      <c r="F1" s="1067"/>
      <c r="G1" s="1067"/>
    </row>
    <row r="2" spans="1:7" ht="15.75" x14ac:dyDescent="0.25">
      <c r="A2" s="1067" t="s">
        <v>565</v>
      </c>
      <c r="B2" s="1067"/>
      <c r="C2" s="1067"/>
      <c r="D2" s="1067"/>
      <c r="E2" s="1067"/>
      <c r="F2" s="1067"/>
      <c r="G2" s="1067"/>
    </row>
    <row r="3" spans="1:7" ht="15.75" x14ac:dyDescent="0.25">
      <c r="A3" s="1067" t="s">
        <v>566</v>
      </c>
      <c r="B3" s="1067"/>
      <c r="C3" s="1067"/>
      <c r="D3" s="1067"/>
      <c r="E3" s="1067"/>
      <c r="F3" s="1067"/>
      <c r="G3" s="1067"/>
    </row>
    <row r="4" spans="1:7" ht="15.75" x14ac:dyDescent="0.25">
      <c r="A4" s="1068" t="str">
        <f>'ETCA-I-01'!A3:G3</f>
        <v>Centro de Evaluacion y Control de Confianza del Estado de Sonora</v>
      </c>
      <c r="B4" s="1068"/>
      <c r="C4" s="1068"/>
      <c r="D4" s="1068"/>
      <c r="E4" s="1068"/>
      <c r="F4" s="1068"/>
      <c r="G4" s="1068"/>
    </row>
    <row r="5" spans="1:7" ht="16.5" x14ac:dyDescent="0.25">
      <c r="A5" s="1069" t="str">
        <f>'ETCA-I-03'!A4:D4</f>
        <v>Del 01 de Enero  al 31 de Marzo de 2018</v>
      </c>
      <c r="B5" s="1069"/>
      <c r="C5" s="1069"/>
      <c r="D5" s="1069"/>
      <c r="E5" s="1069"/>
      <c r="F5" s="1069"/>
      <c r="G5" s="1069"/>
    </row>
    <row r="6" spans="1:7" ht="17.25" thickBot="1" x14ac:dyDescent="0.3">
      <c r="A6" s="1186" t="s">
        <v>567</v>
      </c>
      <c r="B6" s="1186"/>
      <c r="C6" s="1186"/>
      <c r="D6" s="1186"/>
      <c r="E6" s="1186"/>
      <c r="F6" s="220"/>
      <c r="G6" s="260"/>
    </row>
    <row r="7" spans="1:7" ht="38.25" x14ac:dyDescent="0.25">
      <c r="A7" s="1184" t="s">
        <v>568</v>
      </c>
      <c r="B7" s="175" t="s">
        <v>569</v>
      </c>
      <c r="C7" s="175" t="s">
        <v>479</v>
      </c>
      <c r="D7" s="415" t="s">
        <v>570</v>
      </c>
      <c r="E7" s="175" t="s">
        <v>571</v>
      </c>
      <c r="F7" s="175" t="s">
        <v>572</v>
      </c>
      <c r="G7" s="416" t="s">
        <v>573</v>
      </c>
    </row>
    <row r="8" spans="1:7" ht="15.75" thickBot="1" x14ac:dyDescent="0.3">
      <c r="A8" s="1185"/>
      <c r="B8" s="178" t="s">
        <v>444</v>
      </c>
      <c r="C8" s="178" t="s">
        <v>445</v>
      </c>
      <c r="D8" s="417" t="s">
        <v>574</v>
      </c>
      <c r="E8" s="178" t="s">
        <v>447</v>
      </c>
      <c r="F8" s="178" t="s">
        <v>448</v>
      </c>
      <c r="G8" s="418" t="s">
        <v>575</v>
      </c>
    </row>
    <row r="9" spans="1:7" x14ac:dyDescent="0.25">
      <c r="A9" s="952" t="s">
        <v>225</v>
      </c>
      <c r="B9" s="754">
        <f>SUM(B10:B16)</f>
        <v>46848719.990000002</v>
      </c>
      <c r="C9" s="754">
        <f>SUM(C10:C16)</f>
        <v>0</v>
      </c>
      <c r="D9" s="754">
        <f>B9+C9</f>
        <v>46848719.990000002</v>
      </c>
      <c r="E9" s="754">
        <f>SUM(E10:E16)</f>
        <v>10428109.98</v>
      </c>
      <c r="F9" s="754">
        <f>SUM(F10:F16)</f>
        <v>10425050.76</v>
      </c>
      <c r="G9" s="755">
        <f>D9-E9</f>
        <v>36420610.010000005</v>
      </c>
    </row>
    <row r="10" spans="1:7" x14ac:dyDescent="0.25">
      <c r="A10" s="953" t="s">
        <v>576</v>
      </c>
      <c r="B10" s="281">
        <v>28994298.66</v>
      </c>
      <c r="C10" s="281"/>
      <c r="D10" s="282">
        <f t="shared" ref="D10:D72" si="0">B10+C10</f>
        <v>28994298.66</v>
      </c>
      <c r="E10" s="281">
        <v>6956666.6100000003</v>
      </c>
      <c r="F10" s="281">
        <v>6956666.6100000003</v>
      </c>
      <c r="G10" s="285">
        <f t="shared" ref="G10:G73" si="1">D10-E10</f>
        <v>22037632.050000001</v>
      </c>
    </row>
    <row r="11" spans="1:7" x14ac:dyDescent="0.25">
      <c r="A11" s="953" t="s">
        <v>577</v>
      </c>
      <c r="B11" s="281"/>
      <c r="C11" s="281"/>
      <c r="D11" s="282">
        <f t="shared" si="0"/>
        <v>0</v>
      </c>
      <c r="E11" s="281">
        <v>0</v>
      </c>
      <c r="F11" s="281">
        <v>0</v>
      </c>
      <c r="G11" s="285">
        <f t="shared" si="1"/>
        <v>0</v>
      </c>
    </row>
    <row r="12" spans="1:7" x14ac:dyDescent="0.25">
      <c r="A12" s="953" t="s">
        <v>578</v>
      </c>
      <c r="B12" s="281">
        <v>8020910.3399999999</v>
      </c>
      <c r="C12" s="281"/>
      <c r="D12" s="282">
        <f t="shared" si="0"/>
        <v>8020910.3399999999</v>
      </c>
      <c r="E12" s="281">
        <v>1067351.18</v>
      </c>
      <c r="F12" s="281">
        <v>1067351.18</v>
      </c>
      <c r="G12" s="285">
        <f t="shared" si="1"/>
        <v>6953559.1600000001</v>
      </c>
    </row>
    <row r="13" spans="1:7" x14ac:dyDescent="0.25">
      <c r="A13" s="953" t="s">
        <v>579</v>
      </c>
      <c r="B13" s="281">
        <v>9833510.9900000002</v>
      </c>
      <c r="C13" s="281"/>
      <c r="D13" s="282">
        <f t="shared" si="0"/>
        <v>9833510.9900000002</v>
      </c>
      <c r="E13" s="281">
        <v>2404092.19</v>
      </c>
      <c r="F13" s="281">
        <v>2401032.9700000002</v>
      </c>
      <c r="G13" s="285">
        <f>D13-E13</f>
        <v>7429418.8000000007</v>
      </c>
    </row>
    <row r="14" spans="1:7" x14ac:dyDescent="0.25">
      <c r="A14" s="953" t="s">
        <v>580</v>
      </c>
      <c r="B14" s="281"/>
      <c r="C14" s="281"/>
      <c r="D14" s="282">
        <f t="shared" si="0"/>
        <v>0</v>
      </c>
      <c r="E14" s="281"/>
      <c r="F14" s="281">
        <v>0</v>
      </c>
      <c r="G14" s="285">
        <f t="shared" si="1"/>
        <v>0</v>
      </c>
    </row>
    <row r="15" spans="1:7" x14ac:dyDescent="0.25">
      <c r="A15" s="953" t="s">
        <v>581</v>
      </c>
      <c r="B15" s="281">
        <v>0</v>
      </c>
      <c r="C15" s="281"/>
      <c r="D15" s="282">
        <f t="shared" si="0"/>
        <v>0</v>
      </c>
      <c r="E15" s="281"/>
      <c r="F15" s="281">
        <v>0</v>
      </c>
      <c r="G15" s="285">
        <f t="shared" si="1"/>
        <v>0</v>
      </c>
    </row>
    <row r="16" spans="1:7" x14ac:dyDescent="0.25">
      <c r="A16" s="953" t="s">
        <v>582</v>
      </c>
      <c r="B16" s="281">
        <v>0</v>
      </c>
      <c r="C16" s="281"/>
      <c r="D16" s="282">
        <f t="shared" si="0"/>
        <v>0</v>
      </c>
      <c r="E16" s="281"/>
      <c r="F16" s="281">
        <v>0</v>
      </c>
      <c r="G16" s="285">
        <f t="shared" si="1"/>
        <v>0</v>
      </c>
    </row>
    <row r="17" spans="1:9" x14ac:dyDescent="0.25">
      <c r="A17" s="954" t="s">
        <v>226</v>
      </c>
      <c r="B17" s="754">
        <f>SUM(B18:B26)</f>
        <v>2133085.38</v>
      </c>
      <c r="C17" s="754">
        <f>SUM(C18:C26)</f>
        <v>57986.080000000002</v>
      </c>
      <c r="D17" s="754">
        <f>B17+C17</f>
        <v>2191071.46</v>
      </c>
      <c r="E17" s="754">
        <f>SUM(E18:E26)</f>
        <v>273119.01999999996</v>
      </c>
      <c r="F17" s="754">
        <f>SUM(F18:F26)</f>
        <v>230415.09000000003</v>
      </c>
      <c r="G17" s="755">
        <f t="shared" si="1"/>
        <v>1917952.44</v>
      </c>
    </row>
    <row r="18" spans="1:9" ht="25.5" x14ac:dyDescent="0.25">
      <c r="A18" s="953" t="s">
        <v>583</v>
      </c>
      <c r="B18" s="281">
        <v>1153862.3799999999</v>
      </c>
      <c r="C18" s="281">
        <v>0</v>
      </c>
      <c r="D18" s="282">
        <f t="shared" si="0"/>
        <v>1153862.3799999999</v>
      </c>
      <c r="E18" s="281">
        <v>98697.45</v>
      </c>
      <c r="F18" s="281">
        <v>86880.03</v>
      </c>
      <c r="G18" s="285">
        <f t="shared" si="1"/>
        <v>1055164.93</v>
      </c>
    </row>
    <row r="19" spans="1:9" x14ac:dyDescent="0.25">
      <c r="A19" s="953" t="s">
        <v>584</v>
      </c>
      <c r="B19" s="281">
        <v>32333.040000000001</v>
      </c>
      <c r="C19" s="281">
        <v>9000</v>
      </c>
      <c r="D19" s="282">
        <f t="shared" si="0"/>
        <v>41333.040000000001</v>
      </c>
      <c r="E19" s="281">
        <v>27061.69</v>
      </c>
      <c r="F19" s="281">
        <v>27061.69</v>
      </c>
      <c r="G19" s="285">
        <f t="shared" si="1"/>
        <v>14271.350000000002</v>
      </c>
    </row>
    <row r="20" spans="1:9" x14ac:dyDescent="0.25">
      <c r="A20" s="953" t="s">
        <v>585</v>
      </c>
      <c r="B20" s="281"/>
      <c r="C20" s="281">
        <v>0</v>
      </c>
      <c r="D20" s="282">
        <f t="shared" si="0"/>
        <v>0</v>
      </c>
      <c r="E20" s="281">
        <v>0</v>
      </c>
      <c r="F20" s="281">
        <v>0</v>
      </c>
      <c r="G20" s="285">
        <f t="shared" si="1"/>
        <v>0</v>
      </c>
    </row>
    <row r="21" spans="1:9" x14ac:dyDescent="0.25">
      <c r="A21" s="953" t="s">
        <v>586</v>
      </c>
      <c r="B21" s="281">
        <v>277970.8</v>
      </c>
      <c r="C21" s="281">
        <v>-10451.790000000001</v>
      </c>
      <c r="D21" s="282">
        <f t="shared" si="0"/>
        <v>267519.01</v>
      </c>
      <c r="E21" s="281">
        <v>12316.88</v>
      </c>
      <c r="F21" s="281">
        <v>0</v>
      </c>
      <c r="G21" s="285">
        <f t="shared" si="1"/>
        <v>255202.13</v>
      </c>
      <c r="H21" s="925"/>
    </row>
    <row r="22" spans="1:9" x14ac:dyDescent="0.25">
      <c r="A22" s="953" t="s">
        <v>587</v>
      </c>
      <c r="B22" s="281">
        <v>8700</v>
      </c>
      <c r="C22" s="281">
        <v>27109.200000000001</v>
      </c>
      <c r="D22" s="282">
        <f t="shared" si="0"/>
        <v>35809.199999999997</v>
      </c>
      <c r="E22" s="281">
        <v>295.8</v>
      </c>
      <c r="F22" s="281">
        <v>295.8</v>
      </c>
      <c r="G22" s="285">
        <f t="shared" si="1"/>
        <v>35513.399999999994</v>
      </c>
    </row>
    <row r="23" spans="1:9" x14ac:dyDescent="0.25">
      <c r="A23" s="953" t="s">
        <v>588</v>
      </c>
      <c r="B23" s="281">
        <v>404510.79</v>
      </c>
      <c r="C23" s="281"/>
      <c r="D23" s="282">
        <f t="shared" si="0"/>
        <v>404510.79</v>
      </c>
      <c r="E23" s="281">
        <v>94279.5</v>
      </c>
      <c r="F23" s="281">
        <v>75709.87</v>
      </c>
      <c r="G23" s="285">
        <f t="shared" si="1"/>
        <v>310231.28999999998</v>
      </c>
    </row>
    <row r="24" spans="1:9" x14ac:dyDescent="0.25">
      <c r="A24" s="953" t="s">
        <v>589</v>
      </c>
      <c r="B24" s="281">
        <v>50437.59</v>
      </c>
      <c r="C24" s="281">
        <v>-6000</v>
      </c>
      <c r="D24" s="282">
        <f t="shared" si="0"/>
        <v>44437.59</v>
      </c>
      <c r="E24" s="281">
        <v>0</v>
      </c>
      <c r="F24" s="281">
        <v>0</v>
      </c>
      <c r="G24" s="285">
        <f t="shared" si="1"/>
        <v>44437.59</v>
      </c>
    </row>
    <row r="25" spans="1:9" x14ac:dyDescent="0.25">
      <c r="A25" s="953" t="s">
        <v>590</v>
      </c>
      <c r="B25" s="281"/>
      <c r="C25" s="281"/>
      <c r="D25" s="282">
        <f t="shared" si="0"/>
        <v>0</v>
      </c>
      <c r="E25" s="281">
        <v>0</v>
      </c>
      <c r="F25" s="281">
        <v>0</v>
      </c>
      <c r="G25" s="285">
        <f t="shared" si="1"/>
        <v>0</v>
      </c>
    </row>
    <row r="26" spans="1:9" x14ac:dyDescent="0.25">
      <c r="A26" s="953" t="s">
        <v>591</v>
      </c>
      <c r="B26" s="281">
        <v>205270.78</v>
      </c>
      <c r="C26" s="281">
        <v>38328.67</v>
      </c>
      <c r="D26" s="282">
        <f t="shared" si="0"/>
        <v>243599.45</v>
      </c>
      <c r="E26" s="281">
        <v>40467.699999999997</v>
      </c>
      <c r="F26" s="281">
        <v>40467.699999999997</v>
      </c>
      <c r="G26" s="285">
        <f t="shared" si="1"/>
        <v>203131.75</v>
      </c>
    </row>
    <row r="27" spans="1:9" x14ac:dyDescent="0.25">
      <c r="A27" s="954" t="s">
        <v>227</v>
      </c>
      <c r="B27" s="754">
        <f>SUM(B28:B36)</f>
        <v>6341914.6299999999</v>
      </c>
      <c r="C27" s="754">
        <f>SUM(C28:C36)</f>
        <v>4727118.37</v>
      </c>
      <c r="D27" s="754">
        <f>B27+C27</f>
        <v>11069033</v>
      </c>
      <c r="E27" s="754">
        <f>SUM(E28:E36)</f>
        <v>1790340.42</v>
      </c>
      <c r="F27" s="754">
        <f>SUM(F28:F36)</f>
        <v>1323644.9200000002</v>
      </c>
      <c r="G27" s="755">
        <f t="shared" si="1"/>
        <v>9278692.5800000001</v>
      </c>
    </row>
    <row r="28" spans="1:9" ht="14.25" customHeight="1" x14ac:dyDescent="0.25">
      <c r="A28" s="953" t="s">
        <v>592</v>
      </c>
      <c r="B28" s="281">
        <v>1219443.67</v>
      </c>
      <c r="C28" s="281"/>
      <c r="D28" s="282">
        <f t="shared" si="0"/>
        <v>1219443.67</v>
      </c>
      <c r="E28" s="281">
        <v>177534.6</v>
      </c>
      <c r="F28" s="281">
        <v>177534.6</v>
      </c>
      <c r="G28" s="285">
        <f t="shared" si="1"/>
        <v>1041909.07</v>
      </c>
    </row>
    <row r="29" spans="1:9" x14ac:dyDescent="0.25">
      <c r="A29" s="953" t="s">
        <v>593</v>
      </c>
      <c r="B29" s="281">
        <v>113506.04</v>
      </c>
      <c r="C29" s="281"/>
      <c r="D29" s="282">
        <f t="shared" si="0"/>
        <v>113506.04</v>
      </c>
      <c r="E29" s="281">
        <v>25482.22</v>
      </c>
      <c r="F29" s="281">
        <v>18468.21</v>
      </c>
      <c r="G29" s="285">
        <f t="shared" si="1"/>
        <v>88023.819999999992</v>
      </c>
      <c r="H29" s="925"/>
      <c r="I29" s="955"/>
    </row>
    <row r="30" spans="1:9" x14ac:dyDescent="0.25">
      <c r="A30" s="953" t="s">
        <v>594</v>
      </c>
      <c r="B30" s="281">
        <v>804083.74</v>
      </c>
      <c r="C30" s="281">
        <v>273644</v>
      </c>
      <c r="D30" s="282">
        <f t="shared" si="0"/>
        <v>1077727.74</v>
      </c>
      <c r="E30" s="281">
        <v>387561.12</v>
      </c>
      <c r="F30" s="281">
        <v>357401.82</v>
      </c>
      <c r="G30" s="285">
        <f t="shared" si="1"/>
        <v>690166.62</v>
      </c>
      <c r="H30" s="955"/>
      <c r="I30" s="955"/>
    </row>
    <row r="31" spans="1:9" x14ac:dyDescent="0.25">
      <c r="A31" s="953" t="s">
        <v>595</v>
      </c>
      <c r="B31" s="281">
        <v>145126.17000000001</v>
      </c>
      <c r="C31" s="281">
        <v>319999.99</v>
      </c>
      <c r="D31" s="282">
        <f t="shared" si="0"/>
        <v>465126.16000000003</v>
      </c>
      <c r="E31" s="281">
        <v>102005.96</v>
      </c>
      <c r="F31" s="281">
        <v>102005.96</v>
      </c>
      <c r="G31" s="285">
        <f t="shared" si="1"/>
        <v>363120.2</v>
      </c>
    </row>
    <row r="32" spans="1:9" x14ac:dyDescent="0.25">
      <c r="A32" s="953" t="s">
        <v>596</v>
      </c>
      <c r="B32" s="281">
        <v>866744.57</v>
      </c>
      <c r="C32" s="281">
        <v>2067126.08</v>
      </c>
      <c r="D32" s="282">
        <f t="shared" si="0"/>
        <v>2933870.65</v>
      </c>
      <c r="E32" s="281">
        <v>569103.30000000005</v>
      </c>
      <c r="F32" s="281">
        <v>489363.51</v>
      </c>
      <c r="G32" s="285">
        <f t="shared" si="1"/>
        <v>2364767.3499999996</v>
      </c>
      <c r="H32" s="955"/>
    </row>
    <row r="33" spans="1:9" x14ac:dyDescent="0.25">
      <c r="A33" s="953" t="s">
        <v>597</v>
      </c>
      <c r="B33" s="281"/>
      <c r="C33" s="281"/>
      <c r="D33" s="282">
        <f t="shared" si="0"/>
        <v>0</v>
      </c>
      <c r="E33" s="281">
        <v>0</v>
      </c>
      <c r="F33" s="281">
        <v>0</v>
      </c>
      <c r="G33" s="285">
        <f t="shared" si="1"/>
        <v>0</v>
      </c>
      <c r="I33" s="955"/>
    </row>
    <row r="34" spans="1:9" x14ac:dyDescent="0.25">
      <c r="A34" s="953" t="s">
        <v>598</v>
      </c>
      <c r="B34" s="281">
        <v>29872.19</v>
      </c>
      <c r="C34" s="281">
        <v>1297300.42</v>
      </c>
      <c r="D34" s="282">
        <f t="shared" si="0"/>
        <v>1327172.6099999999</v>
      </c>
      <c r="E34" s="281">
        <v>132137</v>
      </c>
      <c r="F34" s="281">
        <v>132137</v>
      </c>
      <c r="G34" s="285">
        <f t="shared" si="1"/>
        <v>1195035.6099999999</v>
      </c>
    </row>
    <row r="35" spans="1:9" x14ac:dyDescent="0.25">
      <c r="A35" s="953" t="s">
        <v>599</v>
      </c>
      <c r="B35" s="281">
        <v>0</v>
      </c>
      <c r="C35" s="281">
        <v>0</v>
      </c>
      <c r="D35" s="282">
        <f t="shared" si="0"/>
        <v>0</v>
      </c>
      <c r="E35" s="281">
        <v>0</v>
      </c>
      <c r="F35" s="281">
        <v>0</v>
      </c>
      <c r="G35" s="285">
        <f t="shared" si="1"/>
        <v>0</v>
      </c>
    </row>
    <row r="36" spans="1:9" ht="15.75" thickBot="1" x14ac:dyDescent="0.3">
      <c r="A36" s="956" t="s">
        <v>600</v>
      </c>
      <c r="B36" s="957">
        <v>3163138.25</v>
      </c>
      <c r="C36" s="957">
        <v>769047.88</v>
      </c>
      <c r="D36" s="750">
        <f>SUM(B36:C36)</f>
        <v>3932186.13</v>
      </c>
      <c r="E36" s="957">
        <v>396516.22</v>
      </c>
      <c r="F36" s="957">
        <v>46733.82</v>
      </c>
      <c r="G36" s="751">
        <f t="shared" si="1"/>
        <v>3535669.91</v>
      </c>
    </row>
    <row r="37" spans="1:9" x14ac:dyDescent="0.25">
      <c r="A37" s="958" t="s">
        <v>466</v>
      </c>
      <c r="B37" s="282">
        <f>SUM(B38:B46)</f>
        <v>0</v>
      </c>
      <c r="C37" s="282">
        <f>SUM(C38:C46)</f>
        <v>0</v>
      </c>
      <c r="D37" s="282">
        <f>B37+C37</f>
        <v>0</v>
      </c>
      <c r="E37" s="282">
        <f>SUM(E38:E46)</f>
        <v>0</v>
      </c>
      <c r="F37" s="282">
        <f>SUM(F38:F46)</f>
        <v>0</v>
      </c>
      <c r="G37" s="285">
        <f t="shared" si="1"/>
        <v>0</v>
      </c>
    </row>
    <row r="38" spans="1:9" x14ac:dyDescent="0.25">
      <c r="A38" s="953" t="s">
        <v>228</v>
      </c>
      <c r="B38" s="281"/>
      <c r="C38" s="281"/>
      <c r="D38" s="282">
        <f t="shared" si="0"/>
        <v>0</v>
      </c>
      <c r="E38" s="281"/>
      <c r="F38" s="281"/>
      <c r="G38" s="285">
        <f t="shared" si="1"/>
        <v>0</v>
      </c>
    </row>
    <row r="39" spans="1:9" x14ac:dyDescent="0.25">
      <c r="A39" s="953" t="s">
        <v>229</v>
      </c>
      <c r="B39" s="281"/>
      <c r="C39" s="281"/>
      <c r="D39" s="282">
        <f t="shared" si="0"/>
        <v>0</v>
      </c>
      <c r="E39" s="281"/>
      <c r="F39" s="281"/>
      <c r="G39" s="285">
        <f t="shared" si="1"/>
        <v>0</v>
      </c>
    </row>
    <row r="40" spans="1:9" x14ac:dyDescent="0.25">
      <c r="A40" s="953" t="s">
        <v>230</v>
      </c>
      <c r="B40" s="281"/>
      <c r="C40" s="281"/>
      <c r="D40" s="282">
        <f t="shared" si="0"/>
        <v>0</v>
      </c>
      <c r="E40" s="281"/>
      <c r="F40" s="281"/>
      <c r="G40" s="285">
        <f t="shared" si="1"/>
        <v>0</v>
      </c>
    </row>
    <row r="41" spans="1:9" x14ac:dyDescent="0.25">
      <c r="A41" s="953" t="s">
        <v>231</v>
      </c>
      <c r="B41" s="281"/>
      <c r="C41" s="281"/>
      <c r="D41" s="282">
        <f t="shared" si="0"/>
        <v>0</v>
      </c>
      <c r="E41" s="281"/>
      <c r="F41" s="281"/>
      <c r="G41" s="285">
        <f t="shared" si="1"/>
        <v>0</v>
      </c>
    </row>
    <row r="42" spans="1:9" x14ac:dyDescent="0.25">
      <c r="A42" s="953" t="s">
        <v>232</v>
      </c>
      <c r="B42" s="281"/>
      <c r="C42" s="281"/>
      <c r="D42" s="282">
        <f t="shared" si="0"/>
        <v>0</v>
      </c>
      <c r="E42" s="281"/>
      <c r="F42" s="281"/>
      <c r="G42" s="285">
        <f t="shared" si="1"/>
        <v>0</v>
      </c>
    </row>
    <row r="43" spans="1:9" x14ac:dyDescent="0.25">
      <c r="A43" s="953" t="s">
        <v>601</v>
      </c>
      <c r="B43" s="281"/>
      <c r="C43" s="281"/>
      <c r="D43" s="282">
        <f t="shared" si="0"/>
        <v>0</v>
      </c>
      <c r="E43" s="281"/>
      <c r="F43" s="281"/>
      <c r="G43" s="285">
        <f t="shared" si="1"/>
        <v>0</v>
      </c>
    </row>
    <row r="44" spans="1:9" x14ac:dyDescent="0.25">
      <c r="A44" s="953" t="s">
        <v>234</v>
      </c>
      <c r="B44" s="281"/>
      <c r="C44" s="281"/>
      <c r="D44" s="282">
        <f t="shared" si="0"/>
        <v>0</v>
      </c>
      <c r="E44" s="281"/>
      <c r="F44" s="281"/>
      <c r="G44" s="285">
        <f t="shared" si="1"/>
        <v>0</v>
      </c>
    </row>
    <row r="45" spans="1:9" x14ac:dyDescent="0.25">
      <c r="A45" s="953" t="s">
        <v>235</v>
      </c>
      <c r="B45" s="281"/>
      <c r="C45" s="281"/>
      <c r="D45" s="282">
        <f t="shared" si="0"/>
        <v>0</v>
      </c>
      <c r="E45" s="281"/>
      <c r="F45" s="281"/>
      <c r="G45" s="285">
        <f t="shared" si="1"/>
        <v>0</v>
      </c>
    </row>
    <row r="46" spans="1:9" x14ac:dyDescent="0.25">
      <c r="A46" s="953" t="s">
        <v>236</v>
      </c>
      <c r="B46" s="281"/>
      <c r="C46" s="281"/>
      <c r="D46" s="282">
        <f t="shared" si="0"/>
        <v>0</v>
      </c>
      <c r="E46" s="281"/>
      <c r="F46" s="281"/>
      <c r="G46" s="285">
        <f t="shared" si="1"/>
        <v>0</v>
      </c>
    </row>
    <row r="47" spans="1:9" x14ac:dyDescent="0.25">
      <c r="A47" s="954" t="s">
        <v>602</v>
      </c>
      <c r="B47" s="754">
        <f>SUM(B48:B56)</f>
        <v>0</v>
      </c>
      <c r="C47" s="754">
        <f>SUM(C48:C56)</f>
        <v>1992764</v>
      </c>
      <c r="D47" s="754">
        <f>B47+C47</f>
        <v>1992764</v>
      </c>
      <c r="E47" s="754">
        <f>SUM(E48:E56)</f>
        <v>23877.65</v>
      </c>
      <c r="F47" s="754">
        <f>SUM(F48:F56)</f>
        <v>23877.65</v>
      </c>
      <c r="G47" s="755">
        <f t="shared" si="1"/>
        <v>1968886.35</v>
      </c>
    </row>
    <row r="48" spans="1:9" x14ac:dyDescent="0.25">
      <c r="A48" s="953" t="s">
        <v>603</v>
      </c>
      <c r="B48" s="281">
        <v>0</v>
      </c>
      <c r="C48" s="281">
        <v>8098</v>
      </c>
      <c r="D48" s="282">
        <f t="shared" si="0"/>
        <v>8098</v>
      </c>
      <c r="E48" s="281">
        <v>8096</v>
      </c>
      <c r="F48" s="281">
        <v>8096</v>
      </c>
      <c r="G48" s="285">
        <f>D48-E48</f>
        <v>2</v>
      </c>
    </row>
    <row r="49" spans="1:7" x14ac:dyDescent="0.25">
      <c r="A49" s="953" t="s">
        <v>604</v>
      </c>
      <c r="B49" s="281"/>
      <c r="C49" s="281">
        <v>30281.65</v>
      </c>
      <c r="D49" s="282">
        <f t="shared" si="0"/>
        <v>30281.65</v>
      </c>
      <c r="E49" s="281">
        <v>15781.65</v>
      </c>
      <c r="F49" s="281">
        <v>15781.65</v>
      </c>
      <c r="G49" s="285">
        <f t="shared" si="1"/>
        <v>14500.000000000002</v>
      </c>
    </row>
    <row r="50" spans="1:7" x14ac:dyDescent="0.25">
      <c r="A50" s="953" t="s">
        <v>605</v>
      </c>
      <c r="B50" s="281"/>
      <c r="C50" s="281">
        <v>141282.35</v>
      </c>
      <c r="D50" s="282">
        <f t="shared" si="0"/>
        <v>141282.35</v>
      </c>
      <c r="E50" s="281"/>
      <c r="F50" s="281"/>
      <c r="G50" s="285">
        <f t="shared" si="1"/>
        <v>141282.35</v>
      </c>
    </row>
    <row r="51" spans="1:7" x14ac:dyDescent="0.25">
      <c r="A51" s="953" t="s">
        <v>606</v>
      </c>
      <c r="B51" s="281"/>
      <c r="C51" s="281"/>
      <c r="D51" s="282">
        <f t="shared" si="0"/>
        <v>0</v>
      </c>
      <c r="E51" s="281"/>
      <c r="F51" s="281"/>
      <c r="G51" s="285">
        <f t="shared" si="1"/>
        <v>0</v>
      </c>
    </row>
    <row r="52" spans="1:7" x14ac:dyDescent="0.25">
      <c r="A52" s="953" t="s">
        <v>607</v>
      </c>
      <c r="B52" s="281"/>
      <c r="C52" s="281"/>
      <c r="D52" s="282">
        <f t="shared" si="0"/>
        <v>0</v>
      </c>
      <c r="E52" s="281"/>
      <c r="F52" s="281"/>
      <c r="G52" s="285">
        <f t="shared" si="1"/>
        <v>0</v>
      </c>
    </row>
    <row r="53" spans="1:7" x14ac:dyDescent="0.25">
      <c r="A53" s="953" t="s">
        <v>608</v>
      </c>
      <c r="B53" s="281"/>
      <c r="C53" s="281"/>
      <c r="D53" s="282">
        <f t="shared" si="0"/>
        <v>0</v>
      </c>
      <c r="E53" s="281"/>
      <c r="F53" s="281"/>
      <c r="G53" s="285">
        <f t="shared" si="1"/>
        <v>0</v>
      </c>
    </row>
    <row r="54" spans="1:7" x14ac:dyDescent="0.25">
      <c r="A54" s="953" t="s">
        <v>609</v>
      </c>
      <c r="B54" s="281"/>
      <c r="C54" s="281"/>
      <c r="D54" s="282">
        <f t="shared" si="0"/>
        <v>0</v>
      </c>
      <c r="E54" s="281"/>
      <c r="F54" s="281"/>
      <c r="G54" s="285">
        <f t="shared" si="1"/>
        <v>0</v>
      </c>
    </row>
    <row r="55" spans="1:7" x14ac:dyDescent="0.25">
      <c r="A55" s="953" t="s">
        <v>610</v>
      </c>
      <c r="B55" s="281"/>
      <c r="C55" s="281"/>
      <c r="D55" s="282">
        <f t="shared" si="0"/>
        <v>0</v>
      </c>
      <c r="E55" s="281"/>
      <c r="F55" s="281"/>
      <c r="G55" s="285">
        <f t="shared" si="1"/>
        <v>0</v>
      </c>
    </row>
    <row r="56" spans="1:7" x14ac:dyDescent="0.25">
      <c r="A56" s="953" t="s">
        <v>59</v>
      </c>
      <c r="B56" s="281"/>
      <c r="C56" s="281">
        <v>1813102</v>
      </c>
      <c r="D56" s="282">
        <f t="shared" si="0"/>
        <v>1813102</v>
      </c>
      <c r="E56" s="281"/>
      <c r="F56" s="281"/>
      <c r="G56" s="285">
        <f t="shared" si="1"/>
        <v>1813102</v>
      </c>
    </row>
    <row r="57" spans="1:7" x14ac:dyDescent="0.25">
      <c r="A57" s="958" t="s">
        <v>253</v>
      </c>
      <c r="B57" s="282">
        <f>SUM(B58:B60)</f>
        <v>0</v>
      </c>
      <c r="C57" s="282">
        <f>SUM(C58:C60)</f>
        <v>0</v>
      </c>
      <c r="D57" s="282">
        <f>B57+C57</f>
        <v>0</v>
      </c>
      <c r="E57" s="282">
        <f>SUM(E58:E60)</f>
        <v>0</v>
      </c>
      <c r="F57" s="282">
        <f>SUM(F58:F60)</f>
        <v>0</v>
      </c>
      <c r="G57" s="285">
        <f t="shared" si="1"/>
        <v>0</v>
      </c>
    </row>
    <row r="58" spans="1:7" x14ac:dyDescent="0.25">
      <c r="A58" s="953" t="s">
        <v>611</v>
      </c>
      <c r="B58" s="281"/>
      <c r="C58" s="281"/>
      <c r="D58" s="282">
        <f t="shared" si="0"/>
        <v>0</v>
      </c>
      <c r="E58" s="281"/>
      <c r="F58" s="281"/>
      <c r="G58" s="285">
        <f t="shared" si="1"/>
        <v>0</v>
      </c>
    </row>
    <row r="59" spans="1:7" x14ac:dyDescent="0.25">
      <c r="A59" s="953" t="s">
        <v>612</v>
      </c>
      <c r="B59" s="281"/>
      <c r="C59" s="281"/>
      <c r="D59" s="282">
        <f t="shared" si="0"/>
        <v>0</v>
      </c>
      <c r="E59" s="281"/>
      <c r="F59" s="281"/>
      <c r="G59" s="285">
        <f t="shared" si="1"/>
        <v>0</v>
      </c>
    </row>
    <row r="60" spans="1:7" x14ac:dyDescent="0.25">
      <c r="A60" s="953" t="s">
        <v>613</v>
      </c>
      <c r="B60" s="281"/>
      <c r="C60" s="281"/>
      <c r="D60" s="282">
        <f t="shared" si="0"/>
        <v>0</v>
      </c>
      <c r="E60" s="281"/>
      <c r="F60" s="281"/>
      <c r="G60" s="285">
        <f t="shared" si="1"/>
        <v>0</v>
      </c>
    </row>
    <row r="61" spans="1:7" x14ac:dyDescent="0.25">
      <c r="A61" s="958" t="s">
        <v>614</v>
      </c>
      <c r="B61" s="282">
        <f>SUM(B62:B68)</f>
        <v>0</v>
      </c>
      <c r="C61" s="282">
        <f>SUM(C62:C68)</f>
        <v>0</v>
      </c>
      <c r="D61" s="282">
        <f>B61+C61</f>
        <v>0</v>
      </c>
      <c r="E61" s="282">
        <f>SUM(E62:E68)</f>
        <v>0</v>
      </c>
      <c r="F61" s="282">
        <f>SUM(F62:F68)</f>
        <v>0</v>
      </c>
      <c r="G61" s="285">
        <f t="shared" si="1"/>
        <v>0</v>
      </c>
    </row>
    <row r="62" spans="1:7" x14ac:dyDescent="0.25">
      <c r="A62" s="953" t="s">
        <v>615</v>
      </c>
      <c r="B62" s="281"/>
      <c r="C62" s="281"/>
      <c r="D62" s="282">
        <f t="shared" si="0"/>
        <v>0</v>
      </c>
      <c r="E62" s="281"/>
      <c r="F62" s="281"/>
      <c r="G62" s="285">
        <f t="shared" si="1"/>
        <v>0</v>
      </c>
    </row>
    <row r="63" spans="1:7" ht="15.75" thickBot="1" x14ac:dyDescent="0.3">
      <c r="A63" s="956" t="s">
        <v>616</v>
      </c>
      <c r="B63" s="957"/>
      <c r="C63" s="957"/>
      <c r="D63" s="750">
        <f t="shared" si="0"/>
        <v>0</v>
      </c>
      <c r="E63" s="957"/>
      <c r="F63" s="957"/>
      <c r="G63" s="751">
        <f t="shared" si="1"/>
        <v>0</v>
      </c>
    </row>
    <row r="64" spans="1:7" x14ac:dyDescent="0.25">
      <c r="A64" s="953" t="s">
        <v>617</v>
      </c>
      <c r="B64" s="281"/>
      <c r="C64" s="281"/>
      <c r="D64" s="282">
        <f t="shared" si="0"/>
        <v>0</v>
      </c>
      <c r="E64" s="281"/>
      <c r="F64" s="281"/>
      <c r="G64" s="285">
        <f t="shared" si="1"/>
        <v>0</v>
      </c>
    </row>
    <row r="65" spans="1:7" x14ac:dyDescent="0.25">
      <c r="A65" s="953" t="s">
        <v>618</v>
      </c>
      <c r="B65" s="281"/>
      <c r="C65" s="281"/>
      <c r="D65" s="282">
        <f t="shared" si="0"/>
        <v>0</v>
      </c>
      <c r="E65" s="281"/>
      <c r="F65" s="281"/>
      <c r="G65" s="285">
        <f t="shared" si="1"/>
        <v>0</v>
      </c>
    </row>
    <row r="66" spans="1:7" x14ac:dyDescent="0.25">
      <c r="A66" s="953" t="s">
        <v>619</v>
      </c>
      <c r="B66" s="281"/>
      <c r="C66" s="281"/>
      <c r="D66" s="282">
        <f t="shared" si="0"/>
        <v>0</v>
      </c>
      <c r="E66" s="281"/>
      <c r="F66" s="281"/>
      <c r="G66" s="285">
        <f t="shared" si="1"/>
        <v>0</v>
      </c>
    </row>
    <row r="67" spans="1:7" x14ac:dyDescent="0.25">
      <c r="A67" s="953" t="s">
        <v>620</v>
      </c>
      <c r="B67" s="281"/>
      <c r="C67" s="281"/>
      <c r="D67" s="282">
        <f t="shared" si="0"/>
        <v>0</v>
      </c>
      <c r="E67" s="281"/>
      <c r="F67" s="281"/>
      <c r="G67" s="285">
        <f t="shared" si="1"/>
        <v>0</v>
      </c>
    </row>
    <row r="68" spans="1:7" x14ac:dyDescent="0.25">
      <c r="A68" s="953" t="s">
        <v>621</v>
      </c>
      <c r="B68" s="281"/>
      <c r="C68" s="281"/>
      <c r="D68" s="282">
        <f t="shared" si="0"/>
        <v>0</v>
      </c>
      <c r="E68" s="281"/>
      <c r="F68" s="281"/>
      <c r="G68" s="285">
        <f t="shared" si="1"/>
        <v>0</v>
      </c>
    </row>
    <row r="69" spans="1:7" x14ac:dyDescent="0.25">
      <c r="A69" s="958" t="s">
        <v>214</v>
      </c>
      <c r="B69" s="282">
        <f>SUM(B70:B72)</f>
        <v>0</v>
      </c>
      <c r="C69" s="282">
        <f>SUM(C70:C72)</f>
        <v>0</v>
      </c>
      <c r="D69" s="282">
        <f>B69+C69</f>
        <v>0</v>
      </c>
      <c r="E69" s="282">
        <f>SUM(E70:E72)</f>
        <v>0</v>
      </c>
      <c r="F69" s="282">
        <f>SUM(F70:F72)</f>
        <v>0</v>
      </c>
      <c r="G69" s="285">
        <f t="shared" si="1"/>
        <v>0</v>
      </c>
    </row>
    <row r="70" spans="1:7" x14ac:dyDescent="0.25">
      <c r="A70" s="953" t="s">
        <v>238</v>
      </c>
      <c r="B70" s="281"/>
      <c r="C70" s="281"/>
      <c r="D70" s="282">
        <f t="shared" si="0"/>
        <v>0</v>
      </c>
      <c r="E70" s="281"/>
      <c r="F70" s="281"/>
      <c r="G70" s="285">
        <f t="shared" si="1"/>
        <v>0</v>
      </c>
    </row>
    <row r="71" spans="1:7" x14ac:dyDescent="0.25">
      <c r="A71" s="953" t="s">
        <v>72</v>
      </c>
      <c r="B71" s="281"/>
      <c r="C71" s="281"/>
      <c r="D71" s="282">
        <f t="shared" si="0"/>
        <v>0</v>
      </c>
      <c r="E71" s="281"/>
      <c r="F71" s="281"/>
      <c r="G71" s="285">
        <f t="shared" si="1"/>
        <v>0</v>
      </c>
    </row>
    <row r="72" spans="1:7" x14ac:dyDescent="0.25">
      <c r="A72" s="953" t="s">
        <v>239</v>
      </c>
      <c r="B72" s="281"/>
      <c r="C72" s="281"/>
      <c r="D72" s="282">
        <f t="shared" si="0"/>
        <v>0</v>
      </c>
      <c r="E72" s="281"/>
      <c r="F72" s="281"/>
      <c r="G72" s="285">
        <f t="shared" si="1"/>
        <v>0</v>
      </c>
    </row>
    <row r="73" spans="1:7" x14ac:dyDescent="0.25">
      <c r="A73" s="958" t="s">
        <v>622</v>
      </c>
      <c r="B73" s="282">
        <f>SUM(B74:B80)</f>
        <v>0</v>
      </c>
      <c r="C73" s="282">
        <f>SUM(C74:C80)</f>
        <v>0</v>
      </c>
      <c r="D73" s="282">
        <f>B73+C73</f>
        <v>0</v>
      </c>
      <c r="E73" s="282">
        <f>SUM(E74:E80)</f>
        <v>0</v>
      </c>
      <c r="F73" s="282">
        <f>SUM(F74:F80)</f>
        <v>0</v>
      </c>
      <c r="G73" s="285">
        <f t="shared" si="1"/>
        <v>0</v>
      </c>
    </row>
    <row r="74" spans="1:7" x14ac:dyDescent="0.25">
      <c r="A74" s="953" t="s">
        <v>623</v>
      </c>
      <c r="B74" s="281"/>
      <c r="C74" s="281"/>
      <c r="D74" s="282">
        <f t="shared" ref="D74:D80" si="2">B74+C74</f>
        <v>0</v>
      </c>
      <c r="E74" s="281"/>
      <c r="F74" s="281"/>
      <c r="G74" s="285">
        <f t="shared" ref="G74:G80" si="3">D74-E74</f>
        <v>0</v>
      </c>
    </row>
    <row r="75" spans="1:7" x14ac:dyDescent="0.25">
      <c r="A75" s="953" t="s">
        <v>241</v>
      </c>
      <c r="B75" s="281"/>
      <c r="C75" s="281"/>
      <c r="D75" s="282">
        <f t="shared" si="2"/>
        <v>0</v>
      </c>
      <c r="E75" s="281"/>
      <c r="F75" s="281"/>
      <c r="G75" s="285">
        <f t="shared" si="3"/>
        <v>0</v>
      </c>
    </row>
    <row r="76" spans="1:7" x14ac:dyDescent="0.25">
      <c r="A76" s="953" t="s">
        <v>242</v>
      </c>
      <c r="B76" s="281"/>
      <c r="C76" s="281"/>
      <c r="D76" s="282">
        <f t="shared" si="2"/>
        <v>0</v>
      </c>
      <c r="E76" s="281"/>
      <c r="F76" s="281"/>
      <c r="G76" s="285">
        <f t="shared" si="3"/>
        <v>0</v>
      </c>
    </row>
    <row r="77" spans="1:7" x14ac:dyDescent="0.25">
      <c r="A77" s="953" t="s">
        <v>243</v>
      </c>
      <c r="B77" s="281"/>
      <c r="C77" s="281"/>
      <c r="D77" s="282">
        <f t="shared" si="2"/>
        <v>0</v>
      </c>
      <c r="E77" s="281"/>
      <c r="F77" s="281"/>
      <c r="G77" s="285">
        <f t="shared" si="3"/>
        <v>0</v>
      </c>
    </row>
    <row r="78" spans="1:7" x14ac:dyDescent="0.25">
      <c r="A78" s="953" t="s">
        <v>244</v>
      </c>
      <c r="B78" s="281"/>
      <c r="C78" s="281"/>
      <c r="D78" s="282">
        <f t="shared" si="2"/>
        <v>0</v>
      </c>
      <c r="E78" s="281"/>
      <c r="F78" s="281"/>
      <c r="G78" s="285">
        <f t="shared" si="3"/>
        <v>0</v>
      </c>
    </row>
    <row r="79" spans="1:7" x14ac:dyDescent="0.25">
      <c r="A79" s="953" t="s">
        <v>245</v>
      </c>
      <c r="B79" s="281"/>
      <c r="C79" s="281"/>
      <c r="D79" s="282">
        <f t="shared" si="2"/>
        <v>0</v>
      </c>
      <c r="E79" s="281"/>
      <c r="F79" s="281"/>
      <c r="G79" s="285">
        <f t="shared" si="3"/>
        <v>0</v>
      </c>
    </row>
    <row r="80" spans="1:7" ht="15.75" thickBot="1" x14ac:dyDescent="0.3">
      <c r="A80" s="956" t="s">
        <v>624</v>
      </c>
      <c r="B80" s="957"/>
      <c r="C80" s="957"/>
      <c r="D80" s="750">
        <f t="shared" si="2"/>
        <v>0</v>
      </c>
      <c r="E80" s="957"/>
      <c r="F80" s="957"/>
      <c r="G80" s="751">
        <f t="shared" si="3"/>
        <v>0</v>
      </c>
    </row>
    <row r="81" spans="1:7" ht="15.75" thickBot="1" x14ac:dyDescent="0.3">
      <c r="A81" s="959" t="s">
        <v>625</v>
      </c>
      <c r="B81" s="747">
        <f>B73+B69+B61+B57+B47+B37+B27+B17+B9</f>
        <v>55323720</v>
      </c>
      <c r="C81" s="747">
        <f>C73+C69+C61+C57+C47+C37+C27+C17+C9</f>
        <v>6777868.4500000002</v>
      </c>
      <c r="D81" s="747">
        <f>B81+C81</f>
        <v>62101588.450000003</v>
      </c>
      <c r="E81" s="747">
        <f>E73+E69+E61+E57+E47+E37+E27+E17+E9</f>
        <v>12515447.07</v>
      </c>
      <c r="F81" s="747">
        <f>F73+F69+F61+F57+F47+F37+F27+F17+F9</f>
        <v>12002988.42</v>
      </c>
      <c r="G81" s="748">
        <f>D81-E81</f>
        <v>49586141.380000003</v>
      </c>
    </row>
    <row r="82" spans="1:7" x14ac:dyDescent="0.25">
      <c r="A82" s="960"/>
      <c r="B82" s="425"/>
      <c r="C82" s="425"/>
      <c r="D82" s="425"/>
      <c r="E82" s="425"/>
      <c r="F82" s="425"/>
      <c r="G82" s="425"/>
    </row>
    <row r="83" spans="1:7" x14ac:dyDescent="0.25">
      <c r="A83" s="960"/>
      <c r="B83" s="425"/>
      <c r="C83" s="961"/>
      <c r="D83" s="425"/>
      <c r="E83" s="425"/>
      <c r="F83" s="425"/>
      <c r="G83" s="425"/>
    </row>
    <row r="84" spans="1:7" x14ac:dyDescent="0.25">
      <c r="A84" s="960"/>
      <c r="B84" s="425"/>
      <c r="C84" s="425"/>
      <c r="D84" s="425"/>
      <c r="E84" s="425"/>
      <c r="F84" s="425"/>
      <c r="G84" s="425"/>
    </row>
    <row r="85" spans="1:7" x14ac:dyDescent="0.25">
      <c r="A85" s="960"/>
      <c r="B85" s="425"/>
      <c r="C85" s="425"/>
      <c r="D85" s="425"/>
      <c r="E85" s="425"/>
      <c r="F85" s="425"/>
      <c r="G85" s="425"/>
    </row>
    <row r="86" spans="1:7" x14ac:dyDescent="0.25">
      <c r="A86" s="960"/>
      <c r="B86" s="425"/>
      <c r="C86" s="425"/>
      <c r="D86" s="425"/>
      <c r="E86" s="425"/>
      <c r="F86" s="425"/>
      <c r="G86" s="425"/>
    </row>
    <row r="87" spans="1:7" x14ac:dyDescent="0.25">
      <c r="A87" s="960"/>
      <c r="B87" s="425"/>
      <c r="C87" s="425"/>
      <c r="D87" s="425"/>
      <c r="E87" s="425"/>
      <c r="F87" s="425"/>
      <c r="G87" s="425"/>
    </row>
    <row r="88" spans="1:7" ht="16.5" x14ac:dyDescent="0.25">
      <c r="A88" s="258"/>
      <c r="B88" s="258"/>
      <c r="C88" s="258"/>
      <c r="D88" s="258"/>
      <c r="E88" s="258"/>
      <c r="F88" s="258"/>
      <c r="G88" s="258"/>
    </row>
    <row r="89" spans="1:7" ht="16.5" x14ac:dyDescent="0.25">
      <c r="A89" s="258"/>
      <c r="B89" s="258"/>
      <c r="C89" s="258"/>
      <c r="D89" s="258"/>
      <c r="E89" s="258"/>
      <c r="F89" s="258"/>
      <c r="G89" s="258"/>
    </row>
    <row r="90" spans="1:7" ht="16.5" x14ac:dyDescent="0.25">
      <c r="A90" s="258"/>
      <c r="B90" s="258"/>
      <c r="C90" s="258"/>
      <c r="D90" s="258"/>
      <c r="E90" s="258"/>
      <c r="F90" s="258"/>
      <c r="G90" s="258"/>
    </row>
    <row r="91" spans="1:7" ht="16.5" x14ac:dyDescent="0.25">
      <c r="A91" s="258"/>
      <c r="B91" s="258"/>
      <c r="C91" s="258"/>
      <c r="D91" s="258"/>
      <c r="E91" s="258"/>
      <c r="F91" s="258"/>
      <c r="G91" s="258"/>
    </row>
  </sheetData>
  <sheetProtection formatColumns="0" formatRows="0"/>
  <mergeCells count="7">
    <mergeCell ref="A7:A8"/>
    <mergeCell ref="A1:G1"/>
    <mergeCell ref="A2:G2"/>
    <mergeCell ref="A3:G3"/>
    <mergeCell ref="A4:G4"/>
    <mergeCell ref="A5:G5"/>
    <mergeCell ref="A6:E6"/>
  </mergeCells>
  <pageMargins left="0.70866141732283472" right="0.70866141732283472" top="0.74803149606299213" bottom="0.74803149606299213" header="0.31496062992125984" footer="0.31496062992125984"/>
  <pageSetup scale="66" orientation="portrait" horizontalDpi="1200" verticalDpi="1200" r:id="rId1"/>
  <headerFooter>
    <oddFooter>Página &amp;P</oddFooter>
  </headerFooter>
  <rowBreaks count="1" manualBreakCount="1">
    <brk id="63" max="16383" man="1"/>
  </rowBreaks>
  <ignoredErrors>
    <ignoredError sqref="D9 D17 D27 D47 D37 D57 D61 D69 D73 D81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opLeftCell="A13" zoomScaleNormal="100" workbookViewId="0">
      <selection activeCell="D43" sqref="D43"/>
    </sheetView>
  </sheetViews>
  <sheetFormatPr baseColWidth="10" defaultRowHeight="15" x14ac:dyDescent="0.25"/>
  <cols>
    <col min="1" max="1" width="6.140625" style="569" customWidth="1"/>
    <col min="2" max="2" width="49.5703125" style="569" customWidth="1"/>
    <col min="3" max="3" width="12.140625" style="569" customWidth="1"/>
    <col min="4" max="4" width="13.7109375" style="569" bestFit="1" customWidth="1"/>
    <col min="5" max="5" width="12.5703125" style="569" customWidth="1"/>
    <col min="6" max="7" width="14.7109375" style="569" bestFit="1" customWidth="1"/>
    <col min="8" max="8" width="12" style="569" customWidth="1"/>
    <col min="9" max="9" width="11.42578125" style="569"/>
    <col min="10" max="11" width="13.140625" style="569" bestFit="1" customWidth="1"/>
    <col min="12" max="16384" width="11.42578125" style="569"/>
  </cols>
  <sheetData>
    <row r="1" spans="1:8" ht="15.75" x14ac:dyDescent="0.25">
      <c r="A1" s="1202" t="s">
        <v>25</v>
      </c>
      <c r="B1" s="1203"/>
      <c r="C1" s="1203"/>
      <c r="D1" s="1203"/>
      <c r="E1" s="1203"/>
      <c r="F1" s="1203"/>
      <c r="G1" s="1203"/>
      <c r="H1" s="1204"/>
    </row>
    <row r="2" spans="1:8" ht="15.75" x14ac:dyDescent="0.25">
      <c r="A2" s="1205" t="str">
        <f>'ETCA-I-01'!A3:G3</f>
        <v>Centro de Evaluacion y Control de Confianza del Estado de Sonora</v>
      </c>
      <c r="B2" s="1206"/>
      <c r="C2" s="1206"/>
      <c r="D2" s="1206"/>
      <c r="E2" s="1206"/>
      <c r="F2" s="1206"/>
      <c r="G2" s="1206"/>
      <c r="H2" s="1207"/>
    </row>
    <row r="3" spans="1:8" x14ac:dyDescent="0.25">
      <c r="A3" s="1208" t="s">
        <v>626</v>
      </c>
      <c r="B3" s="1209"/>
      <c r="C3" s="1209"/>
      <c r="D3" s="1209"/>
      <c r="E3" s="1209"/>
      <c r="F3" s="1209"/>
      <c r="G3" s="1209"/>
      <c r="H3" s="1210"/>
    </row>
    <row r="4" spans="1:8" x14ac:dyDescent="0.25">
      <c r="A4" s="1208" t="s">
        <v>627</v>
      </c>
      <c r="B4" s="1209"/>
      <c r="C4" s="1209"/>
      <c r="D4" s="1209"/>
      <c r="E4" s="1209"/>
      <c r="F4" s="1209"/>
      <c r="G4" s="1209"/>
      <c r="H4" s="1210"/>
    </row>
    <row r="5" spans="1:8" x14ac:dyDescent="0.25">
      <c r="A5" s="1208" t="str">
        <f>'ETCA-II-02'!A4:I4</f>
        <v>Del 01 de Enero  al 31 de Marzo de 2018</v>
      </c>
      <c r="B5" s="1209"/>
      <c r="C5" s="1209"/>
      <c r="D5" s="1209"/>
      <c r="E5" s="1209"/>
      <c r="F5" s="1209"/>
      <c r="G5" s="1209"/>
      <c r="H5" s="1210"/>
    </row>
    <row r="6" spans="1:8" ht="15.75" thickBot="1" x14ac:dyDescent="0.3">
      <c r="A6" s="1193" t="s">
        <v>89</v>
      </c>
      <c r="B6" s="1200"/>
      <c r="C6" s="1200"/>
      <c r="D6" s="1200"/>
      <c r="E6" s="1200"/>
      <c r="F6" s="1200"/>
      <c r="G6" s="1200"/>
      <c r="H6" s="1201"/>
    </row>
    <row r="7" spans="1:8" ht="15.75" thickBot="1" x14ac:dyDescent="0.3">
      <c r="A7" s="1191" t="s">
        <v>90</v>
      </c>
      <c r="B7" s="1192"/>
      <c r="C7" s="1195" t="s">
        <v>628</v>
      </c>
      <c r="D7" s="1196"/>
      <c r="E7" s="1196"/>
      <c r="F7" s="1196"/>
      <c r="G7" s="1197"/>
      <c r="H7" s="1198" t="s">
        <v>629</v>
      </c>
    </row>
    <row r="8" spans="1:8" ht="18.75" thickBot="1" x14ac:dyDescent="0.3">
      <c r="A8" s="1193"/>
      <c r="B8" s="1194"/>
      <c r="C8" s="945" t="s">
        <v>630</v>
      </c>
      <c r="D8" s="962" t="s">
        <v>631</v>
      </c>
      <c r="E8" s="945" t="s">
        <v>632</v>
      </c>
      <c r="F8" s="945" t="s">
        <v>481</v>
      </c>
      <c r="G8" s="945" t="s">
        <v>633</v>
      </c>
      <c r="H8" s="1199"/>
    </row>
    <row r="9" spans="1:8" x14ac:dyDescent="0.25">
      <c r="A9" s="946"/>
      <c r="B9" s="634"/>
      <c r="C9" s="634"/>
      <c r="D9" s="963"/>
      <c r="E9" s="634"/>
      <c r="F9" s="634"/>
      <c r="G9" s="634"/>
      <c r="H9" s="635"/>
    </row>
    <row r="10" spans="1:8" x14ac:dyDescent="0.25">
      <c r="A10" s="1187" t="s">
        <v>634</v>
      </c>
      <c r="B10" s="1188"/>
      <c r="C10" s="964">
        <f t="shared" ref="C10:H10" si="0">+C11+C19+C29+C39+C49+C59+C63+C72+C76</f>
        <v>55323720.000000007</v>
      </c>
      <c r="D10" s="964">
        <f>D11+D19+D29+D49</f>
        <v>6777868.4500000002</v>
      </c>
      <c r="E10" s="964">
        <f>+E11+E19+E29+E39+E49+E59+E63+E72+E76</f>
        <v>62101588.450000003</v>
      </c>
      <c r="F10" s="964">
        <f>+F11+F19+F29+F39+F49+F59+F63+F72+F76</f>
        <v>12515447.07</v>
      </c>
      <c r="G10" s="964">
        <f t="shared" si="0"/>
        <v>12002988.42</v>
      </c>
      <c r="H10" s="964">
        <f t="shared" si="0"/>
        <v>49586141.380000003</v>
      </c>
    </row>
    <row r="11" spans="1:8" x14ac:dyDescent="0.25">
      <c r="A11" s="1187" t="s">
        <v>635</v>
      </c>
      <c r="B11" s="1188"/>
      <c r="C11" s="964">
        <f>SUM(C12:C18)</f>
        <v>46848719.990000002</v>
      </c>
      <c r="D11" s="964">
        <f t="shared" ref="D11:H11" si="1">SUM(D12:D18)</f>
        <v>0</v>
      </c>
      <c r="E11" s="965">
        <f t="shared" si="1"/>
        <v>46848719.990000002</v>
      </c>
      <c r="F11" s="964">
        <f>SUM(F12:F18)</f>
        <v>10428109.98</v>
      </c>
      <c r="G11" s="964">
        <f t="shared" si="1"/>
        <v>10425050.76</v>
      </c>
      <c r="H11" s="964">
        <f t="shared" si="1"/>
        <v>36420610.010000005</v>
      </c>
    </row>
    <row r="12" spans="1:8" x14ac:dyDescent="0.25">
      <c r="A12" s="966"/>
      <c r="B12" s="967" t="s">
        <v>636</v>
      </c>
      <c r="C12" s="968">
        <f>'ETCA II-04'!B10</f>
        <v>28994298.66</v>
      </c>
      <c r="D12" s="968">
        <f>'ETCA II-04'!C10</f>
        <v>0</v>
      </c>
      <c r="E12" s="969">
        <f>C12+D12</f>
        <v>28994298.66</v>
      </c>
      <c r="F12" s="968">
        <f>'ETCA II-04'!E10</f>
        <v>6956666.6100000003</v>
      </c>
      <c r="G12" s="968">
        <f>'ETCA II-04'!F10</f>
        <v>6956666.6100000003</v>
      </c>
      <c r="H12" s="970">
        <f t="shared" ref="H12:H18" si="2">+E12-F12</f>
        <v>22037632.050000001</v>
      </c>
    </row>
    <row r="13" spans="1:8" x14ac:dyDescent="0.25">
      <c r="A13" s="966"/>
      <c r="B13" s="967" t="s">
        <v>637</v>
      </c>
      <c r="C13" s="968"/>
      <c r="D13" s="968">
        <v>0</v>
      </c>
      <c r="E13" s="969">
        <f t="shared" ref="E13:E77" si="3">C13+D13</f>
        <v>0</v>
      </c>
      <c r="F13" s="968">
        <v>0</v>
      </c>
      <c r="G13" s="968">
        <v>0</v>
      </c>
      <c r="H13" s="970">
        <f t="shared" si="2"/>
        <v>0</v>
      </c>
    </row>
    <row r="14" spans="1:8" x14ac:dyDescent="0.25">
      <c r="A14" s="966"/>
      <c r="B14" s="967" t="s">
        <v>638</v>
      </c>
      <c r="C14" s="968">
        <f>'ETCA II-04'!B12</f>
        <v>8020910.3399999999</v>
      </c>
      <c r="D14" s="968">
        <f>'ETCA II-04'!C12</f>
        <v>0</v>
      </c>
      <c r="E14" s="969">
        <f t="shared" si="3"/>
        <v>8020910.3399999999</v>
      </c>
      <c r="F14" s="968">
        <f>'ETCA II-04'!E12</f>
        <v>1067351.18</v>
      </c>
      <c r="G14" s="968">
        <f>'ETCA II-04'!F12</f>
        <v>1067351.18</v>
      </c>
      <c r="H14" s="970">
        <f t="shared" si="2"/>
        <v>6953559.1600000001</v>
      </c>
    </row>
    <row r="15" spans="1:8" x14ac:dyDescent="0.25">
      <c r="A15" s="966"/>
      <c r="B15" s="967" t="s">
        <v>639</v>
      </c>
      <c r="C15" s="968">
        <f>'ETCA II-04'!B13</f>
        <v>9833510.9900000002</v>
      </c>
      <c r="D15" s="968">
        <f>'ETCA II-04'!C13</f>
        <v>0</v>
      </c>
      <c r="E15" s="969">
        <f t="shared" si="3"/>
        <v>9833510.9900000002</v>
      </c>
      <c r="F15" s="968">
        <f>'ETCA II-04'!E13</f>
        <v>2404092.19</v>
      </c>
      <c r="G15" s="968">
        <f>'ETCA II-04'!F13</f>
        <v>2401032.9700000002</v>
      </c>
      <c r="H15" s="970">
        <f t="shared" si="2"/>
        <v>7429418.8000000007</v>
      </c>
    </row>
    <row r="16" spans="1:8" x14ac:dyDescent="0.25">
      <c r="A16" s="966"/>
      <c r="B16" s="967" t="s">
        <v>640</v>
      </c>
      <c r="C16" s="968"/>
      <c r="D16" s="968">
        <f>'ETCA II-04'!C14</f>
        <v>0</v>
      </c>
      <c r="E16" s="969">
        <f t="shared" si="3"/>
        <v>0</v>
      </c>
      <c r="F16" s="968">
        <v>0</v>
      </c>
      <c r="G16" s="968">
        <v>0</v>
      </c>
      <c r="H16" s="970">
        <f t="shared" si="2"/>
        <v>0</v>
      </c>
    </row>
    <row r="17" spans="1:8" x14ac:dyDescent="0.25">
      <c r="A17" s="966"/>
      <c r="B17" s="967" t="s">
        <v>641</v>
      </c>
      <c r="C17" s="968">
        <v>0</v>
      </c>
      <c r="D17" s="968">
        <v>0</v>
      </c>
      <c r="E17" s="969">
        <f t="shared" si="3"/>
        <v>0</v>
      </c>
      <c r="F17" s="968">
        <v>0</v>
      </c>
      <c r="G17" s="968">
        <v>0</v>
      </c>
      <c r="H17" s="970">
        <f t="shared" si="2"/>
        <v>0</v>
      </c>
    </row>
    <row r="18" spans="1:8" x14ac:dyDescent="0.25">
      <c r="A18" s="966"/>
      <c r="B18" s="967" t="s">
        <v>642</v>
      </c>
      <c r="C18" s="968">
        <v>0</v>
      </c>
      <c r="D18" s="968">
        <v>0</v>
      </c>
      <c r="E18" s="969">
        <f t="shared" si="3"/>
        <v>0</v>
      </c>
      <c r="F18" s="968">
        <v>0</v>
      </c>
      <c r="G18" s="968">
        <v>0</v>
      </c>
      <c r="H18" s="970">
        <f t="shared" si="2"/>
        <v>0</v>
      </c>
    </row>
    <row r="19" spans="1:8" x14ac:dyDescent="0.25">
      <c r="A19" s="1187" t="s">
        <v>643</v>
      </c>
      <c r="B19" s="1188"/>
      <c r="C19" s="964">
        <f>SUM(C20:C28)</f>
        <v>2133085.38</v>
      </c>
      <c r="D19" s="964">
        <f>SUM(D20:D28)</f>
        <v>57986.080000000002</v>
      </c>
      <c r="E19" s="965">
        <f t="shared" ref="E19:H19" si="4">SUM(E20:E28)</f>
        <v>2191071.46</v>
      </c>
      <c r="F19" s="964">
        <f>SUM(F20:F28)</f>
        <v>273119.01999999996</v>
      </c>
      <c r="G19" s="964">
        <f t="shared" si="4"/>
        <v>230415.09000000003</v>
      </c>
      <c r="H19" s="964">
        <f t="shared" si="4"/>
        <v>1917952.4400000002</v>
      </c>
    </row>
    <row r="20" spans="1:8" x14ac:dyDescent="0.25">
      <c r="A20" s="966"/>
      <c r="B20" s="967" t="s">
        <v>644</v>
      </c>
      <c r="C20" s="968">
        <f>'ETCA II-04'!B18</f>
        <v>1153862.3799999999</v>
      </c>
      <c r="D20" s="968">
        <f>'ETCA II-04'!C18</f>
        <v>0</v>
      </c>
      <c r="E20" s="969">
        <f t="shared" si="3"/>
        <v>1153862.3799999999</v>
      </c>
      <c r="F20" s="968">
        <f>'ETCA II-04'!E18</f>
        <v>98697.45</v>
      </c>
      <c r="G20" s="968">
        <f>'ETCA II-04'!F18</f>
        <v>86880.03</v>
      </c>
      <c r="H20" s="970">
        <f t="shared" ref="H20:H83" si="5">+E20-F20</f>
        <v>1055164.93</v>
      </c>
    </row>
    <row r="21" spans="1:8" x14ac:dyDescent="0.25">
      <c r="A21" s="966"/>
      <c r="B21" s="967" t="s">
        <v>645</v>
      </c>
      <c r="C21" s="968">
        <f>'ETCA II-04'!B19</f>
        <v>32333.040000000001</v>
      </c>
      <c r="D21" s="968">
        <f>'ETCA II-04'!C19</f>
        <v>9000</v>
      </c>
      <c r="E21" s="969">
        <f t="shared" si="3"/>
        <v>41333.040000000001</v>
      </c>
      <c r="F21" s="968">
        <f>'ETCA II-04'!E19</f>
        <v>27061.69</v>
      </c>
      <c r="G21" s="968">
        <f>'ETCA II-04'!F19</f>
        <v>27061.69</v>
      </c>
      <c r="H21" s="970">
        <f t="shared" si="5"/>
        <v>14271.350000000002</v>
      </c>
    </row>
    <row r="22" spans="1:8" x14ac:dyDescent="0.25">
      <c r="A22" s="966"/>
      <c r="B22" s="967" t="s">
        <v>646</v>
      </c>
      <c r="C22" s="968"/>
      <c r="D22" s="968"/>
      <c r="E22" s="969">
        <f t="shared" si="3"/>
        <v>0</v>
      </c>
      <c r="F22" s="968">
        <v>0</v>
      </c>
      <c r="G22" s="968">
        <v>0</v>
      </c>
      <c r="H22" s="970">
        <f t="shared" si="5"/>
        <v>0</v>
      </c>
    </row>
    <row r="23" spans="1:8" x14ac:dyDescent="0.25">
      <c r="A23" s="966"/>
      <c r="B23" s="967" t="s">
        <v>647</v>
      </c>
      <c r="C23" s="968">
        <f>'ETCA II-04'!B21</f>
        <v>277970.8</v>
      </c>
      <c r="D23" s="968">
        <f>'ETCA II-04'!C21</f>
        <v>-10451.790000000001</v>
      </c>
      <c r="E23" s="969">
        <f t="shared" si="3"/>
        <v>267519.01</v>
      </c>
      <c r="F23" s="968">
        <f>'ETCA II-04'!E21</f>
        <v>12316.88</v>
      </c>
      <c r="G23" s="968">
        <f>'ETCA II-04'!F21</f>
        <v>0</v>
      </c>
      <c r="H23" s="970">
        <f t="shared" si="5"/>
        <v>255202.13</v>
      </c>
    </row>
    <row r="24" spans="1:8" x14ac:dyDescent="0.25">
      <c r="A24" s="966"/>
      <c r="B24" s="967" t="s">
        <v>648</v>
      </c>
      <c r="C24" s="968">
        <f>'ETCA II-04'!B22</f>
        <v>8700</v>
      </c>
      <c r="D24" s="968">
        <f>'ETCA II-04'!C22</f>
        <v>27109.200000000001</v>
      </c>
      <c r="E24" s="969">
        <f t="shared" si="3"/>
        <v>35809.199999999997</v>
      </c>
      <c r="F24" s="968">
        <f>'ETCA II-04'!E22</f>
        <v>295.8</v>
      </c>
      <c r="G24" s="968">
        <f>'ETCA II-04'!F22</f>
        <v>295.8</v>
      </c>
      <c r="H24" s="970">
        <f t="shared" si="5"/>
        <v>35513.399999999994</v>
      </c>
    </row>
    <row r="25" spans="1:8" x14ac:dyDescent="0.25">
      <c r="A25" s="966"/>
      <c r="B25" s="967" t="s">
        <v>649</v>
      </c>
      <c r="C25" s="968">
        <f>'ETCA II-04'!B23</f>
        <v>404510.79</v>
      </c>
      <c r="D25" s="968">
        <f>'ETCA II-04'!C23</f>
        <v>0</v>
      </c>
      <c r="E25" s="969">
        <f t="shared" si="3"/>
        <v>404510.79</v>
      </c>
      <c r="F25" s="968">
        <f>'ETCA II-04'!E23</f>
        <v>94279.5</v>
      </c>
      <c r="G25" s="968">
        <f>'ETCA II-04'!F23</f>
        <v>75709.87</v>
      </c>
      <c r="H25" s="970">
        <f t="shared" si="5"/>
        <v>310231.28999999998</v>
      </c>
    </row>
    <row r="26" spans="1:8" x14ac:dyDescent="0.25">
      <c r="A26" s="966"/>
      <c r="B26" s="967" t="s">
        <v>650</v>
      </c>
      <c r="C26" s="968">
        <f>'ETCA II-04'!B24</f>
        <v>50437.59</v>
      </c>
      <c r="D26" s="968">
        <f>'ETCA II-04'!C24</f>
        <v>-6000</v>
      </c>
      <c r="E26" s="969">
        <f t="shared" si="3"/>
        <v>44437.59</v>
      </c>
      <c r="F26" s="968"/>
      <c r="G26" s="968"/>
      <c r="H26" s="970">
        <f t="shared" si="5"/>
        <v>44437.59</v>
      </c>
    </row>
    <row r="27" spans="1:8" x14ac:dyDescent="0.25">
      <c r="A27" s="966"/>
      <c r="B27" s="967" t="s">
        <v>651</v>
      </c>
      <c r="C27" s="968"/>
      <c r="D27" s="968"/>
      <c r="E27" s="969">
        <f t="shared" si="3"/>
        <v>0</v>
      </c>
      <c r="F27" s="968">
        <v>0</v>
      </c>
      <c r="G27" s="968">
        <v>0</v>
      </c>
      <c r="H27" s="970">
        <f t="shared" si="5"/>
        <v>0</v>
      </c>
    </row>
    <row r="28" spans="1:8" x14ac:dyDescent="0.25">
      <c r="A28" s="966"/>
      <c r="B28" s="967" t="s">
        <v>652</v>
      </c>
      <c r="C28" s="968">
        <f>'ETCA II-04'!B26</f>
        <v>205270.78</v>
      </c>
      <c r="D28" s="968">
        <f>'ETCA II-04'!C26</f>
        <v>38328.67</v>
      </c>
      <c r="E28" s="969">
        <f t="shared" si="3"/>
        <v>243599.45</v>
      </c>
      <c r="F28" s="968">
        <f>'ETCA II-04'!E26</f>
        <v>40467.699999999997</v>
      </c>
      <c r="G28" s="968">
        <f>'ETCA II-04'!F26</f>
        <v>40467.699999999997</v>
      </c>
      <c r="H28" s="970">
        <f t="shared" si="5"/>
        <v>203131.75</v>
      </c>
    </row>
    <row r="29" spans="1:8" x14ac:dyDescent="0.25">
      <c r="A29" s="1187" t="s">
        <v>653</v>
      </c>
      <c r="B29" s="1188"/>
      <c r="C29" s="964">
        <f>SUM(C30:C38)</f>
        <v>6341914.6299999999</v>
      </c>
      <c r="D29" s="964">
        <f t="shared" ref="D29:H29" si="6">SUM(D30:D38)</f>
        <v>4727118.37</v>
      </c>
      <c r="E29" s="965">
        <f t="shared" si="6"/>
        <v>11069033</v>
      </c>
      <c r="F29" s="964">
        <f>SUM(F30:F38)</f>
        <v>1790340.42</v>
      </c>
      <c r="G29" s="964">
        <f t="shared" si="6"/>
        <v>1323644.9200000002</v>
      </c>
      <c r="H29" s="964">
        <f t="shared" si="6"/>
        <v>9278692.5800000001</v>
      </c>
    </row>
    <row r="30" spans="1:8" x14ac:dyDescent="0.25">
      <c r="A30" s="966"/>
      <c r="B30" s="967" t="s">
        <v>654</v>
      </c>
      <c r="C30" s="968">
        <f>'ETCA II-04'!B28</f>
        <v>1219443.67</v>
      </c>
      <c r="D30" s="968"/>
      <c r="E30" s="969">
        <f t="shared" si="3"/>
        <v>1219443.67</v>
      </c>
      <c r="F30" s="968">
        <f>'ETCA II-04'!E28</f>
        <v>177534.6</v>
      </c>
      <c r="G30" s="968">
        <f>'ETCA II-04'!F28</f>
        <v>177534.6</v>
      </c>
      <c r="H30" s="970">
        <f t="shared" si="5"/>
        <v>1041909.07</v>
      </c>
    </row>
    <row r="31" spans="1:8" x14ac:dyDescent="0.25">
      <c r="A31" s="966"/>
      <c r="B31" s="967" t="s">
        <v>655</v>
      </c>
      <c r="C31" s="968">
        <f>'ETCA II-04'!B29</f>
        <v>113506.04</v>
      </c>
      <c r="D31" s="968"/>
      <c r="E31" s="969">
        <f>SUM(C31:D31)</f>
        <v>113506.04</v>
      </c>
      <c r="F31" s="968">
        <f>'ETCA II-04'!E29</f>
        <v>25482.22</v>
      </c>
      <c r="G31" s="968">
        <f>'ETCA II-04'!F29</f>
        <v>18468.21</v>
      </c>
      <c r="H31" s="970">
        <f t="shared" si="5"/>
        <v>88023.819999999992</v>
      </c>
    </row>
    <row r="32" spans="1:8" x14ac:dyDescent="0.25">
      <c r="A32" s="966"/>
      <c r="B32" s="967" t="s">
        <v>656</v>
      </c>
      <c r="C32" s="968">
        <f>'ETCA II-04'!B30</f>
        <v>804083.74</v>
      </c>
      <c r="D32" s="968">
        <f>'ETCA II-04'!C30</f>
        <v>273644</v>
      </c>
      <c r="E32" s="969">
        <f t="shared" si="3"/>
        <v>1077727.74</v>
      </c>
      <c r="F32" s="968">
        <f>'ETCA II-04'!E30</f>
        <v>387561.12</v>
      </c>
      <c r="G32" s="968">
        <f>'ETCA II-04'!F30</f>
        <v>357401.82</v>
      </c>
      <c r="H32" s="970">
        <f t="shared" si="5"/>
        <v>690166.62</v>
      </c>
    </row>
    <row r="33" spans="1:8" x14ac:dyDescent="0.25">
      <c r="A33" s="966"/>
      <c r="B33" s="967" t="s">
        <v>657</v>
      </c>
      <c r="C33" s="968">
        <f>'ETCA II-04'!B31</f>
        <v>145126.17000000001</v>
      </c>
      <c r="D33" s="968">
        <f>'ETCA II-04'!C31</f>
        <v>319999.99</v>
      </c>
      <c r="E33" s="969">
        <f t="shared" si="3"/>
        <v>465126.16000000003</v>
      </c>
      <c r="F33" s="968">
        <f>'ETCA II-04'!E31</f>
        <v>102005.96</v>
      </c>
      <c r="G33" s="968">
        <f>'ETCA II-04'!F31</f>
        <v>102005.96</v>
      </c>
      <c r="H33" s="970">
        <f t="shared" si="5"/>
        <v>363120.2</v>
      </c>
    </row>
    <row r="34" spans="1:8" x14ac:dyDescent="0.25">
      <c r="A34" s="966"/>
      <c r="B34" s="967" t="s">
        <v>658</v>
      </c>
      <c r="C34" s="968">
        <f>'ETCA II-04'!B32</f>
        <v>866744.57</v>
      </c>
      <c r="D34" s="968">
        <f>'ETCA II-04'!C32</f>
        <v>2067126.08</v>
      </c>
      <c r="E34" s="969">
        <f t="shared" si="3"/>
        <v>2933870.65</v>
      </c>
      <c r="F34" s="968">
        <f>'ETCA II-04'!E32</f>
        <v>569103.30000000005</v>
      </c>
      <c r="G34" s="968">
        <f>'ETCA II-04'!F32</f>
        <v>489363.51</v>
      </c>
      <c r="H34" s="970">
        <f t="shared" si="5"/>
        <v>2364767.3499999996</v>
      </c>
    </row>
    <row r="35" spans="1:8" x14ac:dyDescent="0.25">
      <c r="A35" s="966"/>
      <c r="B35" s="967" t="s">
        <v>659</v>
      </c>
      <c r="C35" s="968"/>
      <c r="D35" s="968"/>
      <c r="E35" s="969">
        <f t="shared" si="3"/>
        <v>0</v>
      </c>
      <c r="F35" s="968">
        <v>0</v>
      </c>
      <c r="G35" s="968">
        <v>0</v>
      </c>
      <c r="H35" s="970">
        <f t="shared" si="5"/>
        <v>0</v>
      </c>
    </row>
    <row r="36" spans="1:8" x14ac:dyDescent="0.25">
      <c r="A36" s="966"/>
      <c r="B36" s="967" t="s">
        <v>660</v>
      </c>
      <c r="C36" s="968">
        <f>'ETCA II-04'!B34</f>
        <v>29872.19</v>
      </c>
      <c r="D36" s="968">
        <f>'ETCA II-04'!C34</f>
        <v>1297300.42</v>
      </c>
      <c r="E36" s="969">
        <f t="shared" si="3"/>
        <v>1327172.6099999999</v>
      </c>
      <c r="F36" s="968">
        <v>132137</v>
      </c>
      <c r="G36" s="968">
        <f>'ETCA II-04'!F34</f>
        <v>132137</v>
      </c>
      <c r="H36" s="970">
        <f t="shared" si="5"/>
        <v>1195035.6099999999</v>
      </c>
    </row>
    <row r="37" spans="1:8" x14ac:dyDescent="0.25">
      <c r="A37" s="966"/>
      <c r="B37" s="967" t="s">
        <v>661</v>
      </c>
      <c r="C37" s="968"/>
      <c r="D37" s="968"/>
      <c r="E37" s="969">
        <f t="shared" si="3"/>
        <v>0</v>
      </c>
      <c r="F37" s="968">
        <v>0</v>
      </c>
      <c r="G37" s="968"/>
      <c r="H37" s="970">
        <f t="shared" si="5"/>
        <v>0</v>
      </c>
    </row>
    <row r="38" spans="1:8" ht="15.75" thickBot="1" x14ac:dyDescent="0.3">
      <c r="A38" s="971"/>
      <c r="B38" s="972" t="s">
        <v>662</v>
      </c>
      <c r="C38" s="973">
        <f>'ETCA II-04'!B36</f>
        <v>3163138.25</v>
      </c>
      <c r="D38" s="973">
        <f>'ETCA II-04'!C36</f>
        <v>769047.88</v>
      </c>
      <c r="E38" s="974">
        <f t="shared" si="3"/>
        <v>3932186.13</v>
      </c>
      <c r="F38" s="973">
        <v>396516.22</v>
      </c>
      <c r="G38" s="973">
        <f>'ETCA II-04'!F36</f>
        <v>46733.82</v>
      </c>
      <c r="H38" s="975">
        <f t="shared" si="5"/>
        <v>3535669.91</v>
      </c>
    </row>
    <row r="39" spans="1:8" x14ac:dyDescent="0.25">
      <c r="A39" s="1189" t="s">
        <v>663</v>
      </c>
      <c r="B39" s="1190"/>
      <c r="C39" s="976">
        <f t="shared" ref="C39:H39" si="7">SUM(C40:C48)</f>
        <v>0</v>
      </c>
      <c r="D39" s="976">
        <v>0</v>
      </c>
      <c r="E39" s="976">
        <f t="shared" si="7"/>
        <v>0</v>
      </c>
      <c r="F39" s="976">
        <f t="shared" si="7"/>
        <v>0</v>
      </c>
      <c r="G39" s="976">
        <f t="shared" si="7"/>
        <v>0</v>
      </c>
      <c r="H39" s="976">
        <f t="shared" si="7"/>
        <v>0</v>
      </c>
    </row>
    <row r="40" spans="1:8" x14ac:dyDescent="0.25">
      <c r="A40" s="966"/>
      <c r="B40" s="967" t="s">
        <v>664</v>
      </c>
      <c r="C40" s="968"/>
      <c r="D40" s="968"/>
      <c r="E40" s="969">
        <f t="shared" si="3"/>
        <v>0</v>
      </c>
      <c r="F40" s="968"/>
      <c r="G40" s="968"/>
      <c r="H40" s="970">
        <f t="shared" si="5"/>
        <v>0</v>
      </c>
    </row>
    <row r="41" spans="1:8" x14ac:dyDescent="0.25">
      <c r="A41" s="966"/>
      <c r="B41" s="967" t="s">
        <v>665</v>
      </c>
      <c r="C41" s="968"/>
      <c r="D41" s="968"/>
      <c r="E41" s="969">
        <f t="shared" si="3"/>
        <v>0</v>
      </c>
      <c r="F41" s="968"/>
      <c r="G41" s="968"/>
      <c r="H41" s="970">
        <f t="shared" si="5"/>
        <v>0</v>
      </c>
    </row>
    <row r="42" spans="1:8" x14ac:dyDescent="0.25">
      <c r="A42" s="966"/>
      <c r="B42" s="967" t="s">
        <v>666</v>
      </c>
      <c r="C42" s="968"/>
      <c r="D42" s="968"/>
      <c r="E42" s="969">
        <f t="shared" si="3"/>
        <v>0</v>
      </c>
      <c r="F42" s="968"/>
      <c r="G42" s="968"/>
      <c r="H42" s="970">
        <f t="shared" si="5"/>
        <v>0</v>
      </c>
    </row>
    <row r="43" spans="1:8" x14ac:dyDescent="0.25">
      <c r="A43" s="966"/>
      <c r="B43" s="967" t="s">
        <v>667</v>
      </c>
      <c r="C43" s="968"/>
      <c r="D43" s="968"/>
      <c r="E43" s="969">
        <f t="shared" si="3"/>
        <v>0</v>
      </c>
      <c r="F43" s="968"/>
      <c r="G43" s="968"/>
      <c r="H43" s="970">
        <f t="shared" si="5"/>
        <v>0</v>
      </c>
    </row>
    <row r="44" spans="1:8" x14ac:dyDescent="0.25">
      <c r="A44" s="966"/>
      <c r="B44" s="967" t="s">
        <v>668</v>
      </c>
      <c r="C44" s="968"/>
      <c r="D44" s="968"/>
      <c r="E44" s="969">
        <f t="shared" si="3"/>
        <v>0</v>
      </c>
      <c r="F44" s="968"/>
      <c r="G44" s="968"/>
      <c r="H44" s="970">
        <f t="shared" si="5"/>
        <v>0</v>
      </c>
    </row>
    <row r="45" spans="1:8" x14ac:dyDescent="0.25">
      <c r="A45" s="966"/>
      <c r="B45" s="967" t="s">
        <v>669</v>
      </c>
      <c r="C45" s="968"/>
      <c r="D45" s="968"/>
      <c r="E45" s="969">
        <f t="shared" si="3"/>
        <v>0</v>
      </c>
      <c r="F45" s="968"/>
      <c r="G45" s="968"/>
      <c r="H45" s="970">
        <f t="shared" si="5"/>
        <v>0</v>
      </c>
    </row>
    <row r="46" spans="1:8" x14ac:dyDescent="0.25">
      <c r="A46" s="966"/>
      <c r="B46" s="967" t="s">
        <v>670</v>
      </c>
      <c r="C46" s="968"/>
      <c r="D46" s="968"/>
      <c r="E46" s="969">
        <f t="shared" si="3"/>
        <v>0</v>
      </c>
      <c r="F46" s="968"/>
      <c r="G46" s="968"/>
      <c r="H46" s="970">
        <f t="shared" si="5"/>
        <v>0</v>
      </c>
    </row>
    <row r="47" spans="1:8" x14ac:dyDescent="0.25">
      <c r="A47" s="966"/>
      <c r="B47" s="967" t="s">
        <v>671</v>
      </c>
      <c r="C47" s="968"/>
      <c r="D47" s="968"/>
      <c r="E47" s="969">
        <f t="shared" si="3"/>
        <v>0</v>
      </c>
      <c r="F47" s="968"/>
      <c r="G47" s="968"/>
      <c r="H47" s="970">
        <f t="shared" si="5"/>
        <v>0</v>
      </c>
    </row>
    <row r="48" spans="1:8" x14ac:dyDescent="0.25">
      <c r="A48" s="966"/>
      <c r="B48" s="967" t="s">
        <v>672</v>
      </c>
      <c r="C48" s="968"/>
      <c r="D48" s="968"/>
      <c r="E48" s="969">
        <f t="shared" si="3"/>
        <v>0</v>
      </c>
      <c r="F48" s="968"/>
      <c r="G48" s="968"/>
      <c r="H48" s="970">
        <f t="shared" si="5"/>
        <v>0</v>
      </c>
    </row>
    <row r="49" spans="1:10" x14ac:dyDescent="0.25">
      <c r="A49" s="1189" t="s">
        <v>673</v>
      </c>
      <c r="B49" s="1190"/>
      <c r="C49" s="976">
        <f>SUM(C50:C58)</f>
        <v>0</v>
      </c>
      <c r="D49" s="964">
        <f t="shared" ref="D49:H49" si="8">SUM(D50:D58)</f>
        <v>1992764</v>
      </c>
      <c r="E49" s="965">
        <f t="shared" si="8"/>
        <v>1992764</v>
      </c>
      <c r="F49" s="964">
        <f>SUM(F50:F58)</f>
        <v>23877.65</v>
      </c>
      <c r="G49" s="964">
        <f t="shared" si="8"/>
        <v>23877.65</v>
      </c>
      <c r="H49" s="964">
        <f t="shared" si="8"/>
        <v>1968886.35</v>
      </c>
    </row>
    <row r="50" spans="1:10" x14ac:dyDescent="0.25">
      <c r="A50" s="966"/>
      <c r="B50" s="967" t="s">
        <v>674</v>
      </c>
      <c r="C50" s="968">
        <v>0</v>
      </c>
      <c r="D50" s="968">
        <f>'ETCA II-04'!C48</f>
        <v>8098</v>
      </c>
      <c r="E50" s="969">
        <f t="shared" si="3"/>
        <v>8098</v>
      </c>
      <c r="F50" s="968">
        <f>'ETCA II-04'!E48</f>
        <v>8096</v>
      </c>
      <c r="G50" s="968">
        <f>'ETCA II-04'!F48</f>
        <v>8096</v>
      </c>
      <c r="H50" s="970">
        <f t="shared" si="5"/>
        <v>2</v>
      </c>
      <c r="I50" s="977"/>
    </row>
    <row r="51" spans="1:10" x14ac:dyDescent="0.25">
      <c r="A51" s="966"/>
      <c r="B51" s="967" t="s">
        <v>675</v>
      </c>
      <c r="C51" s="968">
        <v>0</v>
      </c>
      <c r="D51" s="968">
        <f>'ETCA II-04'!C49</f>
        <v>30281.65</v>
      </c>
      <c r="E51" s="969">
        <f t="shared" si="3"/>
        <v>30281.65</v>
      </c>
      <c r="F51" s="968">
        <f>'ETCA II-04'!E49</f>
        <v>15781.65</v>
      </c>
      <c r="G51" s="968">
        <f>'ETCA II-04'!F49</f>
        <v>15781.65</v>
      </c>
      <c r="H51" s="970">
        <f t="shared" si="5"/>
        <v>14500.000000000002</v>
      </c>
    </row>
    <row r="52" spans="1:10" x14ac:dyDescent="0.25">
      <c r="A52" s="966"/>
      <c r="B52" s="967" t="s">
        <v>676</v>
      </c>
      <c r="C52" s="968"/>
      <c r="D52" s="968">
        <f>'ETCA II-04'!C50</f>
        <v>141282.35</v>
      </c>
      <c r="E52" s="969">
        <f t="shared" si="3"/>
        <v>141282.35</v>
      </c>
      <c r="F52" s="968"/>
      <c r="G52" s="968"/>
      <c r="H52" s="970">
        <f t="shared" si="5"/>
        <v>141282.35</v>
      </c>
    </row>
    <row r="53" spans="1:10" x14ac:dyDescent="0.25">
      <c r="A53" s="966"/>
      <c r="B53" s="967" t="s">
        <v>677</v>
      </c>
      <c r="C53" s="968"/>
      <c r="D53" s="968"/>
      <c r="E53" s="969">
        <f t="shared" si="3"/>
        <v>0</v>
      </c>
      <c r="F53" s="968"/>
      <c r="G53" s="968"/>
      <c r="H53" s="970">
        <f t="shared" si="5"/>
        <v>0</v>
      </c>
    </row>
    <row r="54" spans="1:10" x14ac:dyDescent="0.25">
      <c r="A54" s="966"/>
      <c r="B54" s="967" t="s">
        <v>678</v>
      </c>
      <c r="C54" s="968"/>
      <c r="D54" s="968"/>
      <c r="E54" s="969">
        <f t="shared" si="3"/>
        <v>0</v>
      </c>
      <c r="F54" s="968"/>
      <c r="G54" s="968"/>
      <c r="H54" s="970">
        <f t="shared" si="5"/>
        <v>0</v>
      </c>
    </row>
    <row r="55" spans="1:10" x14ac:dyDescent="0.25">
      <c r="A55" s="966"/>
      <c r="B55" s="967" t="s">
        <v>679</v>
      </c>
      <c r="C55" s="968"/>
      <c r="D55" s="968"/>
      <c r="E55" s="969">
        <f t="shared" si="3"/>
        <v>0</v>
      </c>
      <c r="F55" s="968"/>
      <c r="G55" s="968"/>
      <c r="H55" s="970">
        <f t="shared" si="5"/>
        <v>0</v>
      </c>
    </row>
    <row r="56" spans="1:10" x14ac:dyDescent="0.25">
      <c r="A56" s="966"/>
      <c r="B56" s="967" t="s">
        <v>680</v>
      </c>
      <c r="C56" s="968"/>
      <c r="D56" s="968"/>
      <c r="E56" s="969">
        <f t="shared" si="3"/>
        <v>0</v>
      </c>
      <c r="F56" s="968"/>
      <c r="G56" s="968"/>
      <c r="H56" s="970">
        <f t="shared" si="5"/>
        <v>0</v>
      </c>
    </row>
    <row r="57" spans="1:10" x14ac:dyDescent="0.25">
      <c r="A57" s="966"/>
      <c r="B57" s="967" t="s">
        <v>681</v>
      </c>
      <c r="C57" s="968"/>
      <c r="D57" s="968"/>
      <c r="E57" s="969">
        <f t="shared" si="3"/>
        <v>0</v>
      </c>
      <c r="F57" s="969"/>
      <c r="G57" s="969"/>
      <c r="H57" s="970">
        <f t="shared" si="5"/>
        <v>0</v>
      </c>
    </row>
    <row r="58" spans="1:10" x14ac:dyDescent="0.25">
      <c r="A58" s="966"/>
      <c r="B58" s="967" t="s">
        <v>682</v>
      </c>
      <c r="C58" s="968"/>
      <c r="D58" s="968">
        <f>'ETCA II-04'!C56</f>
        <v>1813102</v>
      </c>
      <c r="E58" s="969">
        <f t="shared" si="3"/>
        <v>1813102</v>
      </c>
      <c r="F58" s="968">
        <v>0</v>
      </c>
      <c r="G58" s="968">
        <v>0</v>
      </c>
      <c r="H58" s="970">
        <f t="shared" si="5"/>
        <v>1813102</v>
      </c>
    </row>
    <row r="59" spans="1:10" x14ac:dyDescent="0.25">
      <c r="A59" s="1189" t="s">
        <v>683</v>
      </c>
      <c r="B59" s="1190"/>
      <c r="C59" s="976">
        <f>SUM(C60:C62)</f>
        <v>0</v>
      </c>
      <c r="D59" s="976">
        <f t="shared" ref="D59:H59" si="9">SUM(D60:D62)</f>
        <v>0</v>
      </c>
      <c r="E59" s="969">
        <f t="shared" si="9"/>
        <v>0</v>
      </c>
      <c r="F59" s="976">
        <f t="shared" si="9"/>
        <v>0</v>
      </c>
      <c r="G59" s="976">
        <f t="shared" si="9"/>
        <v>0</v>
      </c>
      <c r="H59" s="976">
        <f t="shared" si="9"/>
        <v>0</v>
      </c>
    </row>
    <row r="60" spans="1:10" x14ac:dyDescent="0.25">
      <c r="A60" s="966"/>
      <c r="B60" s="967" t="s">
        <v>684</v>
      </c>
      <c r="C60" s="968"/>
      <c r="D60" s="968"/>
      <c r="E60" s="969">
        <f t="shared" si="3"/>
        <v>0</v>
      </c>
      <c r="F60" s="968"/>
      <c r="G60" s="968"/>
      <c r="H60" s="970">
        <f t="shared" si="5"/>
        <v>0</v>
      </c>
    </row>
    <row r="61" spans="1:10" x14ac:dyDescent="0.25">
      <c r="A61" s="966"/>
      <c r="B61" s="967" t="s">
        <v>685</v>
      </c>
      <c r="C61" s="968"/>
      <c r="D61" s="968"/>
      <c r="E61" s="969">
        <f t="shared" si="3"/>
        <v>0</v>
      </c>
      <c r="F61" s="968"/>
      <c r="G61" s="968"/>
      <c r="H61" s="970">
        <f t="shared" si="5"/>
        <v>0</v>
      </c>
      <c r="J61" s="977"/>
    </row>
    <row r="62" spans="1:10" x14ac:dyDescent="0.25">
      <c r="A62" s="966"/>
      <c r="B62" s="967" t="s">
        <v>686</v>
      </c>
      <c r="C62" s="968"/>
      <c r="D62" s="968"/>
      <c r="E62" s="969">
        <f t="shared" si="3"/>
        <v>0</v>
      </c>
      <c r="F62" s="968"/>
      <c r="G62" s="968"/>
      <c r="H62" s="970">
        <f t="shared" si="5"/>
        <v>0</v>
      </c>
    </row>
    <row r="63" spans="1:10" x14ac:dyDescent="0.25">
      <c r="A63" s="1189" t="s">
        <v>687</v>
      </c>
      <c r="B63" s="1190"/>
      <c r="C63" s="976">
        <f t="shared" ref="C63:H63" si="10">SUM(C64:C71)</f>
        <v>0</v>
      </c>
      <c r="D63" s="976">
        <f t="shared" si="10"/>
        <v>0</v>
      </c>
      <c r="E63" s="976">
        <f t="shared" si="10"/>
        <v>0</v>
      </c>
      <c r="F63" s="976">
        <f t="shared" si="10"/>
        <v>0</v>
      </c>
      <c r="G63" s="976">
        <f t="shared" si="10"/>
        <v>0</v>
      </c>
      <c r="H63" s="976">
        <f t="shared" si="10"/>
        <v>0</v>
      </c>
      <c r="J63" s="977"/>
    </row>
    <row r="64" spans="1:10" x14ac:dyDescent="0.25">
      <c r="A64" s="966"/>
      <c r="B64" s="967" t="s">
        <v>688</v>
      </c>
      <c r="C64" s="968"/>
      <c r="D64" s="968"/>
      <c r="E64" s="969">
        <f t="shared" si="3"/>
        <v>0</v>
      </c>
      <c r="F64" s="968"/>
      <c r="G64" s="968"/>
      <c r="H64" s="970">
        <f t="shared" si="5"/>
        <v>0</v>
      </c>
    </row>
    <row r="65" spans="1:10" x14ac:dyDescent="0.25">
      <c r="A65" s="966"/>
      <c r="B65" s="967" t="s">
        <v>689</v>
      </c>
      <c r="C65" s="968"/>
      <c r="D65" s="968"/>
      <c r="E65" s="969">
        <f t="shared" si="3"/>
        <v>0</v>
      </c>
      <c r="F65" s="968"/>
      <c r="G65" s="968"/>
      <c r="H65" s="970">
        <f t="shared" si="5"/>
        <v>0</v>
      </c>
      <c r="J65" s="977"/>
    </row>
    <row r="66" spans="1:10" x14ac:dyDescent="0.25">
      <c r="A66" s="966"/>
      <c r="B66" s="967" t="s">
        <v>690</v>
      </c>
      <c r="C66" s="968"/>
      <c r="D66" s="968"/>
      <c r="E66" s="969">
        <f t="shared" si="3"/>
        <v>0</v>
      </c>
      <c r="F66" s="968"/>
      <c r="G66" s="968"/>
      <c r="H66" s="970">
        <f t="shared" si="5"/>
        <v>0</v>
      </c>
    </row>
    <row r="67" spans="1:10" x14ac:dyDescent="0.25">
      <c r="A67" s="966"/>
      <c r="B67" s="967" t="s">
        <v>691</v>
      </c>
      <c r="C67" s="968"/>
      <c r="D67" s="968"/>
      <c r="E67" s="969">
        <f t="shared" si="3"/>
        <v>0</v>
      </c>
      <c r="F67" s="968"/>
      <c r="G67" s="968"/>
      <c r="H67" s="970">
        <f t="shared" si="5"/>
        <v>0</v>
      </c>
    </row>
    <row r="68" spans="1:10" x14ac:dyDescent="0.25">
      <c r="A68" s="966"/>
      <c r="B68" s="967" t="s">
        <v>692</v>
      </c>
      <c r="C68" s="968"/>
      <c r="D68" s="968"/>
      <c r="E68" s="969">
        <f t="shared" si="3"/>
        <v>0</v>
      </c>
      <c r="F68" s="968"/>
      <c r="G68" s="968"/>
      <c r="H68" s="970">
        <f t="shared" si="5"/>
        <v>0</v>
      </c>
    </row>
    <row r="69" spans="1:10" x14ac:dyDescent="0.25">
      <c r="A69" s="966"/>
      <c r="B69" s="967" t="s">
        <v>693</v>
      </c>
      <c r="C69" s="968"/>
      <c r="D69" s="968"/>
      <c r="E69" s="969">
        <f t="shared" si="3"/>
        <v>0</v>
      </c>
      <c r="F69" s="968"/>
      <c r="G69" s="968"/>
      <c r="H69" s="970">
        <f t="shared" si="5"/>
        <v>0</v>
      </c>
    </row>
    <row r="70" spans="1:10" x14ac:dyDescent="0.25">
      <c r="A70" s="966"/>
      <c r="B70" s="967" t="s">
        <v>694</v>
      </c>
      <c r="C70" s="968"/>
      <c r="D70" s="968"/>
      <c r="E70" s="969">
        <f t="shared" si="3"/>
        <v>0</v>
      </c>
      <c r="F70" s="968"/>
      <c r="G70" s="968"/>
      <c r="H70" s="970">
        <f t="shared" si="5"/>
        <v>0</v>
      </c>
    </row>
    <row r="71" spans="1:10" x14ac:dyDescent="0.25">
      <c r="A71" s="966"/>
      <c r="B71" s="967" t="s">
        <v>695</v>
      </c>
      <c r="C71" s="968"/>
      <c r="D71" s="968"/>
      <c r="E71" s="969">
        <f t="shared" si="3"/>
        <v>0</v>
      </c>
      <c r="F71" s="968"/>
      <c r="G71" s="968"/>
      <c r="H71" s="970">
        <f t="shared" si="5"/>
        <v>0</v>
      </c>
    </row>
    <row r="72" spans="1:10" x14ac:dyDescent="0.25">
      <c r="A72" s="1189" t="s">
        <v>696</v>
      </c>
      <c r="B72" s="1190"/>
      <c r="C72" s="976">
        <f>SUM(C73:C75)</f>
        <v>0</v>
      </c>
      <c r="D72" s="976">
        <f t="shared" ref="D72:H72" si="11">SUM(D73:D75)</f>
        <v>0</v>
      </c>
      <c r="E72" s="969">
        <f t="shared" si="11"/>
        <v>0</v>
      </c>
      <c r="F72" s="976">
        <f t="shared" si="11"/>
        <v>0</v>
      </c>
      <c r="G72" s="976">
        <f t="shared" si="11"/>
        <v>0</v>
      </c>
      <c r="H72" s="976">
        <f t="shared" si="11"/>
        <v>0</v>
      </c>
    </row>
    <row r="73" spans="1:10" ht="15.75" thickBot="1" x14ac:dyDescent="0.3">
      <c r="A73" s="971"/>
      <c r="B73" s="972" t="s">
        <v>697</v>
      </c>
      <c r="C73" s="973"/>
      <c r="D73" s="973"/>
      <c r="E73" s="974">
        <f t="shared" si="3"/>
        <v>0</v>
      </c>
      <c r="F73" s="973"/>
      <c r="G73" s="973"/>
      <c r="H73" s="975">
        <f t="shared" si="5"/>
        <v>0</v>
      </c>
    </row>
    <row r="74" spans="1:10" x14ac:dyDescent="0.25">
      <c r="A74" s="966"/>
      <c r="B74" s="967" t="s">
        <v>698</v>
      </c>
      <c r="C74" s="968"/>
      <c r="D74" s="968"/>
      <c r="E74" s="969">
        <f t="shared" si="3"/>
        <v>0</v>
      </c>
      <c r="F74" s="968"/>
      <c r="G74" s="968"/>
      <c r="H74" s="970">
        <f t="shared" si="5"/>
        <v>0</v>
      </c>
    </row>
    <row r="75" spans="1:10" x14ac:dyDescent="0.25">
      <c r="A75" s="966"/>
      <c r="B75" s="967" t="s">
        <v>699</v>
      </c>
      <c r="C75" s="968"/>
      <c r="D75" s="968"/>
      <c r="E75" s="969">
        <f t="shared" si="3"/>
        <v>0</v>
      </c>
      <c r="F75" s="968"/>
      <c r="G75" s="968"/>
      <c r="H75" s="970">
        <f t="shared" si="5"/>
        <v>0</v>
      </c>
    </row>
    <row r="76" spans="1:10" x14ac:dyDescent="0.25">
      <c r="A76" s="1189" t="s">
        <v>700</v>
      </c>
      <c r="B76" s="1190"/>
      <c r="C76" s="976">
        <f>SUM(C77:C83)</f>
        <v>0</v>
      </c>
      <c r="D76" s="976">
        <f t="shared" ref="D76:H76" si="12">SUM(D77:D83)</f>
        <v>0</v>
      </c>
      <c r="E76" s="969">
        <f t="shared" si="12"/>
        <v>0</v>
      </c>
      <c r="F76" s="976">
        <f t="shared" si="12"/>
        <v>0</v>
      </c>
      <c r="G76" s="976">
        <f t="shared" si="12"/>
        <v>0</v>
      </c>
      <c r="H76" s="976">
        <f t="shared" si="12"/>
        <v>0</v>
      </c>
    </row>
    <row r="77" spans="1:10" x14ac:dyDescent="0.25">
      <c r="A77" s="966"/>
      <c r="B77" s="967" t="s">
        <v>701</v>
      </c>
      <c r="C77" s="968"/>
      <c r="D77" s="968"/>
      <c r="E77" s="969">
        <f t="shared" si="3"/>
        <v>0</v>
      </c>
      <c r="F77" s="968"/>
      <c r="G77" s="968"/>
      <c r="H77" s="970">
        <f t="shared" si="5"/>
        <v>0</v>
      </c>
    </row>
    <row r="78" spans="1:10" x14ac:dyDescent="0.25">
      <c r="A78" s="966"/>
      <c r="B78" s="967" t="s">
        <v>702</v>
      </c>
      <c r="C78" s="968"/>
      <c r="D78" s="968"/>
      <c r="E78" s="969">
        <f t="shared" ref="E78:E83" si="13">C78+D78</f>
        <v>0</v>
      </c>
      <c r="F78" s="968"/>
      <c r="G78" s="968"/>
      <c r="H78" s="970">
        <f t="shared" si="5"/>
        <v>0</v>
      </c>
    </row>
    <row r="79" spans="1:10" x14ac:dyDescent="0.25">
      <c r="A79" s="966"/>
      <c r="B79" s="967" t="s">
        <v>703</v>
      </c>
      <c r="C79" s="968"/>
      <c r="D79" s="968"/>
      <c r="E79" s="969">
        <f t="shared" si="13"/>
        <v>0</v>
      </c>
      <c r="F79" s="968"/>
      <c r="G79" s="968"/>
      <c r="H79" s="970">
        <f t="shared" si="5"/>
        <v>0</v>
      </c>
    </row>
    <row r="80" spans="1:10" x14ac:dyDescent="0.25">
      <c r="A80" s="966"/>
      <c r="B80" s="967" t="s">
        <v>704</v>
      </c>
      <c r="C80" s="968"/>
      <c r="D80" s="968"/>
      <c r="E80" s="969">
        <f t="shared" si="13"/>
        <v>0</v>
      </c>
      <c r="F80" s="968"/>
      <c r="G80" s="968"/>
      <c r="H80" s="970">
        <f t="shared" si="5"/>
        <v>0</v>
      </c>
    </row>
    <row r="81" spans="1:8" x14ac:dyDescent="0.25">
      <c r="A81" s="966"/>
      <c r="B81" s="967" t="s">
        <v>705</v>
      </c>
      <c r="C81" s="968"/>
      <c r="D81" s="968"/>
      <c r="E81" s="969">
        <f t="shared" si="13"/>
        <v>0</v>
      </c>
      <c r="F81" s="968"/>
      <c r="G81" s="968"/>
      <c r="H81" s="970">
        <f t="shared" si="5"/>
        <v>0</v>
      </c>
    </row>
    <row r="82" spans="1:8" x14ac:dyDescent="0.25">
      <c r="A82" s="966"/>
      <c r="B82" s="967" t="s">
        <v>706</v>
      </c>
      <c r="C82" s="968"/>
      <c r="D82" s="968"/>
      <c r="E82" s="969">
        <f t="shared" si="13"/>
        <v>0</v>
      </c>
      <c r="F82" s="968"/>
      <c r="G82" s="968"/>
      <c r="H82" s="970">
        <f t="shared" si="5"/>
        <v>0</v>
      </c>
    </row>
    <row r="83" spans="1:8" x14ac:dyDescent="0.25">
      <c r="A83" s="966"/>
      <c r="B83" s="967" t="s">
        <v>707</v>
      </c>
      <c r="C83" s="968"/>
      <c r="D83" s="968"/>
      <c r="E83" s="969">
        <f t="shared" si="13"/>
        <v>0</v>
      </c>
      <c r="F83" s="968"/>
      <c r="G83" s="968"/>
      <c r="H83" s="970">
        <f t="shared" si="5"/>
        <v>0</v>
      </c>
    </row>
    <row r="84" spans="1:8" x14ac:dyDescent="0.25">
      <c r="A84" s="1187" t="s">
        <v>708</v>
      </c>
      <c r="B84" s="1188"/>
      <c r="C84" s="964">
        <f>+C85+C93+C103+C113+C123+C133+C137+C146+C150</f>
        <v>0</v>
      </c>
      <c r="D84" s="964">
        <f t="shared" ref="D84:E84" si="14">+D85+D93+D103+D113+D123+D133+D137+D146+D150</f>
        <v>0</v>
      </c>
      <c r="E84" s="965">
        <f t="shared" si="14"/>
        <v>0</v>
      </c>
      <c r="F84" s="964"/>
      <c r="G84" s="964"/>
      <c r="H84" s="964">
        <f>D84-F84</f>
        <v>0</v>
      </c>
    </row>
    <row r="85" spans="1:8" x14ac:dyDescent="0.25">
      <c r="A85" s="1189" t="s">
        <v>635</v>
      </c>
      <c r="B85" s="1190"/>
      <c r="C85" s="976">
        <f>SUM(C86:C92)</f>
        <v>0</v>
      </c>
      <c r="D85" s="976">
        <f t="shared" ref="D85:H85" si="15">SUM(D86:D92)</f>
        <v>0</v>
      </c>
      <c r="E85" s="969">
        <f t="shared" si="15"/>
        <v>0</v>
      </c>
      <c r="F85" s="976">
        <f t="shared" si="15"/>
        <v>0</v>
      </c>
      <c r="G85" s="976">
        <f t="shared" si="15"/>
        <v>0</v>
      </c>
      <c r="H85" s="976">
        <f t="shared" si="15"/>
        <v>0</v>
      </c>
    </row>
    <row r="86" spans="1:8" x14ac:dyDescent="0.25">
      <c r="A86" s="966"/>
      <c r="B86" s="967" t="s">
        <v>636</v>
      </c>
      <c r="C86" s="968"/>
      <c r="D86" s="968"/>
      <c r="E86" s="969">
        <f t="shared" ref="E86:E92" si="16">C86+D86</f>
        <v>0</v>
      </c>
      <c r="F86" s="968"/>
      <c r="G86" s="968"/>
      <c r="H86" s="970">
        <f t="shared" ref="H86:H149" si="17">+E86-F86</f>
        <v>0</v>
      </c>
    </row>
    <row r="87" spans="1:8" x14ac:dyDescent="0.25">
      <c r="A87" s="966"/>
      <c r="B87" s="967" t="s">
        <v>637</v>
      </c>
      <c r="C87" s="968"/>
      <c r="D87" s="968"/>
      <c r="E87" s="969">
        <f t="shared" si="16"/>
        <v>0</v>
      </c>
      <c r="F87" s="968"/>
      <c r="G87" s="968"/>
      <c r="H87" s="970">
        <f t="shared" si="17"/>
        <v>0</v>
      </c>
    </row>
    <row r="88" spans="1:8" x14ac:dyDescent="0.25">
      <c r="A88" s="966"/>
      <c r="B88" s="967" t="s">
        <v>638</v>
      </c>
      <c r="C88" s="968"/>
      <c r="D88" s="968"/>
      <c r="E88" s="969">
        <f t="shared" si="16"/>
        <v>0</v>
      </c>
      <c r="F88" s="968"/>
      <c r="G88" s="968"/>
      <c r="H88" s="970">
        <f t="shared" si="17"/>
        <v>0</v>
      </c>
    </row>
    <row r="89" spans="1:8" x14ac:dyDescent="0.25">
      <c r="A89" s="966"/>
      <c r="B89" s="967" t="s">
        <v>639</v>
      </c>
      <c r="C89" s="968"/>
      <c r="D89" s="968"/>
      <c r="E89" s="969">
        <f t="shared" si="16"/>
        <v>0</v>
      </c>
      <c r="F89" s="968"/>
      <c r="G89" s="968"/>
      <c r="H89" s="970">
        <f t="shared" si="17"/>
        <v>0</v>
      </c>
    </row>
    <row r="90" spans="1:8" x14ac:dyDescent="0.25">
      <c r="A90" s="966"/>
      <c r="B90" s="967" t="s">
        <v>640</v>
      </c>
      <c r="C90" s="968"/>
      <c r="D90" s="968"/>
      <c r="E90" s="969">
        <f t="shared" si="16"/>
        <v>0</v>
      </c>
      <c r="F90" s="968"/>
      <c r="G90" s="968"/>
      <c r="H90" s="970">
        <f t="shared" si="17"/>
        <v>0</v>
      </c>
    </row>
    <row r="91" spans="1:8" x14ac:dyDescent="0.25">
      <c r="A91" s="966"/>
      <c r="B91" s="967" t="s">
        <v>641</v>
      </c>
      <c r="C91" s="968"/>
      <c r="D91" s="968"/>
      <c r="E91" s="969">
        <f t="shared" si="16"/>
        <v>0</v>
      </c>
      <c r="F91" s="968"/>
      <c r="G91" s="968"/>
      <c r="H91" s="970">
        <f t="shared" si="17"/>
        <v>0</v>
      </c>
    </row>
    <row r="92" spans="1:8" x14ac:dyDescent="0.25">
      <c r="A92" s="966"/>
      <c r="B92" s="967" t="s">
        <v>642</v>
      </c>
      <c r="C92" s="968"/>
      <c r="D92" s="968"/>
      <c r="E92" s="969">
        <f t="shared" si="16"/>
        <v>0</v>
      </c>
      <c r="F92" s="968"/>
      <c r="G92" s="968"/>
      <c r="H92" s="970">
        <f t="shared" si="17"/>
        <v>0</v>
      </c>
    </row>
    <row r="93" spans="1:8" x14ac:dyDescent="0.25">
      <c r="A93" s="1189" t="s">
        <v>643</v>
      </c>
      <c r="B93" s="1190"/>
      <c r="C93" s="976">
        <f>SUM(C94:C102)</f>
        <v>0</v>
      </c>
      <c r="D93" s="976">
        <f t="shared" ref="D93:H93" si="18">SUM(D94:D102)</f>
        <v>0</v>
      </c>
      <c r="E93" s="969">
        <f t="shared" si="18"/>
        <v>0</v>
      </c>
      <c r="F93" s="976">
        <f t="shared" si="18"/>
        <v>0</v>
      </c>
      <c r="G93" s="976">
        <f t="shared" si="18"/>
        <v>0</v>
      </c>
      <c r="H93" s="976">
        <f t="shared" si="18"/>
        <v>0</v>
      </c>
    </row>
    <row r="94" spans="1:8" x14ac:dyDescent="0.25">
      <c r="A94" s="966"/>
      <c r="B94" s="967" t="s">
        <v>644</v>
      </c>
      <c r="C94" s="968"/>
      <c r="D94" s="968"/>
      <c r="E94" s="969">
        <f t="shared" ref="E94:E102" si="19">C94+D94</f>
        <v>0</v>
      </c>
      <c r="F94" s="968"/>
      <c r="G94" s="968"/>
      <c r="H94" s="970">
        <f t="shared" si="17"/>
        <v>0</v>
      </c>
    </row>
    <row r="95" spans="1:8" x14ac:dyDescent="0.25">
      <c r="A95" s="966"/>
      <c r="B95" s="967" t="s">
        <v>645</v>
      </c>
      <c r="C95" s="968"/>
      <c r="D95" s="968"/>
      <c r="E95" s="969">
        <f t="shared" si="19"/>
        <v>0</v>
      </c>
      <c r="F95" s="968"/>
      <c r="G95" s="968"/>
      <c r="H95" s="970">
        <f t="shared" si="17"/>
        <v>0</v>
      </c>
    </row>
    <row r="96" spans="1:8" x14ac:dyDescent="0.25">
      <c r="A96" s="966"/>
      <c r="B96" s="967" t="s">
        <v>646</v>
      </c>
      <c r="C96" s="968"/>
      <c r="D96" s="968"/>
      <c r="E96" s="969">
        <f t="shared" si="19"/>
        <v>0</v>
      </c>
      <c r="F96" s="968"/>
      <c r="G96" s="968"/>
      <c r="H96" s="970">
        <f t="shared" si="17"/>
        <v>0</v>
      </c>
    </row>
    <row r="97" spans="1:10" x14ac:dyDescent="0.25">
      <c r="A97" s="966"/>
      <c r="B97" s="967" t="s">
        <v>647</v>
      </c>
      <c r="C97" s="968"/>
      <c r="D97" s="968"/>
      <c r="E97" s="969">
        <f t="shared" si="19"/>
        <v>0</v>
      </c>
      <c r="F97" s="968"/>
      <c r="G97" s="968"/>
      <c r="H97" s="970">
        <f t="shared" si="17"/>
        <v>0</v>
      </c>
    </row>
    <row r="98" spans="1:10" x14ac:dyDescent="0.25">
      <c r="A98" s="966"/>
      <c r="B98" s="967" t="s">
        <v>648</v>
      </c>
      <c r="C98" s="968"/>
      <c r="D98" s="968"/>
      <c r="E98" s="969">
        <f t="shared" si="19"/>
        <v>0</v>
      </c>
      <c r="F98" s="968"/>
      <c r="G98" s="968"/>
      <c r="H98" s="970">
        <f t="shared" si="17"/>
        <v>0</v>
      </c>
    </row>
    <row r="99" spans="1:10" x14ac:dyDescent="0.25">
      <c r="A99" s="966"/>
      <c r="B99" s="967" t="s">
        <v>649</v>
      </c>
      <c r="C99" s="968"/>
      <c r="D99" s="968"/>
      <c r="E99" s="969">
        <f t="shared" si="19"/>
        <v>0</v>
      </c>
      <c r="F99" s="968"/>
      <c r="G99" s="968"/>
      <c r="H99" s="970">
        <f t="shared" si="17"/>
        <v>0</v>
      </c>
    </row>
    <row r="100" spans="1:10" x14ac:dyDescent="0.25">
      <c r="A100" s="966"/>
      <c r="B100" s="967" t="s">
        <v>650</v>
      </c>
      <c r="C100" s="968"/>
      <c r="D100" s="968"/>
      <c r="E100" s="969">
        <f t="shared" si="19"/>
        <v>0</v>
      </c>
      <c r="F100" s="968"/>
      <c r="G100" s="968"/>
      <c r="H100" s="970">
        <f t="shared" si="17"/>
        <v>0</v>
      </c>
    </row>
    <row r="101" spans="1:10" x14ac:dyDescent="0.25">
      <c r="A101" s="966"/>
      <c r="B101" s="967" t="s">
        <v>651</v>
      </c>
      <c r="C101" s="968"/>
      <c r="D101" s="968"/>
      <c r="E101" s="969">
        <f t="shared" si="19"/>
        <v>0</v>
      </c>
      <c r="F101" s="968"/>
      <c r="G101" s="968"/>
      <c r="H101" s="970">
        <f t="shared" si="17"/>
        <v>0</v>
      </c>
    </row>
    <row r="102" spans="1:10" x14ac:dyDescent="0.25">
      <c r="A102" s="966"/>
      <c r="B102" s="967" t="s">
        <v>652</v>
      </c>
      <c r="C102" s="968"/>
      <c r="D102" s="968"/>
      <c r="E102" s="969">
        <f t="shared" si="19"/>
        <v>0</v>
      </c>
      <c r="F102" s="968"/>
      <c r="G102" s="968"/>
      <c r="H102" s="970">
        <f t="shared" si="17"/>
        <v>0</v>
      </c>
    </row>
    <row r="103" spans="1:10" x14ac:dyDescent="0.25">
      <c r="A103" s="1189" t="s">
        <v>653</v>
      </c>
      <c r="B103" s="1190"/>
      <c r="C103" s="976">
        <f>SUM(C104:C112)</f>
        <v>0</v>
      </c>
      <c r="D103" s="976">
        <f>SUM(D104:D112)</f>
        <v>0</v>
      </c>
      <c r="E103" s="969">
        <f>SUM(E104:E112)</f>
        <v>0</v>
      </c>
      <c r="F103" s="969">
        <f>SUM(F104:F112)</f>
        <v>0</v>
      </c>
      <c r="G103" s="976">
        <f t="shared" ref="G103:H103" si="20">SUM(G104:G112)</f>
        <v>0</v>
      </c>
      <c r="H103" s="976">
        <f t="shared" si="20"/>
        <v>0</v>
      </c>
    </row>
    <row r="104" spans="1:10" x14ac:dyDescent="0.25">
      <c r="A104" s="966"/>
      <c r="B104" s="967" t="s">
        <v>654</v>
      </c>
      <c r="C104" s="968"/>
      <c r="D104" s="968"/>
      <c r="E104" s="969">
        <f t="shared" ref="E104:E111" si="21">C104+D104</f>
        <v>0</v>
      </c>
      <c r="F104" s="968"/>
      <c r="G104" s="968"/>
      <c r="H104" s="970">
        <f t="shared" si="17"/>
        <v>0</v>
      </c>
    </row>
    <row r="105" spans="1:10" x14ac:dyDescent="0.25">
      <c r="A105" s="966"/>
      <c r="B105" s="967" t="s">
        <v>655</v>
      </c>
      <c r="C105" s="968">
        <v>0</v>
      </c>
      <c r="D105" s="968"/>
      <c r="E105" s="969">
        <f>C105+D105</f>
        <v>0</v>
      </c>
      <c r="F105" s="969">
        <f>E105</f>
        <v>0</v>
      </c>
      <c r="G105" s="968">
        <f>F105</f>
        <v>0</v>
      </c>
      <c r="H105" s="970">
        <f t="shared" si="17"/>
        <v>0</v>
      </c>
      <c r="J105" s="977"/>
    </row>
    <row r="106" spans="1:10" x14ac:dyDescent="0.25">
      <c r="A106" s="966"/>
      <c r="B106" s="967" t="s">
        <v>656</v>
      </c>
      <c r="C106" s="968"/>
      <c r="D106" s="968"/>
      <c r="E106" s="969">
        <f t="shared" si="21"/>
        <v>0</v>
      </c>
      <c r="F106" s="968"/>
      <c r="G106" s="968"/>
      <c r="H106" s="970">
        <f t="shared" si="17"/>
        <v>0</v>
      </c>
    </row>
    <row r="107" spans="1:10" x14ac:dyDescent="0.25">
      <c r="A107" s="966"/>
      <c r="B107" s="967" t="s">
        <v>657</v>
      </c>
      <c r="C107" s="968"/>
      <c r="D107" s="968"/>
      <c r="E107" s="969">
        <f t="shared" si="21"/>
        <v>0</v>
      </c>
      <c r="F107" s="968"/>
      <c r="G107" s="968"/>
      <c r="H107" s="970">
        <f t="shared" si="17"/>
        <v>0</v>
      </c>
    </row>
    <row r="108" spans="1:10" ht="15.75" thickBot="1" x14ac:dyDescent="0.3">
      <c r="A108" s="971"/>
      <c r="B108" s="972" t="s">
        <v>658</v>
      </c>
      <c r="C108" s="973"/>
      <c r="D108" s="973"/>
      <c r="E108" s="974">
        <f t="shared" si="21"/>
        <v>0</v>
      </c>
      <c r="F108" s="973"/>
      <c r="G108" s="973"/>
      <c r="H108" s="975">
        <f t="shared" si="17"/>
        <v>0</v>
      </c>
      <c r="J108" s="977"/>
    </row>
    <row r="109" spans="1:10" x14ac:dyDescent="0.25">
      <c r="A109" s="966"/>
      <c r="B109" s="967" t="s">
        <v>659</v>
      </c>
      <c r="C109" s="968"/>
      <c r="D109" s="968"/>
      <c r="E109" s="969">
        <f t="shared" si="21"/>
        <v>0</v>
      </c>
      <c r="F109" s="968"/>
      <c r="G109" s="968"/>
      <c r="H109" s="970">
        <f t="shared" si="17"/>
        <v>0</v>
      </c>
      <c r="J109" s="977"/>
    </row>
    <row r="110" spans="1:10" x14ac:dyDescent="0.25">
      <c r="A110" s="966"/>
      <c r="B110" s="967" t="s">
        <v>660</v>
      </c>
      <c r="C110" s="968"/>
      <c r="D110" s="968"/>
      <c r="E110" s="969">
        <f t="shared" si="21"/>
        <v>0</v>
      </c>
      <c r="F110" s="968"/>
      <c r="G110" s="968"/>
      <c r="H110" s="970">
        <f t="shared" si="17"/>
        <v>0</v>
      </c>
    </row>
    <row r="111" spans="1:10" x14ac:dyDescent="0.25">
      <c r="A111" s="966"/>
      <c r="B111" s="967" t="s">
        <v>661</v>
      </c>
      <c r="C111" s="968"/>
      <c r="D111" s="968"/>
      <c r="E111" s="969">
        <f t="shared" si="21"/>
        <v>0</v>
      </c>
      <c r="F111" s="968"/>
      <c r="G111" s="968"/>
      <c r="H111" s="970">
        <f t="shared" si="17"/>
        <v>0</v>
      </c>
    </row>
    <row r="112" spans="1:10" x14ac:dyDescent="0.25">
      <c r="A112" s="966"/>
      <c r="B112" s="967" t="s">
        <v>662</v>
      </c>
      <c r="C112" s="968"/>
      <c r="D112" s="968"/>
      <c r="E112" s="969">
        <v>0</v>
      </c>
      <c r="F112" s="968"/>
      <c r="G112" s="968"/>
      <c r="H112" s="970">
        <f t="shared" si="17"/>
        <v>0</v>
      </c>
    </row>
    <row r="113" spans="1:11" x14ac:dyDescent="0.25">
      <c r="A113" s="1189" t="s">
        <v>663</v>
      </c>
      <c r="B113" s="1190"/>
      <c r="C113" s="976">
        <f>SUM(C114:C122)</f>
        <v>0</v>
      </c>
      <c r="D113" s="976">
        <f t="shared" ref="D113:H113" si="22">SUM(D114:D122)</f>
        <v>0</v>
      </c>
      <c r="E113" s="969">
        <f t="shared" si="22"/>
        <v>0</v>
      </c>
      <c r="F113" s="976">
        <f t="shared" si="22"/>
        <v>0</v>
      </c>
      <c r="G113" s="976">
        <f t="shared" si="22"/>
        <v>0</v>
      </c>
      <c r="H113" s="976">
        <f t="shared" si="22"/>
        <v>0</v>
      </c>
    </row>
    <row r="114" spans="1:11" x14ac:dyDescent="0.25">
      <c r="A114" s="966"/>
      <c r="B114" s="967" t="s">
        <v>664</v>
      </c>
      <c r="C114" s="968"/>
      <c r="D114" s="968"/>
      <c r="E114" s="969">
        <f t="shared" ref="E114:E122" si="23">C114+D114</f>
        <v>0</v>
      </c>
      <c r="F114" s="968"/>
      <c r="G114" s="968"/>
      <c r="H114" s="970">
        <f t="shared" si="17"/>
        <v>0</v>
      </c>
    </row>
    <row r="115" spans="1:11" x14ac:dyDescent="0.25">
      <c r="A115" s="966"/>
      <c r="B115" s="967" t="s">
        <v>665</v>
      </c>
      <c r="C115" s="968"/>
      <c r="D115" s="968"/>
      <c r="E115" s="969">
        <f t="shared" si="23"/>
        <v>0</v>
      </c>
      <c r="F115" s="968"/>
      <c r="G115" s="968"/>
      <c r="H115" s="970">
        <f t="shared" si="17"/>
        <v>0</v>
      </c>
    </row>
    <row r="116" spans="1:11" x14ac:dyDescent="0.25">
      <c r="A116" s="966"/>
      <c r="B116" s="967" t="s">
        <v>666</v>
      </c>
      <c r="C116" s="968"/>
      <c r="D116" s="968"/>
      <c r="E116" s="969">
        <f t="shared" si="23"/>
        <v>0</v>
      </c>
      <c r="F116" s="968"/>
      <c r="G116" s="968"/>
      <c r="H116" s="970">
        <f t="shared" si="17"/>
        <v>0</v>
      </c>
    </row>
    <row r="117" spans="1:11" x14ac:dyDescent="0.25">
      <c r="A117" s="966"/>
      <c r="B117" s="967" t="s">
        <v>667</v>
      </c>
      <c r="C117" s="968"/>
      <c r="D117" s="968"/>
      <c r="E117" s="969">
        <f t="shared" si="23"/>
        <v>0</v>
      </c>
      <c r="F117" s="968"/>
      <c r="G117" s="968"/>
      <c r="H117" s="970">
        <f t="shared" si="17"/>
        <v>0</v>
      </c>
    </row>
    <row r="118" spans="1:11" x14ac:dyDescent="0.25">
      <c r="A118" s="966"/>
      <c r="B118" s="967" t="s">
        <v>668</v>
      </c>
      <c r="C118" s="968"/>
      <c r="D118" s="968"/>
      <c r="E118" s="969">
        <f t="shared" si="23"/>
        <v>0</v>
      </c>
      <c r="F118" s="968"/>
      <c r="G118" s="968"/>
      <c r="H118" s="970">
        <f t="shared" si="17"/>
        <v>0</v>
      </c>
    </row>
    <row r="119" spans="1:11" x14ac:dyDescent="0.25">
      <c r="A119" s="966"/>
      <c r="B119" s="967" t="s">
        <v>669</v>
      </c>
      <c r="C119" s="968"/>
      <c r="D119" s="968"/>
      <c r="E119" s="969">
        <f t="shared" si="23"/>
        <v>0</v>
      </c>
      <c r="F119" s="968"/>
      <c r="G119" s="968"/>
      <c r="H119" s="970">
        <f t="shared" si="17"/>
        <v>0</v>
      </c>
    </row>
    <row r="120" spans="1:11" x14ac:dyDescent="0.25">
      <c r="A120" s="966"/>
      <c r="B120" s="967" t="s">
        <v>670</v>
      </c>
      <c r="C120" s="968"/>
      <c r="D120" s="968"/>
      <c r="E120" s="969">
        <f t="shared" si="23"/>
        <v>0</v>
      </c>
      <c r="F120" s="968"/>
      <c r="G120" s="968"/>
      <c r="H120" s="970">
        <f t="shared" si="17"/>
        <v>0</v>
      </c>
    </row>
    <row r="121" spans="1:11" x14ac:dyDescent="0.25">
      <c r="A121" s="966"/>
      <c r="B121" s="967" t="s">
        <v>671</v>
      </c>
      <c r="C121" s="968"/>
      <c r="D121" s="968"/>
      <c r="E121" s="969">
        <f t="shared" si="23"/>
        <v>0</v>
      </c>
      <c r="F121" s="968"/>
      <c r="G121" s="968"/>
      <c r="H121" s="970">
        <f t="shared" si="17"/>
        <v>0</v>
      </c>
    </row>
    <row r="122" spans="1:11" x14ac:dyDescent="0.25">
      <c r="A122" s="966"/>
      <c r="B122" s="967" t="s">
        <v>672</v>
      </c>
      <c r="C122" s="968"/>
      <c r="D122" s="968"/>
      <c r="E122" s="969">
        <f t="shared" si="23"/>
        <v>0</v>
      </c>
      <c r="F122" s="968"/>
      <c r="G122" s="968"/>
      <c r="H122" s="970">
        <f t="shared" si="17"/>
        <v>0</v>
      </c>
    </row>
    <row r="123" spans="1:11" x14ac:dyDescent="0.25">
      <c r="A123" s="1189" t="s">
        <v>673</v>
      </c>
      <c r="B123" s="1190"/>
      <c r="C123" s="976">
        <f>SUM(C124:C132)</f>
        <v>0</v>
      </c>
      <c r="D123" s="964">
        <f t="shared" ref="D123:H123" si="24">SUM(D124:D132)</f>
        <v>0</v>
      </c>
      <c r="E123" s="965">
        <f t="shared" si="24"/>
        <v>0</v>
      </c>
      <c r="F123" s="964">
        <f t="shared" si="24"/>
        <v>0</v>
      </c>
      <c r="G123" s="964">
        <f t="shared" si="24"/>
        <v>0</v>
      </c>
      <c r="H123" s="964">
        <f t="shared" si="24"/>
        <v>0</v>
      </c>
    </row>
    <row r="124" spans="1:11" x14ac:dyDescent="0.25">
      <c r="A124" s="966"/>
      <c r="B124" s="967" t="s">
        <v>674</v>
      </c>
      <c r="C124" s="968">
        <v>0</v>
      </c>
      <c r="D124" s="968"/>
      <c r="E124" s="969">
        <f t="shared" ref="E124:E132" si="25">C124+D124</f>
        <v>0</v>
      </c>
      <c r="F124" s="968"/>
      <c r="G124" s="968"/>
      <c r="H124" s="970">
        <f>+E124-F124</f>
        <v>0</v>
      </c>
      <c r="J124" s="977"/>
      <c r="K124" s="977"/>
    </row>
    <row r="125" spans="1:11" x14ac:dyDescent="0.25">
      <c r="A125" s="966"/>
      <c r="B125" s="967" t="s">
        <v>675</v>
      </c>
      <c r="C125" s="968"/>
      <c r="D125" s="968"/>
      <c r="E125" s="969">
        <f t="shared" si="25"/>
        <v>0</v>
      </c>
      <c r="F125" s="968"/>
      <c r="G125" s="968"/>
      <c r="H125" s="970">
        <f t="shared" si="17"/>
        <v>0</v>
      </c>
    </row>
    <row r="126" spans="1:11" x14ac:dyDescent="0.25">
      <c r="A126" s="966"/>
      <c r="B126" s="967" t="s">
        <v>676</v>
      </c>
      <c r="C126" s="968"/>
      <c r="D126" s="968"/>
      <c r="E126" s="969">
        <f t="shared" si="25"/>
        <v>0</v>
      </c>
      <c r="F126" s="968"/>
      <c r="G126" s="968"/>
      <c r="H126" s="970">
        <f t="shared" si="17"/>
        <v>0</v>
      </c>
    </row>
    <row r="127" spans="1:11" x14ac:dyDescent="0.25">
      <c r="A127" s="966"/>
      <c r="B127" s="967" t="s">
        <v>677</v>
      </c>
      <c r="C127" s="968"/>
      <c r="D127" s="968"/>
      <c r="E127" s="969">
        <f t="shared" si="25"/>
        <v>0</v>
      </c>
      <c r="F127" s="968"/>
      <c r="G127" s="968"/>
      <c r="H127" s="970">
        <f t="shared" si="17"/>
        <v>0</v>
      </c>
    </row>
    <row r="128" spans="1:11" x14ac:dyDescent="0.25">
      <c r="A128" s="966"/>
      <c r="B128" s="967" t="s">
        <v>678</v>
      </c>
      <c r="C128" s="968"/>
      <c r="D128" s="968"/>
      <c r="E128" s="969">
        <f t="shared" si="25"/>
        <v>0</v>
      </c>
      <c r="F128" s="968"/>
      <c r="G128" s="968"/>
      <c r="H128" s="970">
        <f t="shared" si="17"/>
        <v>0</v>
      </c>
    </row>
    <row r="129" spans="1:8" x14ac:dyDescent="0.25">
      <c r="A129" s="966"/>
      <c r="B129" s="967" t="s">
        <v>679</v>
      </c>
      <c r="C129" s="968"/>
      <c r="D129" s="968"/>
      <c r="E129" s="969">
        <f t="shared" si="25"/>
        <v>0</v>
      </c>
      <c r="F129" s="968"/>
      <c r="G129" s="968"/>
      <c r="H129" s="970">
        <f t="shared" si="17"/>
        <v>0</v>
      </c>
    </row>
    <row r="130" spans="1:8" x14ac:dyDescent="0.25">
      <c r="A130" s="966"/>
      <c r="B130" s="967" t="s">
        <v>680</v>
      </c>
      <c r="C130" s="968"/>
      <c r="D130" s="968"/>
      <c r="E130" s="969">
        <f t="shared" si="25"/>
        <v>0</v>
      </c>
      <c r="F130" s="968"/>
      <c r="G130" s="968"/>
      <c r="H130" s="970">
        <f t="shared" si="17"/>
        <v>0</v>
      </c>
    </row>
    <row r="131" spans="1:8" x14ac:dyDescent="0.25">
      <c r="A131" s="966"/>
      <c r="B131" s="967" t="s">
        <v>681</v>
      </c>
      <c r="C131" s="968"/>
      <c r="D131" s="968"/>
      <c r="E131" s="969">
        <f t="shared" si="25"/>
        <v>0</v>
      </c>
      <c r="F131" s="968"/>
      <c r="G131" s="968"/>
      <c r="H131" s="970">
        <f t="shared" si="17"/>
        <v>0</v>
      </c>
    </row>
    <row r="132" spans="1:8" x14ac:dyDescent="0.25">
      <c r="A132" s="966"/>
      <c r="B132" s="967" t="s">
        <v>682</v>
      </c>
      <c r="C132" s="968"/>
      <c r="D132" s="968"/>
      <c r="E132" s="969">
        <f t="shared" si="25"/>
        <v>0</v>
      </c>
      <c r="F132" s="968"/>
      <c r="G132" s="968"/>
      <c r="H132" s="970">
        <f t="shared" si="17"/>
        <v>0</v>
      </c>
    </row>
    <row r="133" spans="1:8" x14ac:dyDescent="0.25">
      <c r="A133" s="1189" t="s">
        <v>683</v>
      </c>
      <c r="B133" s="1190"/>
      <c r="C133" s="976">
        <f>SUM(C134:C136)</f>
        <v>0</v>
      </c>
      <c r="D133" s="976">
        <f t="shared" ref="D133:H133" si="26">SUM(D134:D136)</f>
        <v>0</v>
      </c>
      <c r="E133" s="969">
        <f t="shared" si="26"/>
        <v>0</v>
      </c>
      <c r="F133" s="976">
        <f t="shared" si="26"/>
        <v>0</v>
      </c>
      <c r="G133" s="976">
        <f t="shared" si="26"/>
        <v>0</v>
      </c>
      <c r="H133" s="976">
        <f t="shared" si="26"/>
        <v>0</v>
      </c>
    </row>
    <row r="134" spans="1:8" x14ac:dyDescent="0.25">
      <c r="A134" s="966"/>
      <c r="B134" s="967" t="s">
        <v>684</v>
      </c>
      <c r="C134" s="968"/>
      <c r="D134" s="968"/>
      <c r="E134" s="969">
        <f t="shared" ref="E134:E136" si="27">C134+D134</f>
        <v>0</v>
      </c>
      <c r="F134" s="968"/>
      <c r="G134" s="968"/>
      <c r="H134" s="970">
        <f t="shared" si="17"/>
        <v>0</v>
      </c>
    </row>
    <row r="135" spans="1:8" x14ac:dyDescent="0.25">
      <c r="A135" s="966"/>
      <c r="B135" s="967" t="s">
        <v>685</v>
      </c>
      <c r="C135" s="968"/>
      <c r="D135" s="968"/>
      <c r="E135" s="969">
        <f t="shared" si="27"/>
        <v>0</v>
      </c>
      <c r="F135" s="968"/>
      <c r="G135" s="968"/>
      <c r="H135" s="970">
        <f t="shared" si="17"/>
        <v>0</v>
      </c>
    </row>
    <row r="136" spans="1:8" x14ac:dyDescent="0.25">
      <c r="A136" s="966"/>
      <c r="B136" s="967" t="s">
        <v>686</v>
      </c>
      <c r="C136" s="968"/>
      <c r="D136" s="968"/>
      <c r="E136" s="969">
        <f t="shared" si="27"/>
        <v>0</v>
      </c>
      <c r="F136" s="968"/>
      <c r="G136" s="968"/>
      <c r="H136" s="970">
        <f t="shared" si="17"/>
        <v>0</v>
      </c>
    </row>
    <row r="137" spans="1:8" x14ac:dyDescent="0.25">
      <c r="A137" s="1189" t="s">
        <v>687</v>
      </c>
      <c r="B137" s="1190"/>
      <c r="C137" s="976">
        <f>SUM(C138:C145)</f>
        <v>0</v>
      </c>
      <c r="D137" s="976">
        <f t="shared" ref="D137:H137" si="28">SUM(D138:D145)</f>
        <v>0</v>
      </c>
      <c r="E137" s="969">
        <f t="shared" si="28"/>
        <v>0</v>
      </c>
      <c r="F137" s="976">
        <f t="shared" si="28"/>
        <v>0</v>
      </c>
      <c r="G137" s="976">
        <f t="shared" si="28"/>
        <v>0</v>
      </c>
      <c r="H137" s="976">
        <f t="shared" si="28"/>
        <v>0</v>
      </c>
    </row>
    <row r="138" spans="1:8" x14ac:dyDescent="0.25">
      <c r="A138" s="966"/>
      <c r="B138" s="967" t="s">
        <v>688</v>
      </c>
      <c r="C138" s="968"/>
      <c r="D138" s="968"/>
      <c r="E138" s="969">
        <f t="shared" ref="E138:E145" si="29">C138+D138</f>
        <v>0</v>
      </c>
      <c r="F138" s="968"/>
      <c r="G138" s="968"/>
      <c r="H138" s="970">
        <f t="shared" si="17"/>
        <v>0</v>
      </c>
    </row>
    <row r="139" spans="1:8" x14ac:dyDescent="0.25">
      <c r="A139" s="966"/>
      <c r="B139" s="967" t="s">
        <v>689</v>
      </c>
      <c r="C139" s="968"/>
      <c r="D139" s="968"/>
      <c r="E139" s="969">
        <f t="shared" si="29"/>
        <v>0</v>
      </c>
      <c r="F139" s="968"/>
      <c r="G139" s="968"/>
      <c r="H139" s="970">
        <f t="shared" si="17"/>
        <v>0</v>
      </c>
    </row>
    <row r="140" spans="1:8" x14ac:dyDescent="0.25">
      <c r="A140" s="966"/>
      <c r="B140" s="967" t="s">
        <v>690</v>
      </c>
      <c r="C140" s="968"/>
      <c r="D140" s="968"/>
      <c r="E140" s="969">
        <f t="shared" si="29"/>
        <v>0</v>
      </c>
      <c r="F140" s="968"/>
      <c r="G140" s="968"/>
      <c r="H140" s="970">
        <f t="shared" si="17"/>
        <v>0</v>
      </c>
    </row>
    <row r="141" spans="1:8" x14ac:dyDescent="0.25">
      <c r="A141" s="966"/>
      <c r="B141" s="967" t="s">
        <v>691</v>
      </c>
      <c r="C141" s="968"/>
      <c r="D141" s="968"/>
      <c r="E141" s="969">
        <f t="shared" si="29"/>
        <v>0</v>
      </c>
      <c r="F141" s="968"/>
      <c r="G141" s="968"/>
      <c r="H141" s="970">
        <f t="shared" si="17"/>
        <v>0</v>
      </c>
    </row>
    <row r="142" spans="1:8" x14ac:dyDescent="0.25">
      <c r="A142" s="966"/>
      <c r="B142" s="967" t="s">
        <v>692</v>
      </c>
      <c r="C142" s="968"/>
      <c r="D142" s="968"/>
      <c r="E142" s="969">
        <f t="shared" si="29"/>
        <v>0</v>
      </c>
      <c r="F142" s="968"/>
      <c r="G142" s="968"/>
      <c r="H142" s="970">
        <f t="shared" si="17"/>
        <v>0</v>
      </c>
    </row>
    <row r="143" spans="1:8" ht="15.75" thickBot="1" x14ac:dyDescent="0.3">
      <c r="A143" s="971"/>
      <c r="B143" s="972" t="s">
        <v>693</v>
      </c>
      <c r="C143" s="973"/>
      <c r="D143" s="973"/>
      <c r="E143" s="974">
        <f t="shared" si="29"/>
        <v>0</v>
      </c>
      <c r="F143" s="973"/>
      <c r="G143" s="973"/>
      <c r="H143" s="975">
        <f t="shared" si="17"/>
        <v>0</v>
      </c>
    </row>
    <row r="144" spans="1:8" x14ac:dyDescent="0.25">
      <c r="A144" s="966"/>
      <c r="B144" s="967" t="s">
        <v>694</v>
      </c>
      <c r="C144" s="968"/>
      <c r="D144" s="968"/>
      <c r="E144" s="969">
        <f t="shared" si="29"/>
        <v>0</v>
      </c>
      <c r="F144" s="968"/>
      <c r="G144" s="968"/>
      <c r="H144" s="970">
        <f t="shared" si="17"/>
        <v>0</v>
      </c>
    </row>
    <row r="145" spans="1:8" x14ac:dyDescent="0.25">
      <c r="A145" s="966"/>
      <c r="B145" s="967" t="s">
        <v>695</v>
      </c>
      <c r="C145" s="968"/>
      <c r="D145" s="968"/>
      <c r="E145" s="969">
        <f t="shared" si="29"/>
        <v>0</v>
      </c>
      <c r="F145" s="968"/>
      <c r="G145" s="968"/>
      <c r="H145" s="970">
        <f t="shared" si="17"/>
        <v>0</v>
      </c>
    </row>
    <row r="146" spans="1:8" x14ac:dyDescent="0.25">
      <c r="A146" s="1189" t="s">
        <v>696</v>
      </c>
      <c r="B146" s="1190"/>
      <c r="C146" s="976">
        <f>SUM(C147:C149)</f>
        <v>0</v>
      </c>
      <c r="D146" s="976">
        <f t="shared" ref="D146:H146" si="30">SUM(D147:D149)</f>
        <v>0</v>
      </c>
      <c r="E146" s="969">
        <f t="shared" si="30"/>
        <v>0</v>
      </c>
      <c r="F146" s="976">
        <f t="shared" si="30"/>
        <v>0</v>
      </c>
      <c r="G146" s="976">
        <f t="shared" si="30"/>
        <v>0</v>
      </c>
      <c r="H146" s="976">
        <f t="shared" si="30"/>
        <v>0</v>
      </c>
    </row>
    <row r="147" spans="1:8" x14ac:dyDescent="0.25">
      <c r="A147" s="966"/>
      <c r="B147" s="967" t="s">
        <v>697</v>
      </c>
      <c r="C147" s="968"/>
      <c r="D147" s="968"/>
      <c r="E147" s="969">
        <f t="shared" ref="E147:E149" si="31">C147+D147</f>
        <v>0</v>
      </c>
      <c r="F147" s="968"/>
      <c r="G147" s="968"/>
      <c r="H147" s="970">
        <f t="shared" si="17"/>
        <v>0</v>
      </c>
    </row>
    <row r="148" spans="1:8" x14ac:dyDescent="0.25">
      <c r="A148" s="966"/>
      <c r="B148" s="967" t="s">
        <v>698</v>
      </c>
      <c r="C148" s="968"/>
      <c r="D148" s="968"/>
      <c r="E148" s="969">
        <f t="shared" si="31"/>
        <v>0</v>
      </c>
      <c r="F148" s="968"/>
      <c r="G148" s="968"/>
      <c r="H148" s="970">
        <f t="shared" si="17"/>
        <v>0</v>
      </c>
    </row>
    <row r="149" spans="1:8" x14ac:dyDescent="0.25">
      <c r="A149" s="966"/>
      <c r="B149" s="967" t="s">
        <v>699</v>
      </c>
      <c r="C149" s="968"/>
      <c r="D149" s="968"/>
      <c r="E149" s="969">
        <f t="shared" si="31"/>
        <v>0</v>
      </c>
      <c r="F149" s="968"/>
      <c r="G149" s="968"/>
      <c r="H149" s="970">
        <f t="shared" si="17"/>
        <v>0</v>
      </c>
    </row>
    <row r="150" spans="1:8" x14ac:dyDescent="0.25">
      <c r="A150" s="1189" t="s">
        <v>700</v>
      </c>
      <c r="B150" s="1190"/>
      <c r="C150" s="976">
        <f>SUM(C151:C157)</f>
        <v>0</v>
      </c>
      <c r="D150" s="976">
        <f t="shared" ref="D150:H150" si="32">SUM(D151:D157)</f>
        <v>0</v>
      </c>
      <c r="E150" s="969">
        <f t="shared" si="32"/>
        <v>0</v>
      </c>
      <c r="F150" s="976">
        <f t="shared" si="32"/>
        <v>0</v>
      </c>
      <c r="G150" s="976">
        <f t="shared" si="32"/>
        <v>0</v>
      </c>
      <c r="H150" s="976">
        <f t="shared" si="32"/>
        <v>0</v>
      </c>
    </row>
    <row r="151" spans="1:8" x14ac:dyDescent="0.25">
      <c r="A151" s="966"/>
      <c r="B151" s="967" t="s">
        <v>701</v>
      </c>
      <c r="C151" s="968"/>
      <c r="D151" s="968"/>
      <c r="E151" s="969">
        <f t="shared" ref="E151:E158" si="33">C151+D151</f>
        <v>0</v>
      </c>
      <c r="F151" s="968"/>
      <c r="G151" s="968"/>
      <c r="H151" s="970">
        <f t="shared" ref="H151:H157" si="34">+E151-F151</f>
        <v>0</v>
      </c>
    </row>
    <row r="152" spans="1:8" x14ac:dyDescent="0.25">
      <c r="A152" s="966"/>
      <c r="B152" s="967" t="s">
        <v>702</v>
      </c>
      <c r="C152" s="968"/>
      <c r="D152" s="968"/>
      <c r="E152" s="969">
        <f t="shared" si="33"/>
        <v>0</v>
      </c>
      <c r="F152" s="968"/>
      <c r="G152" s="968"/>
      <c r="H152" s="970">
        <f t="shared" si="34"/>
        <v>0</v>
      </c>
    </row>
    <row r="153" spans="1:8" x14ac:dyDescent="0.25">
      <c r="A153" s="966"/>
      <c r="B153" s="967" t="s">
        <v>703</v>
      </c>
      <c r="C153" s="968"/>
      <c r="D153" s="968"/>
      <c r="E153" s="969">
        <f t="shared" si="33"/>
        <v>0</v>
      </c>
      <c r="F153" s="968"/>
      <c r="G153" s="968"/>
      <c r="H153" s="970">
        <f t="shared" si="34"/>
        <v>0</v>
      </c>
    </row>
    <row r="154" spans="1:8" x14ac:dyDescent="0.25">
      <c r="A154" s="966"/>
      <c r="B154" s="967" t="s">
        <v>704</v>
      </c>
      <c r="C154" s="968"/>
      <c r="D154" s="968"/>
      <c r="E154" s="969">
        <f t="shared" si="33"/>
        <v>0</v>
      </c>
      <c r="F154" s="968"/>
      <c r="G154" s="968"/>
      <c r="H154" s="970">
        <f t="shared" si="34"/>
        <v>0</v>
      </c>
    </row>
    <row r="155" spans="1:8" x14ac:dyDescent="0.25">
      <c r="A155" s="966"/>
      <c r="B155" s="967" t="s">
        <v>705</v>
      </c>
      <c r="C155" s="968"/>
      <c r="D155" s="968"/>
      <c r="E155" s="969">
        <f t="shared" si="33"/>
        <v>0</v>
      </c>
      <c r="F155" s="968"/>
      <c r="G155" s="968"/>
      <c r="H155" s="970">
        <f t="shared" si="34"/>
        <v>0</v>
      </c>
    </row>
    <row r="156" spans="1:8" x14ac:dyDescent="0.25">
      <c r="A156" s="966"/>
      <c r="B156" s="967" t="s">
        <v>706</v>
      </c>
      <c r="C156" s="968"/>
      <c r="D156" s="968"/>
      <c r="E156" s="969">
        <f t="shared" si="33"/>
        <v>0</v>
      </c>
      <c r="F156" s="968"/>
      <c r="G156" s="968"/>
      <c r="H156" s="970">
        <f t="shared" si="34"/>
        <v>0</v>
      </c>
    </row>
    <row r="157" spans="1:8" x14ac:dyDescent="0.25">
      <c r="A157" s="966"/>
      <c r="B157" s="967" t="s">
        <v>707</v>
      </c>
      <c r="C157" s="968"/>
      <c r="D157" s="968"/>
      <c r="E157" s="969">
        <f t="shared" si="33"/>
        <v>0</v>
      </c>
      <c r="F157" s="968"/>
      <c r="G157" s="968"/>
      <c r="H157" s="970">
        <f t="shared" si="34"/>
        <v>0</v>
      </c>
    </row>
    <row r="158" spans="1:8" x14ac:dyDescent="0.25">
      <c r="A158" s="966"/>
      <c r="B158" s="967"/>
      <c r="C158" s="976"/>
      <c r="D158" s="976"/>
      <c r="E158" s="969">
        <f t="shared" si="33"/>
        <v>0</v>
      </c>
      <c r="F158" s="976"/>
      <c r="G158" s="976"/>
      <c r="H158" s="970"/>
    </row>
    <row r="159" spans="1:8" x14ac:dyDescent="0.25">
      <c r="A159" s="1187" t="s">
        <v>709</v>
      </c>
      <c r="B159" s="1188"/>
      <c r="C159" s="964">
        <f>+C10+C84</f>
        <v>55323720.000000007</v>
      </c>
      <c r="D159" s="964">
        <f t="shared" ref="D159" si="35">+D10+D84</f>
        <v>6777868.4500000002</v>
      </c>
      <c r="E159" s="965">
        <f>+E10+E84</f>
        <v>62101588.450000003</v>
      </c>
      <c r="F159" s="964">
        <f>+F10+F84</f>
        <v>12515447.07</v>
      </c>
      <c r="G159" s="964">
        <f>+G10+G84</f>
        <v>12002988.42</v>
      </c>
      <c r="H159" s="964">
        <f>+H10+H84</f>
        <v>49586141.380000003</v>
      </c>
    </row>
    <row r="160" spans="1:8" ht="15.75" thickBot="1" x14ac:dyDescent="0.3">
      <c r="A160" s="971"/>
      <c r="B160" s="972"/>
      <c r="C160" s="978"/>
      <c r="D160" s="978"/>
      <c r="E160" s="978"/>
      <c r="F160" s="978"/>
      <c r="G160" s="978"/>
      <c r="H160" s="979"/>
    </row>
    <row r="162" spans="4:7" x14ac:dyDescent="0.25">
      <c r="D162" s="977"/>
      <c r="F162" s="977"/>
    </row>
    <row r="163" spans="4:7" x14ac:dyDescent="0.25">
      <c r="F163" s="977"/>
    </row>
    <row r="164" spans="4:7" x14ac:dyDescent="0.25">
      <c r="G164" s="977"/>
    </row>
  </sheetData>
  <sheetProtection formatColumns="0" formatRows="0"/>
  <mergeCells count="30">
    <mergeCell ref="A6:H6"/>
    <mergeCell ref="A1:H1"/>
    <mergeCell ref="A2:H2"/>
    <mergeCell ref="A3:H3"/>
    <mergeCell ref="A4:H4"/>
    <mergeCell ref="A5:H5"/>
    <mergeCell ref="A72:B72"/>
    <mergeCell ref="A7:B8"/>
    <mergeCell ref="C7:G7"/>
    <mergeCell ref="H7:H8"/>
    <mergeCell ref="A10:B10"/>
    <mergeCell ref="A11:B11"/>
    <mergeCell ref="A19:B19"/>
    <mergeCell ref="A29:B29"/>
    <mergeCell ref="A39:B39"/>
    <mergeCell ref="A49:B49"/>
    <mergeCell ref="A59:B59"/>
    <mergeCell ref="A63:B63"/>
    <mergeCell ref="A159:B159"/>
    <mergeCell ref="A76:B76"/>
    <mergeCell ref="A84:B84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</mergeCells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43" zoomScale="120" zoomScaleNormal="120" workbookViewId="0">
      <selection activeCell="C51" sqref="C51"/>
    </sheetView>
  </sheetViews>
  <sheetFormatPr baseColWidth="10" defaultRowHeight="15" x14ac:dyDescent="0.25"/>
  <cols>
    <col min="3" max="3" width="68.42578125" customWidth="1"/>
  </cols>
  <sheetData>
    <row r="1" spans="1:3" s="3" customFormat="1" ht="27.75" customHeight="1" x14ac:dyDescent="0.4">
      <c r="A1" s="686"/>
      <c r="B1" s="37" t="s">
        <v>0</v>
      </c>
      <c r="C1" s="686"/>
    </row>
    <row r="2" spans="1:3" s="3" customFormat="1" ht="4.5" customHeight="1" x14ac:dyDescent="0.3">
      <c r="A2" s="686"/>
      <c r="B2" s="686"/>
      <c r="C2" s="686"/>
    </row>
    <row r="3" spans="1:3" s="3" customFormat="1" ht="19.5" customHeight="1" thickBot="1" x14ac:dyDescent="0.35">
      <c r="A3" s="39" t="s">
        <v>1080</v>
      </c>
      <c r="B3" s="38"/>
      <c r="C3" s="38"/>
    </row>
    <row r="4" spans="1:3" ht="17.25" customHeight="1" thickBot="1" x14ac:dyDescent="0.3">
      <c r="A4" s="1043" t="s">
        <v>1023</v>
      </c>
      <c r="B4" s="1044"/>
      <c r="C4" s="1045"/>
    </row>
    <row r="5" spans="1:3" ht="17.25" customHeight="1" thickBot="1" x14ac:dyDescent="0.3">
      <c r="A5" s="687">
        <v>1</v>
      </c>
      <c r="B5" s="688" t="s">
        <v>1024</v>
      </c>
      <c r="C5" s="688" t="s">
        <v>26</v>
      </c>
    </row>
    <row r="6" spans="1:3" ht="17.25" customHeight="1" thickBot="1" x14ac:dyDescent="0.3">
      <c r="A6" s="689">
        <v>2</v>
      </c>
      <c r="B6" s="690" t="s">
        <v>1025</v>
      </c>
      <c r="C6" s="690" t="s">
        <v>1026</v>
      </c>
    </row>
    <row r="7" spans="1:3" ht="17.25" customHeight="1" thickBot="1" x14ac:dyDescent="0.3">
      <c r="A7" s="687">
        <v>3</v>
      </c>
      <c r="B7" s="688" t="s">
        <v>1027</v>
      </c>
      <c r="C7" s="688" t="s">
        <v>1</v>
      </c>
    </row>
    <row r="8" spans="1:3" ht="17.25" customHeight="1" thickBot="1" x14ac:dyDescent="0.3">
      <c r="A8" s="687">
        <v>4</v>
      </c>
      <c r="B8" s="688" t="s">
        <v>1028</v>
      </c>
      <c r="C8" s="688" t="s">
        <v>2</v>
      </c>
    </row>
    <row r="9" spans="1:3" ht="17.25" customHeight="1" thickBot="1" x14ac:dyDescent="0.3">
      <c r="A9" s="687">
        <v>5</v>
      </c>
      <c r="B9" s="688" t="s">
        <v>1029</v>
      </c>
      <c r="C9" s="688" t="s">
        <v>3</v>
      </c>
    </row>
    <row r="10" spans="1:3" ht="17.25" customHeight="1" thickBot="1" x14ac:dyDescent="0.3">
      <c r="A10" s="687">
        <v>6</v>
      </c>
      <c r="B10" s="688" t="s">
        <v>1030</v>
      </c>
      <c r="C10" s="688" t="s">
        <v>4</v>
      </c>
    </row>
    <row r="11" spans="1:3" ht="17.25" customHeight="1" thickBot="1" x14ac:dyDescent="0.3">
      <c r="A11" s="687">
        <v>7</v>
      </c>
      <c r="B11" s="688" t="s">
        <v>1031</v>
      </c>
      <c r="C11" s="688" t="s">
        <v>5</v>
      </c>
    </row>
    <row r="12" spans="1:3" ht="17.25" customHeight="1" thickBot="1" x14ac:dyDescent="0.3">
      <c r="A12" s="687">
        <v>8</v>
      </c>
      <c r="B12" s="688" t="s">
        <v>1032</v>
      </c>
      <c r="C12" s="688" t="s">
        <v>6</v>
      </c>
    </row>
    <row r="13" spans="1:3" ht="17.25" customHeight="1" thickBot="1" x14ac:dyDescent="0.3">
      <c r="A13" s="689">
        <v>9</v>
      </c>
      <c r="B13" s="690" t="s">
        <v>1033</v>
      </c>
      <c r="C13" s="690" t="s">
        <v>7</v>
      </c>
    </row>
    <row r="14" spans="1:3" ht="17.25" customHeight="1" thickBot="1" x14ac:dyDescent="0.3">
      <c r="A14" s="689">
        <v>10</v>
      </c>
      <c r="B14" s="690" t="s">
        <v>1034</v>
      </c>
      <c r="C14" s="690" t="s">
        <v>1035</v>
      </c>
    </row>
    <row r="15" spans="1:3" ht="17.25" customHeight="1" thickBot="1" x14ac:dyDescent="0.3">
      <c r="A15" s="687">
        <v>11</v>
      </c>
      <c r="B15" s="688" t="s">
        <v>1036</v>
      </c>
      <c r="C15" s="688" t="s">
        <v>8</v>
      </c>
    </row>
    <row r="16" spans="1:3" ht="17.25" customHeight="1" thickBot="1" x14ac:dyDescent="0.3">
      <c r="A16" s="687">
        <v>13</v>
      </c>
      <c r="B16" s="688" t="s">
        <v>1037</v>
      </c>
      <c r="C16" s="688" t="s">
        <v>9</v>
      </c>
    </row>
    <row r="17" spans="1:3" ht="17.25" customHeight="1" thickBot="1" x14ac:dyDescent="0.3">
      <c r="A17" s="1043" t="s">
        <v>10</v>
      </c>
      <c r="B17" s="1044"/>
      <c r="C17" s="1045"/>
    </row>
    <row r="18" spans="1:3" ht="17.25" customHeight="1" thickBot="1" x14ac:dyDescent="0.3">
      <c r="A18" s="687">
        <v>14</v>
      </c>
      <c r="B18" s="688" t="s">
        <v>1038</v>
      </c>
      <c r="C18" s="688" t="s">
        <v>11</v>
      </c>
    </row>
    <row r="19" spans="1:3" ht="17.25" customHeight="1" thickBot="1" x14ac:dyDescent="0.3">
      <c r="A19" s="689">
        <v>15</v>
      </c>
      <c r="B19" s="690" t="s">
        <v>1039</v>
      </c>
      <c r="C19" s="690" t="s">
        <v>1040</v>
      </c>
    </row>
    <row r="20" spans="1:3" ht="17.25" customHeight="1" thickBot="1" x14ac:dyDescent="0.3">
      <c r="A20" s="687">
        <v>16</v>
      </c>
      <c r="B20" s="688" t="s">
        <v>1041</v>
      </c>
      <c r="C20" s="688" t="s">
        <v>1042</v>
      </c>
    </row>
    <row r="21" spans="1:3" ht="17.25" customHeight="1" thickBot="1" x14ac:dyDescent="0.3">
      <c r="A21" s="687">
        <v>17</v>
      </c>
      <c r="B21" s="688" t="s">
        <v>1043</v>
      </c>
      <c r="C21" s="688" t="s">
        <v>565</v>
      </c>
    </row>
    <row r="22" spans="1:3" ht="17.25" customHeight="1" x14ac:dyDescent="0.25">
      <c r="A22" s="1041">
        <v>18</v>
      </c>
      <c r="B22" s="1041" t="s">
        <v>1044</v>
      </c>
      <c r="C22" s="691" t="s">
        <v>1045</v>
      </c>
    </row>
    <row r="23" spans="1:3" ht="17.25" customHeight="1" thickBot="1" x14ac:dyDescent="0.3">
      <c r="A23" s="1042"/>
      <c r="B23" s="1042"/>
      <c r="C23" s="690" t="s">
        <v>1046</v>
      </c>
    </row>
    <row r="24" spans="1:3" ht="17.25" customHeight="1" x14ac:dyDescent="0.25">
      <c r="A24" s="1046">
        <v>19</v>
      </c>
      <c r="B24" s="1046" t="s">
        <v>1047</v>
      </c>
      <c r="C24" s="692" t="s">
        <v>565</v>
      </c>
    </row>
    <row r="25" spans="1:3" ht="17.25" customHeight="1" thickBot="1" x14ac:dyDescent="0.3">
      <c r="A25" s="1047"/>
      <c r="B25" s="1047"/>
      <c r="C25" s="688" t="s">
        <v>1048</v>
      </c>
    </row>
    <row r="26" spans="1:3" ht="17.25" customHeight="1" x14ac:dyDescent="0.25">
      <c r="A26" s="1046">
        <v>20</v>
      </c>
      <c r="B26" s="1046" t="s">
        <v>1049</v>
      </c>
      <c r="C26" s="692" t="s">
        <v>565</v>
      </c>
    </row>
    <row r="27" spans="1:3" ht="17.25" customHeight="1" thickBot="1" x14ac:dyDescent="0.3">
      <c r="A27" s="1047"/>
      <c r="B27" s="1047"/>
      <c r="C27" s="688" t="s">
        <v>1050</v>
      </c>
    </row>
    <row r="28" spans="1:3" ht="17.25" customHeight="1" thickBot="1" x14ac:dyDescent="0.3">
      <c r="A28" s="689">
        <v>21</v>
      </c>
      <c r="B28" s="690" t="s">
        <v>1051</v>
      </c>
      <c r="C28" s="690" t="s">
        <v>12</v>
      </c>
    </row>
    <row r="29" spans="1:3" ht="17.25" customHeight="1" x14ac:dyDescent="0.25">
      <c r="A29" s="1046">
        <v>22</v>
      </c>
      <c r="B29" s="1046" t="s">
        <v>1052</v>
      </c>
      <c r="C29" s="692" t="s">
        <v>565</v>
      </c>
    </row>
    <row r="30" spans="1:3" ht="17.25" customHeight="1" thickBot="1" x14ac:dyDescent="0.3">
      <c r="A30" s="1047"/>
      <c r="B30" s="1047"/>
      <c r="C30" s="688" t="s">
        <v>1053</v>
      </c>
    </row>
    <row r="31" spans="1:3" ht="17.25" customHeight="1" x14ac:dyDescent="0.25">
      <c r="A31" s="1046">
        <v>23</v>
      </c>
      <c r="B31" s="1046" t="s">
        <v>1054</v>
      </c>
      <c r="C31" s="692" t="s">
        <v>565</v>
      </c>
    </row>
    <row r="32" spans="1:3" ht="17.25" customHeight="1" thickBot="1" x14ac:dyDescent="0.3">
      <c r="A32" s="1047"/>
      <c r="B32" s="1047"/>
      <c r="C32" s="688" t="s">
        <v>1055</v>
      </c>
    </row>
    <row r="33" spans="1:3" ht="17.25" customHeight="1" x14ac:dyDescent="0.25">
      <c r="A33" s="1046">
        <v>24</v>
      </c>
      <c r="B33" s="1046" t="s">
        <v>1056</v>
      </c>
      <c r="C33" s="692" t="s">
        <v>565</v>
      </c>
    </row>
    <row r="34" spans="1:3" ht="17.25" customHeight="1" thickBot="1" x14ac:dyDescent="0.3">
      <c r="A34" s="1047"/>
      <c r="B34" s="1047"/>
      <c r="C34" s="688" t="s">
        <v>750</v>
      </c>
    </row>
    <row r="35" spans="1:3" ht="17.25" customHeight="1" x14ac:dyDescent="0.25">
      <c r="A35" s="1041">
        <v>25</v>
      </c>
      <c r="B35" s="1041" t="s">
        <v>1057</v>
      </c>
      <c r="C35" s="691" t="s">
        <v>1058</v>
      </c>
    </row>
    <row r="36" spans="1:3" ht="17.25" customHeight="1" thickBot="1" x14ac:dyDescent="0.3">
      <c r="A36" s="1042"/>
      <c r="B36" s="1042"/>
      <c r="C36" s="690" t="s">
        <v>750</v>
      </c>
    </row>
    <row r="37" spans="1:3" ht="17.25" customHeight="1" x14ac:dyDescent="0.25">
      <c r="A37" s="1046">
        <v>26</v>
      </c>
      <c r="B37" s="1046" t="s">
        <v>1059</v>
      </c>
      <c r="C37" s="692" t="s">
        <v>565</v>
      </c>
    </row>
    <row r="38" spans="1:3" ht="17.25" customHeight="1" thickBot="1" x14ac:dyDescent="0.3">
      <c r="A38" s="1047"/>
      <c r="B38" s="1047"/>
      <c r="C38" s="688" t="s">
        <v>816</v>
      </c>
    </row>
    <row r="39" spans="1:3" ht="17.25" customHeight="1" x14ac:dyDescent="0.25">
      <c r="A39" s="1041">
        <v>27</v>
      </c>
      <c r="B39" s="1041" t="s">
        <v>1060</v>
      </c>
      <c r="C39" s="691" t="s">
        <v>1061</v>
      </c>
    </row>
    <row r="40" spans="1:3" ht="17.25" customHeight="1" thickBot="1" x14ac:dyDescent="0.3">
      <c r="A40" s="1042"/>
      <c r="B40" s="1042"/>
      <c r="C40" s="690" t="s">
        <v>844</v>
      </c>
    </row>
    <row r="41" spans="1:3" ht="17.25" customHeight="1" thickBot="1" x14ac:dyDescent="0.3">
      <c r="A41" s="687">
        <v>28</v>
      </c>
      <c r="B41" s="688" t="s">
        <v>1062</v>
      </c>
      <c r="C41" s="688" t="s">
        <v>1063</v>
      </c>
    </row>
    <row r="42" spans="1:3" ht="17.25" customHeight="1" thickBot="1" x14ac:dyDescent="0.3">
      <c r="A42" s="687">
        <v>29</v>
      </c>
      <c r="B42" s="688" t="s">
        <v>1064</v>
      </c>
      <c r="C42" s="688" t="s">
        <v>14</v>
      </c>
    </row>
    <row r="43" spans="1:3" ht="17.25" customHeight="1" thickBot="1" x14ac:dyDescent="0.3">
      <c r="A43" s="687">
        <v>30</v>
      </c>
      <c r="B43" s="688" t="s">
        <v>1065</v>
      </c>
      <c r="C43" s="688" t="s">
        <v>1066</v>
      </c>
    </row>
    <row r="44" spans="1:3" ht="17.25" customHeight="1" thickBot="1" x14ac:dyDescent="0.3">
      <c r="A44" s="1043" t="s">
        <v>15</v>
      </c>
      <c r="B44" s="1044"/>
      <c r="C44" s="1045"/>
    </row>
    <row r="45" spans="1:3" ht="17.25" customHeight="1" thickBot="1" x14ac:dyDescent="0.3">
      <c r="A45" s="687">
        <v>31</v>
      </c>
      <c r="B45" s="688" t="s">
        <v>1067</v>
      </c>
      <c r="C45" s="688" t="s">
        <v>16</v>
      </c>
    </row>
    <row r="46" spans="1:3" ht="17.25" customHeight="1" thickBot="1" x14ac:dyDescent="0.3">
      <c r="A46" s="687">
        <v>32</v>
      </c>
      <c r="B46" s="688" t="s">
        <v>1068</v>
      </c>
      <c r="C46" s="688" t="s">
        <v>1069</v>
      </c>
    </row>
    <row r="47" spans="1:3" ht="17.25" customHeight="1" thickBot="1" x14ac:dyDescent="0.3">
      <c r="A47" s="687">
        <v>33</v>
      </c>
      <c r="B47" s="688" t="s">
        <v>1070</v>
      </c>
      <c r="C47" s="688" t="s">
        <v>17</v>
      </c>
    </row>
    <row r="48" spans="1:3" ht="17.25" customHeight="1" thickBot="1" x14ac:dyDescent="0.3">
      <c r="A48" s="687">
        <v>34</v>
      </c>
      <c r="B48" s="688" t="s">
        <v>1071</v>
      </c>
      <c r="C48" s="688" t="s">
        <v>1072</v>
      </c>
    </row>
    <row r="49" spans="1:3" ht="17.25" customHeight="1" thickBot="1" x14ac:dyDescent="0.3">
      <c r="A49" s="689">
        <v>35</v>
      </c>
      <c r="B49" s="690" t="s">
        <v>1073</v>
      </c>
      <c r="C49" s="690" t="s">
        <v>1022</v>
      </c>
    </row>
    <row r="50" spans="1:3" ht="17.25" customHeight="1" thickBot="1" x14ac:dyDescent="0.3">
      <c r="A50" s="1043" t="s">
        <v>1074</v>
      </c>
      <c r="B50" s="1044"/>
      <c r="C50" s="1045"/>
    </row>
    <row r="51" spans="1:3" ht="17.25" customHeight="1" thickBot="1" x14ac:dyDescent="0.3">
      <c r="A51" s="687">
        <v>36</v>
      </c>
      <c r="B51" s="688" t="s">
        <v>1075</v>
      </c>
      <c r="C51" s="688" t="s">
        <v>18</v>
      </c>
    </row>
    <row r="52" spans="1:3" ht="17.25" customHeight="1" thickBot="1" x14ac:dyDescent="0.3">
      <c r="A52" s="689">
        <v>27</v>
      </c>
      <c r="B52" s="690" t="s">
        <v>1076</v>
      </c>
      <c r="C52" s="690" t="s">
        <v>19</v>
      </c>
    </row>
    <row r="53" spans="1:3" ht="17.25" customHeight="1" thickBot="1" x14ac:dyDescent="0.3">
      <c r="A53" s="687">
        <v>38</v>
      </c>
      <c r="B53" s="688" t="s">
        <v>1077</v>
      </c>
      <c r="C53" s="688" t="s">
        <v>20</v>
      </c>
    </row>
    <row r="54" spans="1:3" ht="17.25" customHeight="1" thickBot="1" x14ac:dyDescent="0.3">
      <c r="A54" s="687">
        <v>39</v>
      </c>
      <c r="B54" s="688" t="s">
        <v>1078</v>
      </c>
      <c r="C54" s="688" t="s">
        <v>21</v>
      </c>
    </row>
    <row r="55" spans="1:3" ht="17.25" customHeight="1" thickBot="1" x14ac:dyDescent="0.3">
      <c r="A55" s="687">
        <v>40</v>
      </c>
      <c r="B55" s="688" t="s">
        <v>1079</v>
      </c>
      <c r="C55" s="688" t="s">
        <v>22</v>
      </c>
    </row>
    <row r="56" spans="1:3" ht="17.25" customHeight="1" thickBot="1" x14ac:dyDescent="0.3">
      <c r="A56" s="687">
        <v>41</v>
      </c>
      <c r="B56" s="688" t="s">
        <v>23</v>
      </c>
      <c r="C56" s="688" t="s">
        <v>24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" right="0.7" top="0.75" bottom="0.75" header="0.3" footer="0.3"/>
  <pageSetup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J11" sqref="J11"/>
    </sheetView>
  </sheetViews>
  <sheetFormatPr baseColWidth="10" defaultColWidth="11.28515625" defaultRowHeight="16.5" x14ac:dyDescent="0.25"/>
  <cols>
    <col min="1" max="1" width="36.7109375" style="258" customWidth="1"/>
    <col min="2" max="2" width="13.7109375" style="258" customWidth="1"/>
    <col min="3" max="3" width="12" style="258" customWidth="1"/>
    <col min="4" max="4" width="13" style="258" customWidth="1"/>
    <col min="5" max="5" width="13.7109375" style="258" customWidth="1"/>
    <col min="6" max="6" width="15.7109375" style="258" customWidth="1"/>
    <col min="7" max="7" width="12.140625" style="258" customWidth="1"/>
    <col min="8" max="8" width="11.28515625" style="258"/>
    <col min="9" max="9" width="12.28515625" style="258" bestFit="1" customWidth="1"/>
    <col min="10" max="16384" width="11.28515625" style="258"/>
  </cols>
  <sheetData>
    <row r="1" spans="1:9" x14ac:dyDescent="0.25">
      <c r="A1" s="1067" t="s">
        <v>25</v>
      </c>
      <c r="B1" s="1067"/>
      <c r="C1" s="1067"/>
      <c r="D1" s="1067"/>
      <c r="E1" s="1067"/>
      <c r="F1" s="1067"/>
      <c r="G1" s="1067"/>
    </row>
    <row r="2" spans="1:9" s="259" customFormat="1" ht="15.75" x14ac:dyDescent="0.25">
      <c r="A2" s="1067" t="s">
        <v>565</v>
      </c>
      <c r="B2" s="1067"/>
      <c r="C2" s="1067"/>
      <c r="D2" s="1067"/>
      <c r="E2" s="1067"/>
      <c r="F2" s="1067"/>
      <c r="G2" s="1067"/>
    </row>
    <row r="3" spans="1:9" s="259" customFormat="1" ht="15.75" x14ac:dyDescent="0.25">
      <c r="A3" s="1067" t="s">
        <v>710</v>
      </c>
      <c r="B3" s="1067"/>
      <c r="C3" s="1067"/>
      <c r="D3" s="1067"/>
      <c r="E3" s="1067"/>
      <c r="F3" s="1067"/>
      <c r="G3" s="1067"/>
    </row>
    <row r="4" spans="1:9" s="259" customFormat="1" ht="15.75" x14ac:dyDescent="0.25">
      <c r="A4" s="1068" t="str">
        <f>'ETCA-I-01'!A3:G3</f>
        <v>Centro de Evaluacion y Control de Confianza del Estado de Sonora</v>
      </c>
      <c r="B4" s="1068"/>
      <c r="C4" s="1068"/>
      <c r="D4" s="1068"/>
      <c r="E4" s="1068"/>
      <c r="F4" s="1068"/>
      <c r="G4" s="1068"/>
    </row>
    <row r="5" spans="1:9" s="259" customFormat="1" x14ac:dyDescent="0.25">
      <c r="A5" s="1069" t="str">
        <f>'ETCA-I-03'!A4:D4</f>
        <v>Del 01 de Enero  al 31 de Marzo de 2018</v>
      </c>
      <c r="B5" s="1069"/>
      <c r="C5" s="1069"/>
      <c r="D5" s="1069"/>
      <c r="E5" s="1069"/>
      <c r="F5" s="1069"/>
      <c r="G5" s="1069"/>
    </row>
    <row r="6" spans="1:9" s="260" customFormat="1" ht="17.25" thickBot="1" x14ac:dyDescent="0.3">
      <c r="A6" s="1186" t="s">
        <v>711</v>
      </c>
      <c r="B6" s="1186"/>
      <c r="C6" s="1186"/>
      <c r="D6" s="1186"/>
      <c r="E6" s="1186"/>
      <c r="F6" s="143"/>
      <c r="G6" s="944"/>
    </row>
    <row r="7" spans="1:9" s="261" customFormat="1" ht="38.25" x14ac:dyDescent="0.25">
      <c r="A7" s="1131" t="s">
        <v>261</v>
      </c>
      <c r="B7" s="175" t="s">
        <v>569</v>
      </c>
      <c r="C7" s="175" t="s">
        <v>479</v>
      </c>
      <c r="D7" s="175" t="s">
        <v>570</v>
      </c>
      <c r="E7" s="175" t="s">
        <v>571</v>
      </c>
      <c r="F7" s="175" t="s">
        <v>572</v>
      </c>
      <c r="G7" s="176" t="s">
        <v>573</v>
      </c>
    </row>
    <row r="8" spans="1:9" s="262" customFormat="1" ht="15.75" customHeight="1" thickBot="1" x14ac:dyDescent="0.3">
      <c r="A8" s="1133"/>
      <c r="B8" s="178" t="s">
        <v>444</v>
      </c>
      <c r="C8" s="178" t="s">
        <v>445</v>
      </c>
      <c r="D8" s="178" t="s">
        <v>574</v>
      </c>
      <c r="E8" s="178" t="s">
        <v>447</v>
      </c>
      <c r="F8" s="178" t="s">
        <v>448</v>
      </c>
      <c r="G8" s="179" t="s">
        <v>575</v>
      </c>
    </row>
    <row r="9" spans="1:9" ht="21.75" customHeight="1" x14ac:dyDescent="0.25">
      <c r="A9" s="267" t="s">
        <v>712</v>
      </c>
      <c r="B9" s="737">
        <f>'ETCA II-04'!B9+'ETCA II-04'!B17+'ETCA II-04'!B27</f>
        <v>55323720.000000007</v>
      </c>
      <c r="C9" s="737">
        <f>'ETCA II-04'!C17+'ETCA II-04'!C27</f>
        <v>4785104.45</v>
      </c>
      <c r="D9" s="738">
        <f>C9+B9</f>
        <v>60108824.45000001</v>
      </c>
      <c r="E9" s="737">
        <f>'ETCA II-04'!E9+'ETCA II-04'!E17+'ETCA II-04'!E27</f>
        <v>12491569.42</v>
      </c>
      <c r="F9" s="737">
        <f>'ETCA II-04'!F9+'ETCA II-04'!F17+'ETCA II-04'!F27</f>
        <v>11979110.77</v>
      </c>
      <c r="G9" s="739">
        <f>D9-E9</f>
        <v>47617255.030000009</v>
      </c>
      <c r="H9" s="928"/>
    </row>
    <row r="10" spans="1:9" ht="22.5" customHeight="1" x14ac:dyDescent="0.25">
      <c r="A10" s="267" t="s">
        <v>713</v>
      </c>
      <c r="B10" s="737">
        <f>'ETCA II-04'!B47</f>
        <v>0</v>
      </c>
      <c r="C10" s="737">
        <f>'ETCA II-04'!C47</f>
        <v>1992764</v>
      </c>
      <c r="D10" s="738">
        <f>C10+B10</f>
        <v>1992764</v>
      </c>
      <c r="E10" s="737">
        <f>'ETCA II-04'!E47</f>
        <v>23877.65</v>
      </c>
      <c r="F10" s="737">
        <f>E10</f>
        <v>23877.65</v>
      </c>
      <c r="G10" s="739">
        <f>D10-E10</f>
        <v>1968886.35</v>
      </c>
      <c r="H10" s="928"/>
      <c r="I10" s="928"/>
    </row>
    <row r="11" spans="1:9" ht="22.5" customHeight="1" x14ac:dyDescent="0.25">
      <c r="A11" s="267" t="s">
        <v>714</v>
      </c>
      <c r="B11" s="737">
        <v>0</v>
      </c>
      <c r="C11" s="737"/>
      <c r="D11" s="738">
        <f>C11+B11</f>
        <v>0</v>
      </c>
      <c r="E11" s="737"/>
      <c r="F11" s="737"/>
      <c r="G11" s="739">
        <f>D11-E11</f>
        <v>0</v>
      </c>
      <c r="I11" s="928"/>
    </row>
    <row r="12" spans="1:9" ht="23.25" customHeight="1" x14ac:dyDescent="0.25">
      <c r="A12" s="267" t="s">
        <v>232</v>
      </c>
      <c r="B12" s="737"/>
      <c r="C12" s="737"/>
      <c r="D12" s="738">
        <f>C12+B12</f>
        <v>0</v>
      </c>
      <c r="E12" s="737"/>
      <c r="F12" s="737"/>
      <c r="G12" s="739">
        <f>D12-E12</f>
        <v>0</v>
      </c>
    </row>
    <row r="13" spans="1:9" ht="22.5" customHeight="1" x14ac:dyDescent="0.25">
      <c r="A13" s="267" t="s">
        <v>238</v>
      </c>
      <c r="B13" s="737"/>
      <c r="C13" s="737"/>
      <c r="D13" s="738">
        <f>C13+B13</f>
        <v>0</v>
      </c>
      <c r="E13" s="737"/>
      <c r="F13" s="737"/>
      <c r="G13" s="739">
        <f>D13-E13</f>
        <v>0</v>
      </c>
      <c r="I13" s="929"/>
    </row>
    <row r="14" spans="1:9" ht="10.5" customHeight="1" thickBot="1" x14ac:dyDescent="0.3">
      <c r="A14" s="268"/>
      <c r="B14" s="740"/>
      <c r="C14" s="740"/>
      <c r="D14" s="741"/>
      <c r="E14" s="740"/>
      <c r="F14" s="740"/>
      <c r="G14" s="742"/>
    </row>
    <row r="15" spans="1:9" ht="16.5" customHeight="1" thickBot="1" x14ac:dyDescent="0.3">
      <c r="A15" s="947" t="s">
        <v>625</v>
      </c>
      <c r="B15" s="743">
        <f>SUM(B9:B14)</f>
        <v>55323720.000000007</v>
      </c>
      <c r="C15" s="743">
        <f>SUM(C9:C14)</f>
        <v>6777868.4500000002</v>
      </c>
      <c r="D15" s="744">
        <f>C15+B15</f>
        <v>62101588.45000001</v>
      </c>
      <c r="E15" s="743">
        <f>SUM(E9:E14)</f>
        <v>12515447.07</v>
      </c>
      <c r="F15" s="743">
        <f>SUM(F9:F14)</f>
        <v>12002988.42</v>
      </c>
      <c r="G15" s="745">
        <f>D15-E15</f>
        <v>49586141.38000001</v>
      </c>
      <c r="H15" s="441" t="str">
        <f>IF((B15-'ETCA II-04'!B81)&gt;0.9,"ERROR!!!!! EL MONTO NO COINCIDE CON LO REPORTADO EN EL FORMATO ETCA-II-04 EN EL TOTAL APROBADO ANUAL DEL ANALÍTICO DE EGRESOS","")</f>
        <v/>
      </c>
      <c r="I15" s="929"/>
    </row>
    <row r="16" spans="1:9" ht="16.5" customHeight="1" x14ac:dyDescent="0.25">
      <c r="A16" s="424"/>
      <c r="B16" s="926"/>
      <c r="C16" s="926"/>
      <c r="D16" s="927"/>
      <c r="E16" s="926"/>
      <c r="F16" s="926"/>
      <c r="G16" s="926"/>
      <c r="H16" s="441"/>
      <c r="I16" s="929"/>
    </row>
    <row r="17" spans="1:8" ht="16.5" customHeight="1" x14ac:dyDescent="0.25">
      <c r="A17" s="424"/>
      <c r="B17" s="483"/>
      <c r="C17" s="483"/>
      <c r="D17" s="484"/>
      <c r="E17" s="483"/>
      <c r="F17" s="483"/>
      <c r="G17" s="483"/>
      <c r="H17" s="441"/>
    </row>
    <row r="18" spans="1:8" ht="16.5" customHeight="1" x14ac:dyDescent="0.25">
      <c r="A18" s="424"/>
      <c r="B18" s="483"/>
      <c r="C18" s="483"/>
      <c r="D18" s="484"/>
      <c r="E18" s="483"/>
      <c r="F18" s="483"/>
      <c r="G18" s="483"/>
      <c r="H18" s="441"/>
    </row>
    <row r="19" spans="1:8" ht="16.5" customHeight="1" x14ac:dyDescent="0.25">
      <c r="A19" s="424"/>
      <c r="B19" s="483"/>
      <c r="C19" s="483"/>
      <c r="D19" s="484"/>
      <c r="E19" s="483"/>
      <c r="F19" s="483"/>
      <c r="G19" s="483"/>
      <c r="H19" s="441"/>
    </row>
    <row r="20" spans="1:8" ht="16.5" customHeight="1" x14ac:dyDescent="0.25">
      <c r="A20" s="424"/>
      <c r="B20" s="483"/>
      <c r="C20" s="483"/>
      <c r="D20" s="484"/>
      <c r="E20" s="483"/>
      <c r="F20" s="483"/>
      <c r="G20" s="483"/>
      <c r="H20" s="441"/>
    </row>
    <row r="21" spans="1:8" ht="16.5" customHeight="1" x14ac:dyDescent="0.25">
      <c r="A21" s="424"/>
      <c r="B21" s="483"/>
      <c r="C21" s="483"/>
      <c r="D21" s="484"/>
      <c r="E21" s="483"/>
      <c r="F21" s="483"/>
      <c r="G21" s="483"/>
      <c r="H21" s="441"/>
    </row>
    <row r="22" spans="1:8" ht="16.5" customHeight="1" x14ac:dyDescent="0.25">
      <c r="A22" s="424"/>
      <c r="B22" s="483"/>
      <c r="C22" s="483"/>
      <c r="D22" s="484"/>
      <c r="E22" s="483"/>
      <c r="F22" s="483"/>
      <c r="G22" s="483"/>
      <c r="H22" s="441"/>
    </row>
    <row r="23" spans="1:8" ht="16.5" customHeight="1" x14ac:dyDescent="0.25">
      <c r="A23" s="424"/>
      <c r="B23" s="483"/>
      <c r="C23" s="483"/>
      <c r="D23" s="484"/>
      <c r="E23" s="483"/>
      <c r="F23" s="483"/>
      <c r="G23" s="483"/>
      <c r="H23" s="441"/>
    </row>
    <row r="24" spans="1:8" ht="16.5" customHeight="1" x14ac:dyDescent="0.25">
      <c r="A24" s="424"/>
      <c r="B24" s="483"/>
      <c r="C24" s="483"/>
      <c r="D24" s="484"/>
      <c r="E24" s="483"/>
      <c r="F24" s="483"/>
      <c r="G24" s="483"/>
      <c r="H24" s="441"/>
    </row>
    <row r="25" spans="1:8" ht="16.5" customHeight="1" x14ac:dyDescent="0.25">
      <c r="A25" s="424"/>
      <c r="B25" s="483"/>
      <c r="C25" s="483"/>
      <c r="D25" s="484"/>
      <c r="E25" s="483"/>
      <c r="F25" s="483"/>
      <c r="G25" s="483"/>
      <c r="H25" s="441"/>
    </row>
    <row r="26" spans="1:8" ht="18.75" customHeight="1" x14ac:dyDescent="0.25">
      <c r="H26" s="441" t="str">
        <f>IF(C15&lt;&gt;'ETCA II-04'!C81,"ERROR!!!!! EL MONTO NO COINCIDE CON LO REPORTADO EN EL FORMATO ETCA-II-11 EN EL TOTAL DE AMPLIACIONES/REDUCCIONES DEL ANALÍTICO DE EGRESOS","")</f>
        <v/>
      </c>
    </row>
    <row r="27" spans="1:8" s="264" customFormat="1" ht="15.75" x14ac:dyDescent="0.25">
      <c r="A27" s="1212" t="s">
        <v>715</v>
      </c>
      <c r="B27" s="1212"/>
      <c r="C27" s="1212"/>
      <c r="D27" s="1212"/>
      <c r="E27" s="1212"/>
      <c r="F27" s="1212"/>
      <c r="G27" s="263"/>
      <c r="H27" s="441" t="str">
        <f>IF(D15&lt;&gt;'ETCA II-04'!D81,"ERROR!!!!! EL MONTO NO COINCIDE CON LO REPORTADO EN EL FORMATO ETCA-II-11 EN EL TOTAL MODIFICADO ANUAL DEL ANALÍTICO DE EGRESOS","")</f>
        <v/>
      </c>
    </row>
    <row r="28" spans="1:8" s="264" customFormat="1" ht="13.5" x14ac:dyDescent="0.25">
      <c r="A28" s="265" t="s">
        <v>716</v>
      </c>
      <c r="B28" s="263"/>
      <c r="C28" s="263"/>
      <c r="D28" s="263"/>
      <c r="E28" s="263"/>
      <c r="F28" s="263"/>
      <c r="G28" s="263"/>
      <c r="H28" s="441"/>
    </row>
    <row r="29" spans="1:8" s="264" customFormat="1" ht="28.5" customHeight="1" x14ac:dyDescent="0.25">
      <c r="A29" s="1211" t="s">
        <v>717</v>
      </c>
      <c r="B29" s="1211"/>
      <c r="C29" s="1211"/>
      <c r="D29" s="1211"/>
      <c r="E29" s="1211"/>
      <c r="F29" s="1211"/>
      <c r="G29" s="1211"/>
      <c r="H29" s="441" t="str">
        <f>IF(F15&lt;&gt;'ETCA II-04'!F81,"ERROR!!!!! EL MONTO NO COINCIDE CON LO REPORTADO EN EL FORMATO ETCA-II-11 EN EL TOTAL PAGADO ANUAL DEL ANALÍTICO DE EGRESOS","")</f>
        <v/>
      </c>
    </row>
    <row r="30" spans="1:8" s="264" customFormat="1" ht="13.5" x14ac:dyDescent="0.25">
      <c r="A30" s="265" t="s">
        <v>718</v>
      </c>
      <c r="B30" s="263"/>
      <c r="C30" s="263"/>
      <c r="D30" s="263"/>
      <c r="E30" s="263"/>
      <c r="F30" s="263"/>
      <c r="G30" s="263"/>
      <c r="H30" s="441" t="str">
        <f>IF(G15&lt;&gt;'ETCA II-04'!G81,"ERROR!!!!! EL MONTO NO COINCIDE CON LO REPORTADO EN EL FORMATO ETCA-II-11 EN EL TOTAL DEL SUBEJERCICIO DEL ANALÍTICO DE EGRESOS","")</f>
        <v/>
      </c>
    </row>
    <row r="31" spans="1:8" s="264" customFormat="1" ht="25.5" customHeight="1" x14ac:dyDescent="0.25">
      <c r="A31" s="1211" t="s">
        <v>719</v>
      </c>
      <c r="B31" s="1211"/>
      <c r="C31" s="1211"/>
      <c r="D31" s="1211"/>
      <c r="E31" s="1211"/>
      <c r="F31" s="1211"/>
      <c r="G31" s="1211"/>
    </row>
    <row r="32" spans="1:8" s="264" customFormat="1" ht="13.5" x14ac:dyDescent="0.25">
      <c r="A32" s="1213" t="s">
        <v>720</v>
      </c>
      <c r="B32" s="1213"/>
      <c r="C32" s="1213"/>
      <c r="D32" s="1213"/>
      <c r="E32" s="263"/>
      <c r="F32" s="263"/>
      <c r="G32" s="263"/>
    </row>
    <row r="33" spans="1:7" s="264" customFormat="1" ht="13.5" customHeight="1" x14ac:dyDescent="0.25">
      <c r="A33" s="1211" t="s">
        <v>721</v>
      </c>
      <c r="B33" s="1211"/>
      <c r="C33" s="1211"/>
      <c r="D33" s="1211"/>
      <c r="E33" s="1211"/>
      <c r="F33" s="1211"/>
      <c r="G33" s="1211"/>
    </row>
    <row r="34" spans="1:7" s="264" customFormat="1" ht="13.5" x14ac:dyDescent="0.25">
      <c r="A34" s="265" t="s">
        <v>722</v>
      </c>
      <c r="B34" s="263"/>
      <c r="C34" s="263"/>
      <c r="D34" s="263"/>
      <c r="E34" s="263"/>
      <c r="F34" s="263"/>
      <c r="G34" s="263"/>
    </row>
    <row r="35" spans="1:7" s="264" customFormat="1" ht="13.5" customHeight="1" x14ac:dyDescent="0.25">
      <c r="A35" s="1211" t="s">
        <v>723</v>
      </c>
      <c r="B35" s="1211"/>
      <c r="C35" s="1211"/>
      <c r="D35" s="1211"/>
      <c r="E35" s="1211"/>
      <c r="F35" s="1211"/>
      <c r="G35" s="1211"/>
    </row>
    <row r="36" spans="1:7" s="264" customFormat="1" ht="13.5" x14ac:dyDescent="0.25">
      <c r="A36" s="266" t="s">
        <v>724</v>
      </c>
      <c r="B36" s="263"/>
      <c r="C36" s="263"/>
      <c r="D36" s="263"/>
      <c r="E36" s="263"/>
      <c r="F36" s="263"/>
      <c r="G36" s="263"/>
    </row>
    <row r="37" spans="1:7" s="264" customFormat="1" ht="13.5" x14ac:dyDescent="0.25">
      <c r="A37" s="265" t="s">
        <v>725</v>
      </c>
      <c r="B37" s="263"/>
      <c r="C37" s="263"/>
      <c r="D37" s="263"/>
      <c r="E37" s="263"/>
      <c r="F37" s="263"/>
      <c r="G37" s="263"/>
    </row>
    <row r="38" spans="1:7" s="264" customFormat="1" ht="13.5" customHeight="1" x14ac:dyDescent="0.25">
      <c r="A38" s="1211" t="s">
        <v>726</v>
      </c>
      <c r="B38" s="1211"/>
      <c r="C38" s="1211"/>
      <c r="D38" s="1211"/>
      <c r="E38" s="1211"/>
      <c r="F38" s="1211"/>
      <c r="G38" s="1211"/>
    </row>
    <row r="39" spans="1:7" s="264" customFormat="1" ht="13.5" x14ac:dyDescent="0.25">
      <c r="A39" s="266" t="s">
        <v>724</v>
      </c>
      <c r="B39" s="263"/>
      <c r="C39" s="263"/>
      <c r="D39" s="263"/>
      <c r="E39" s="263"/>
      <c r="F39" s="263"/>
      <c r="G39" s="263"/>
    </row>
    <row r="40" spans="1:7" ht="8.25" customHeight="1" x14ac:dyDescent="0.25"/>
  </sheetData>
  <sheetProtection formatColumns="0" formatRows="0" insertHyperlinks="0"/>
  <mergeCells count="14"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78740157480314965" right="0.39370078740157483" top="0.74803149606299213" bottom="0.74803149606299213" header="0.31496062992125984" footer="0.31496062992125984"/>
  <pageSetup orientation="landscape" r:id="rId1"/>
  <ignoredErrors>
    <ignoredError sqref="F10" unlocked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="115" zoomScaleNormal="100" zoomScaleSheetLayoutView="115" workbookViewId="0">
      <selection activeCell="E21" sqref="E21"/>
    </sheetView>
  </sheetViews>
  <sheetFormatPr baseColWidth="10" defaultColWidth="11.28515625" defaultRowHeight="16.5" x14ac:dyDescent="0.25"/>
  <cols>
    <col min="1" max="1" width="39.85546875" style="258" customWidth="1"/>
    <col min="2" max="7" width="13.7109375" style="258" customWidth="1"/>
    <col min="8" max="16384" width="11.28515625" style="258"/>
  </cols>
  <sheetData>
    <row r="1" spans="1:8" x14ac:dyDescent="0.25">
      <c r="A1" s="1067" t="s">
        <v>25</v>
      </c>
      <c r="B1" s="1067"/>
      <c r="C1" s="1067"/>
      <c r="D1" s="1067"/>
      <c r="E1" s="1067"/>
      <c r="F1" s="1067"/>
      <c r="G1" s="1067"/>
    </row>
    <row r="2" spans="1:8" s="260" customFormat="1" x14ac:dyDescent="0.25">
      <c r="A2" s="1067" t="s">
        <v>565</v>
      </c>
      <c r="B2" s="1067"/>
      <c r="C2" s="1067"/>
      <c r="D2" s="1067"/>
      <c r="E2" s="1067"/>
      <c r="F2" s="1067"/>
      <c r="G2" s="1067"/>
    </row>
    <row r="3" spans="1:8" s="260" customFormat="1" x14ac:dyDescent="0.25">
      <c r="A3" s="1067" t="s">
        <v>727</v>
      </c>
      <c r="B3" s="1067"/>
      <c r="C3" s="1067"/>
      <c r="D3" s="1067"/>
      <c r="E3" s="1067"/>
      <c r="F3" s="1067"/>
      <c r="G3" s="1067"/>
    </row>
    <row r="4" spans="1:8" s="260" customFormat="1" x14ac:dyDescent="0.25">
      <c r="A4" s="1068" t="str">
        <f>'ETCA-I-01'!A3:G3</f>
        <v>Centro de Evaluacion y Control de Confianza del Estado de Sonora</v>
      </c>
      <c r="B4" s="1068"/>
      <c r="C4" s="1068"/>
      <c r="D4" s="1068"/>
      <c r="E4" s="1068"/>
      <c r="F4" s="1068"/>
      <c r="G4" s="1068"/>
    </row>
    <row r="5" spans="1:8" s="260" customFormat="1" x14ac:dyDescent="0.25">
      <c r="A5" s="1069" t="str">
        <f>'ETCA-I-03'!A4:D4</f>
        <v>Del 01 de Enero  al 31 de Marzo de 2018</v>
      </c>
      <c r="B5" s="1069"/>
      <c r="C5" s="1069"/>
      <c r="D5" s="1069"/>
      <c r="E5" s="1069"/>
      <c r="F5" s="1069"/>
      <c r="G5" s="1069"/>
    </row>
    <row r="6" spans="1:8" s="260" customFormat="1" ht="17.25" thickBot="1" x14ac:dyDescent="0.3">
      <c r="A6" s="1186" t="s">
        <v>728</v>
      </c>
      <c r="B6" s="1186"/>
      <c r="C6" s="1186"/>
      <c r="D6" s="1186"/>
      <c r="E6" s="1186"/>
      <c r="F6" s="143"/>
      <c r="G6" s="944"/>
    </row>
    <row r="7" spans="1:8" s="269" customFormat="1" ht="38.25" x14ac:dyDescent="0.25">
      <c r="A7" s="1214" t="s">
        <v>727</v>
      </c>
      <c r="B7" s="175" t="s">
        <v>569</v>
      </c>
      <c r="C7" s="175" t="s">
        <v>479</v>
      </c>
      <c r="D7" s="175" t="s">
        <v>570</v>
      </c>
      <c r="E7" s="175" t="s">
        <v>571</v>
      </c>
      <c r="F7" s="175" t="s">
        <v>572</v>
      </c>
      <c r="G7" s="176" t="s">
        <v>573</v>
      </c>
    </row>
    <row r="8" spans="1:8" s="272" customFormat="1" ht="17.25" thickBot="1" x14ac:dyDescent="0.3">
      <c r="A8" s="1215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1" t="s">
        <v>575</v>
      </c>
    </row>
    <row r="9" spans="1:8" ht="18" customHeight="1" x14ac:dyDescent="0.25">
      <c r="A9" s="749" t="s">
        <v>1105</v>
      </c>
      <c r="B9" s="737">
        <v>6769837.6399999997</v>
      </c>
      <c r="C9" s="737">
        <v>239349.46</v>
      </c>
      <c r="D9" s="737">
        <f>IF($A9="","",B9+C9)</f>
        <v>7009187.0999999996</v>
      </c>
      <c r="E9" s="737">
        <v>1642033.78</v>
      </c>
      <c r="F9" s="737">
        <v>1627975.18</v>
      </c>
      <c r="G9" s="746">
        <f>IF($A9="","",D9-E9)</f>
        <v>5367153.3199999994</v>
      </c>
      <c r="H9" s="928"/>
    </row>
    <row r="10" spans="1:8" ht="18" customHeight="1" x14ac:dyDescent="0.25">
      <c r="A10" s="749" t="s">
        <v>1100</v>
      </c>
      <c r="B10" s="737">
        <v>7715864.4000000004</v>
      </c>
      <c r="C10" s="737">
        <v>2722330.79</v>
      </c>
      <c r="D10" s="737">
        <f t="shared" ref="D10:D31" si="0">IF($A10="","",B10+C10)</f>
        <v>10438195.190000001</v>
      </c>
      <c r="E10" s="737">
        <v>2010656.2</v>
      </c>
      <c r="F10" s="737">
        <v>1983712.08</v>
      </c>
      <c r="G10" s="746">
        <f t="shared" ref="G10:G31" si="1">IF($A10="","",D10-E10)</f>
        <v>8427538.9900000021</v>
      </c>
      <c r="H10" s="928"/>
    </row>
    <row r="11" spans="1:8" ht="18" customHeight="1" x14ac:dyDescent="0.25">
      <c r="A11" s="749" t="s">
        <v>1101</v>
      </c>
      <c r="B11" s="737">
        <v>2557533.87</v>
      </c>
      <c r="C11" s="737">
        <v>30082.02</v>
      </c>
      <c r="D11" s="737">
        <f t="shared" si="0"/>
        <v>2587615.89</v>
      </c>
      <c r="E11" s="737">
        <v>600166.15</v>
      </c>
      <c r="F11" s="737">
        <v>571939.81000000006</v>
      </c>
      <c r="G11" s="746">
        <f t="shared" si="1"/>
        <v>1987449.7400000002</v>
      </c>
    </row>
    <row r="12" spans="1:8" ht="18" customHeight="1" x14ac:dyDescent="0.25">
      <c r="A12" s="749" t="s">
        <v>1102</v>
      </c>
      <c r="B12" s="737">
        <v>2761925.26</v>
      </c>
      <c r="C12" s="737">
        <v>1233336.44</v>
      </c>
      <c r="D12" s="737">
        <f t="shared" si="0"/>
        <v>3995261.6999999997</v>
      </c>
      <c r="E12" s="737">
        <v>684996.5</v>
      </c>
      <c r="F12" s="737">
        <v>668025.79</v>
      </c>
      <c r="G12" s="746">
        <f t="shared" si="1"/>
        <v>3310265.1999999997</v>
      </c>
    </row>
    <row r="13" spans="1:8" ht="18" customHeight="1" x14ac:dyDescent="0.25">
      <c r="A13" s="749" t="s">
        <v>1103</v>
      </c>
      <c r="B13" s="737">
        <v>6827945.8399999999</v>
      </c>
      <c r="C13" s="737">
        <v>373391.49</v>
      </c>
      <c r="D13" s="737">
        <f t="shared" si="0"/>
        <v>7201337.3300000001</v>
      </c>
      <c r="E13" s="737">
        <v>1455281.75</v>
      </c>
      <c r="F13" s="737">
        <v>1441030.95</v>
      </c>
      <c r="G13" s="746">
        <f t="shared" si="1"/>
        <v>5746055.5800000001</v>
      </c>
    </row>
    <row r="14" spans="1:8" ht="18" customHeight="1" x14ac:dyDescent="0.25">
      <c r="A14" s="749" t="s">
        <v>1104</v>
      </c>
      <c r="B14" s="737">
        <v>7168210.8600000003</v>
      </c>
      <c r="C14" s="737">
        <v>291800.28000000003</v>
      </c>
      <c r="D14" s="737">
        <f t="shared" si="0"/>
        <v>7460011.1400000006</v>
      </c>
      <c r="E14" s="737">
        <v>1562202.83</v>
      </c>
      <c r="F14" s="737">
        <v>1548867.59</v>
      </c>
      <c r="G14" s="746">
        <f t="shared" si="1"/>
        <v>5897808.3100000005</v>
      </c>
    </row>
    <row r="15" spans="1:8" ht="18" customHeight="1" x14ac:dyDescent="0.25">
      <c r="A15" s="749" t="s">
        <v>1106</v>
      </c>
      <c r="B15" s="737">
        <v>10928894.609999999</v>
      </c>
      <c r="C15" s="737">
        <v>740266.81</v>
      </c>
      <c r="D15" s="737">
        <f t="shared" si="0"/>
        <v>11669161.42</v>
      </c>
      <c r="E15" s="737">
        <v>2510321.27</v>
      </c>
      <c r="F15" s="737">
        <v>2478300.27</v>
      </c>
      <c r="G15" s="746">
        <f t="shared" si="1"/>
        <v>9158840.1500000004</v>
      </c>
    </row>
    <row r="16" spans="1:8" ht="18" customHeight="1" x14ac:dyDescent="0.25">
      <c r="A16" s="749" t="s">
        <v>1107</v>
      </c>
      <c r="B16" s="737">
        <v>7278967.5899999999</v>
      </c>
      <c r="C16" s="737">
        <v>1076815.02</v>
      </c>
      <c r="D16" s="737">
        <f t="shared" si="0"/>
        <v>8355782.6099999994</v>
      </c>
      <c r="E16" s="737">
        <v>1206378.5</v>
      </c>
      <c r="F16" s="737">
        <v>848023.73</v>
      </c>
      <c r="G16" s="746">
        <f t="shared" si="1"/>
        <v>7149404.1099999994</v>
      </c>
    </row>
    <row r="17" spans="1:8" ht="18" customHeight="1" x14ac:dyDescent="0.25">
      <c r="A17" s="749" t="s">
        <v>1108</v>
      </c>
      <c r="B17" s="737">
        <v>3314539.93</v>
      </c>
      <c r="C17" s="737">
        <v>70496.14</v>
      </c>
      <c r="D17" s="737">
        <f t="shared" si="0"/>
        <v>3385036.0700000003</v>
      </c>
      <c r="E17" s="737">
        <v>843410.09</v>
      </c>
      <c r="F17" s="737">
        <v>835113.02</v>
      </c>
      <c r="G17" s="746">
        <f t="shared" si="1"/>
        <v>2541625.9800000004</v>
      </c>
    </row>
    <row r="18" spans="1:8" ht="21" customHeight="1" x14ac:dyDescent="0.25">
      <c r="A18" s="273"/>
      <c r="B18" s="737"/>
      <c r="C18" s="737"/>
      <c r="D18" s="737" t="str">
        <f t="shared" si="0"/>
        <v/>
      </c>
      <c r="E18" s="737"/>
      <c r="F18" s="737"/>
      <c r="G18" s="746" t="str">
        <f t="shared" si="1"/>
        <v/>
      </c>
    </row>
    <row r="19" spans="1:8" ht="21" customHeight="1" x14ac:dyDescent="0.25">
      <c r="A19" s="273"/>
      <c r="B19" s="737"/>
      <c r="C19" s="737"/>
      <c r="D19" s="737" t="str">
        <f t="shared" si="0"/>
        <v/>
      </c>
      <c r="E19" s="737"/>
      <c r="F19" s="737"/>
      <c r="G19" s="746" t="str">
        <f t="shared" si="1"/>
        <v/>
      </c>
    </row>
    <row r="20" spans="1:8" ht="21" customHeight="1" x14ac:dyDescent="0.25">
      <c r="A20" s="273"/>
      <c r="B20" s="737"/>
      <c r="C20" s="737"/>
      <c r="D20" s="737" t="str">
        <f t="shared" si="0"/>
        <v/>
      </c>
      <c r="E20" s="737"/>
      <c r="F20" s="737"/>
      <c r="G20" s="746" t="str">
        <f t="shared" si="1"/>
        <v/>
      </c>
    </row>
    <row r="21" spans="1:8" ht="21" customHeight="1" x14ac:dyDescent="0.25">
      <c r="A21" s="273"/>
      <c r="B21" s="737"/>
      <c r="C21" s="737"/>
      <c r="D21" s="737" t="str">
        <f t="shared" si="0"/>
        <v/>
      </c>
      <c r="E21" s="737"/>
      <c r="F21" s="737"/>
      <c r="G21" s="746" t="str">
        <f t="shared" si="1"/>
        <v/>
      </c>
    </row>
    <row r="22" spans="1:8" ht="21" customHeight="1" x14ac:dyDescent="0.25">
      <c r="A22" s="273"/>
      <c r="B22" s="737"/>
      <c r="C22" s="737"/>
      <c r="D22" s="737" t="str">
        <f t="shared" si="0"/>
        <v/>
      </c>
      <c r="E22" s="737"/>
      <c r="F22" s="737"/>
      <c r="G22" s="746" t="str">
        <f t="shared" si="1"/>
        <v/>
      </c>
    </row>
    <row r="23" spans="1:8" ht="21" customHeight="1" x14ac:dyDescent="0.25">
      <c r="A23" s="273"/>
      <c r="B23" s="737"/>
      <c r="C23" s="737"/>
      <c r="D23" s="737" t="str">
        <f t="shared" si="0"/>
        <v/>
      </c>
      <c r="E23" s="737"/>
      <c r="F23" s="737"/>
      <c r="G23" s="746" t="str">
        <f t="shared" si="1"/>
        <v/>
      </c>
    </row>
    <row r="24" spans="1:8" ht="21" customHeight="1" x14ac:dyDescent="0.25">
      <c r="A24" s="273"/>
      <c r="B24" s="737"/>
      <c r="C24" s="737"/>
      <c r="D24" s="737" t="str">
        <f t="shared" si="0"/>
        <v/>
      </c>
      <c r="E24" s="737"/>
      <c r="F24" s="737"/>
      <c r="G24" s="746" t="str">
        <f t="shared" si="1"/>
        <v/>
      </c>
    </row>
    <row r="25" spans="1:8" ht="21" customHeight="1" x14ac:dyDescent="0.25">
      <c r="A25" s="273"/>
      <c r="B25" s="737"/>
      <c r="C25" s="737"/>
      <c r="D25" s="737" t="str">
        <f t="shared" si="0"/>
        <v/>
      </c>
      <c r="E25" s="737"/>
      <c r="F25" s="737"/>
      <c r="G25" s="746" t="str">
        <f t="shared" si="1"/>
        <v/>
      </c>
    </row>
    <row r="26" spans="1:8" ht="21" customHeight="1" x14ac:dyDescent="0.25">
      <c r="A26" s="273"/>
      <c r="B26" s="737"/>
      <c r="C26" s="737"/>
      <c r="D26" s="737" t="str">
        <f t="shared" si="0"/>
        <v/>
      </c>
      <c r="E26" s="737"/>
      <c r="F26" s="737"/>
      <c r="G26" s="746" t="str">
        <f t="shared" si="1"/>
        <v/>
      </c>
    </row>
    <row r="27" spans="1:8" ht="21" customHeight="1" x14ac:dyDescent="0.25">
      <c r="A27" s="273"/>
      <c r="B27" s="737"/>
      <c r="C27" s="737"/>
      <c r="D27" s="737" t="str">
        <f t="shared" si="0"/>
        <v/>
      </c>
      <c r="E27" s="737"/>
      <c r="F27" s="737"/>
      <c r="G27" s="746" t="str">
        <f t="shared" si="1"/>
        <v/>
      </c>
    </row>
    <row r="28" spans="1:8" ht="21" customHeight="1" x14ac:dyDescent="0.25">
      <c r="A28" s="273"/>
      <c r="B28" s="737"/>
      <c r="C28" s="737"/>
      <c r="D28" s="737" t="str">
        <f t="shared" si="0"/>
        <v/>
      </c>
      <c r="E28" s="737"/>
      <c r="F28" s="737"/>
      <c r="G28" s="746" t="str">
        <f t="shared" si="1"/>
        <v/>
      </c>
    </row>
    <row r="29" spans="1:8" ht="21" customHeight="1" x14ac:dyDescent="0.25">
      <c r="A29" s="273"/>
      <c r="B29" s="737"/>
      <c r="C29" s="737"/>
      <c r="D29" s="737" t="str">
        <f t="shared" si="0"/>
        <v/>
      </c>
      <c r="E29" s="737"/>
      <c r="F29" s="737"/>
      <c r="G29" s="746" t="str">
        <f t="shared" si="1"/>
        <v/>
      </c>
    </row>
    <row r="30" spans="1:8" ht="21" customHeight="1" x14ac:dyDescent="0.25">
      <c r="A30" s="273"/>
      <c r="B30" s="737"/>
      <c r="C30" s="737"/>
      <c r="D30" s="737" t="str">
        <f t="shared" si="0"/>
        <v/>
      </c>
      <c r="E30" s="737"/>
      <c r="F30" s="737"/>
      <c r="G30" s="746" t="str">
        <f t="shared" si="1"/>
        <v/>
      </c>
    </row>
    <row r="31" spans="1:8" ht="21" customHeight="1" thickBot="1" x14ac:dyDescent="0.3">
      <c r="A31" s="273"/>
      <c r="B31" s="737"/>
      <c r="C31" s="737"/>
      <c r="D31" s="737" t="str">
        <f t="shared" si="0"/>
        <v/>
      </c>
      <c r="E31" s="737"/>
      <c r="F31" s="737"/>
      <c r="G31" s="746" t="str">
        <f t="shared" si="1"/>
        <v/>
      </c>
      <c r="H31" s="928"/>
    </row>
    <row r="32" spans="1:8" ht="21" customHeight="1" thickBot="1" x14ac:dyDescent="0.3">
      <c r="A32" s="274" t="s">
        <v>625</v>
      </c>
      <c r="B32" s="747">
        <f>SUM(B9:B31)</f>
        <v>55323720.000000007</v>
      </c>
      <c r="C32" s="747">
        <f>SUM(C9:C31)</f>
        <v>6777868.4500000002</v>
      </c>
      <c r="D32" s="747">
        <f>IF($A32="","",B32+C32)</f>
        <v>62101588.45000001</v>
      </c>
      <c r="E32" s="747">
        <f>SUM(E9:E31)</f>
        <v>12515447.07</v>
      </c>
      <c r="F32" s="747">
        <f>SUM(F9:F31)</f>
        <v>12002988.42</v>
      </c>
      <c r="G32" s="748">
        <f>IF($A32="","",D32-E32)</f>
        <v>49586141.38000001</v>
      </c>
      <c r="H32" s="261" t="str">
        <f>IF(($B$32-'ETCA II-04'!B81)&gt;0.9,"ERROR!!!!! EL MONTO NO COINCIDE CON LO REPORTADO EN EL FORMATO ETCA-II-04 EN EL TOTAL APROBADO ANUAL DEL ANALÍTICO DE EGRESOS","")</f>
        <v/>
      </c>
    </row>
    <row r="33" spans="3:8" x14ac:dyDescent="0.25">
      <c r="H33" s="261" t="str">
        <f>IF(($C$32-'ETCA II-04'!C81)&gt;0.9,"ERROR!!!!! EL MONTO NO COINCIDE CON LO REPORTADO EN EL FORMATO ETCA-II-04 EN EL TOTAL APROBADO ANUAL DEL ANALÍTICO DE EGRESOS","")</f>
        <v/>
      </c>
    </row>
    <row r="34" spans="3:8" x14ac:dyDescent="0.25">
      <c r="C34" s="928"/>
      <c r="H34" s="261" t="str">
        <f>IF(($D$32-'ETCA II-04'!D81)&gt;0.9,"ERROR!!!!! EL MONTO NO COINCIDE CON LO REPORTADO EN EL FORMATO ETCA-II-04 EN EL TOTAL APROBADO ANUAL DEL ANALÍTICO DE EGRESOS","")</f>
        <v/>
      </c>
    </row>
    <row r="35" spans="3:8" x14ac:dyDescent="0.25">
      <c r="H35" s="261" t="str">
        <f>IF(($E$32-'ETCA II-04'!E81)&gt;0.9,"ERROR!!!!! EL MONTO NO COINCIDE CON LO REPORTADO EN EL FORMATO ETCA-II-04 EN EL TOTAL APROBADO ANUAL DEL ANALÍTICO DE EGRESOS","")</f>
        <v/>
      </c>
    </row>
    <row r="36" spans="3:8" x14ac:dyDescent="0.25">
      <c r="H36" s="261" t="str">
        <f>IF(($F$32-'ETCA II-04'!F81)&gt;0.9,"ERROR!!!!! EL MONTO NO COINCIDE CON LO REPORTADO EN EL FORMATO ETCA-II-04 EN EL TOTAL APROBADO ANUAL DEL ANALÍTICO DE EGRESOS","")</f>
        <v/>
      </c>
    </row>
    <row r="37" spans="3:8" x14ac:dyDescent="0.25">
      <c r="H37" s="261" t="str">
        <f>IF(($G$32-'ETCA II-04'!G81)&gt;0.9,"ERROR!!!!!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ignoredErrors>
    <ignoredError sqref="D9 D10:D20 G9:G17" unlocked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60" zoomScaleNormal="100" workbookViewId="0">
      <selection activeCell="J27" sqref="J27"/>
    </sheetView>
  </sheetViews>
  <sheetFormatPr baseColWidth="10" defaultColWidth="11.42578125" defaultRowHeight="15" x14ac:dyDescent="0.25"/>
  <cols>
    <col min="1" max="1" width="37.5703125" style="569" customWidth="1"/>
    <col min="2" max="2" width="12.140625" style="569" customWidth="1"/>
    <col min="3" max="3" width="13.140625" style="569" customWidth="1"/>
    <col min="4" max="4" width="12.42578125" style="569" customWidth="1"/>
    <col min="5" max="5" width="12.85546875" style="569" customWidth="1"/>
    <col min="6" max="6" width="14" style="569" customWidth="1"/>
    <col min="7" max="7" width="15.42578125" style="569" customWidth="1"/>
    <col min="8" max="16384" width="11.42578125" style="569"/>
  </cols>
  <sheetData>
    <row r="1" spans="1:9" s="602" customFormat="1" ht="15.75" x14ac:dyDescent="0.2">
      <c r="A1" s="1221" t="s">
        <v>25</v>
      </c>
      <c r="B1" s="1222"/>
      <c r="C1" s="1222"/>
      <c r="D1" s="1222"/>
      <c r="E1" s="1222"/>
      <c r="F1" s="1222"/>
      <c r="G1" s="1223"/>
    </row>
    <row r="2" spans="1:9" s="602" customFormat="1" ht="15.75" x14ac:dyDescent="0.2">
      <c r="A2" s="1230" t="str">
        <f>'ETCA-I-01'!A3:G3</f>
        <v>Centro de Evaluacion y Control de Confianza del Estado de Sonora</v>
      </c>
      <c r="B2" s="1231"/>
      <c r="C2" s="1231"/>
      <c r="D2" s="1231"/>
      <c r="E2" s="1231"/>
      <c r="F2" s="1231"/>
      <c r="G2" s="1232"/>
    </row>
    <row r="3" spans="1:9" s="602" customFormat="1" ht="12.75" x14ac:dyDescent="0.2">
      <c r="A3" s="1224" t="s">
        <v>626</v>
      </c>
      <c r="B3" s="1225"/>
      <c r="C3" s="1225"/>
      <c r="D3" s="1225"/>
      <c r="E3" s="1225"/>
      <c r="F3" s="1225"/>
      <c r="G3" s="1226"/>
    </row>
    <row r="4" spans="1:9" s="602" customFormat="1" ht="12.75" x14ac:dyDescent="0.2">
      <c r="A4" s="1224" t="s">
        <v>729</v>
      </c>
      <c r="B4" s="1225"/>
      <c r="C4" s="1225"/>
      <c r="D4" s="1225"/>
      <c r="E4" s="1225"/>
      <c r="F4" s="1225"/>
      <c r="G4" s="1226"/>
    </row>
    <row r="5" spans="1:9" s="602" customFormat="1" ht="12.75" x14ac:dyDescent="0.2">
      <c r="A5" s="1224" t="str">
        <f>'ETCA-I-03'!A4:D4</f>
        <v>Del 01 de Enero  al 31 de Marzo de 2018</v>
      </c>
      <c r="B5" s="1225"/>
      <c r="C5" s="1225"/>
      <c r="D5" s="1225"/>
      <c r="E5" s="1225"/>
      <c r="F5" s="1225"/>
      <c r="G5" s="1226"/>
    </row>
    <row r="6" spans="1:9" s="602" customFormat="1" ht="20.25" customHeight="1" thickBot="1" x14ac:dyDescent="0.25">
      <c r="A6" s="1227" t="s">
        <v>89</v>
      </c>
      <c r="B6" s="1228"/>
      <c r="C6" s="1228"/>
      <c r="D6" s="1228"/>
      <c r="E6" s="1228"/>
      <c r="F6" s="1228"/>
      <c r="G6" s="1229"/>
    </row>
    <row r="7" spans="1:9" s="602" customFormat="1" ht="13.5" thickBot="1" x14ac:dyDescent="0.25">
      <c r="A7" s="1216" t="s">
        <v>90</v>
      </c>
      <c r="B7" s="1218" t="s">
        <v>628</v>
      </c>
      <c r="C7" s="1219"/>
      <c r="D7" s="1219"/>
      <c r="E7" s="1219"/>
      <c r="F7" s="1220"/>
      <c r="G7" s="1216" t="s">
        <v>629</v>
      </c>
    </row>
    <row r="8" spans="1:9" s="602" customFormat="1" ht="26.25" thickBot="1" x14ac:dyDescent="0.25">
      <c r="A8" s="1217"/>
      <c r="B8" s="948" t="s">
        <v>630</v>
      </c>
      <c r="C8" s="948" t="s">
        <v>479</v>
      </c>
      <c r="D8" s="948" t="s">
        <v>480</v>
      </c>
      <c r="E8" s="948" t="s">
        <v>481</v>
      </c>
      <c r="F8" s="948" t="s">
        <v>730</v>
      </c>
      <c r="G8" s="1217"/>
    </row>
    <row r="9" spans="1:9" s="602" customFormat="1" ht="12.75" x14ac:dyDescent="0.2">
      <c r="A9" s="980" t="s">
        <v>731</v>
      </c>
      <c r="B9" s="981"/>
      <c r="C9" s="981"/>
      <c r="D9" s="981"/>
      <c r="E9" s="981"/>
      <c r="F9" s="981"/>
      <c r="G9" s="981"/>
    </row>
    <row r="10" spans="1:9" s="602" customFormat="1" ht="12.75" x14ac:dyDescent="0.2">
      <c r="A10" s="980" t="s">
        <v>732</v>
      </c>
      <c r="B10" s="982">
        <f t="shared" ref="B10:G10" si="0">SUM(B11:B19)</f>
        <v>55323720.000000007</v>
      </c>
      <c r="C10" s="982">
        <f>SUM(C11:C19)</f>
        <v>6777868.4500000002</v>
      </c>
      <c r="D10" s="982">
        <f t="shared" si="0"/>
        <v>62101588.450000003</v>
      </c>
      <c r="E10" s="982">
        <f>SUM(E11:E19)</f>
        <v>12515447.07</v>
      </c>
      <c r="F10" s="982">
        <f>SUM(F11:F19)</f>
        <v>12002988.42</v>
      </c>
      <c r="G10" s="982">
        <f t="shared" si="0"/>
        <v>49586141.38000001</v>
      </c>
    </row>
    <row r="11" spans="1:9" s="602" customFormat="1" ht="12.75" x14ac:dyDescent="0.2">
      <c r="A11" s="983" t="s">
        <v>1105</v>
      </c>
      <c r="B11" s="982">
        <f>'ETCA-II-07'!B9</f>
        <v>6769837.6399999997</v>
      </c>
      <c r="C11" s="982">
        <v>239349.46</v>
      </c>
      <c r="D11" s="982">
        <f>B11+C11</f>
        <v>7009187.0999999996</v>
      </c>
      <c r="E11" s="982">
        <v>1642033.78</v>
      </c>
      <c r="F11" s="982">
        <v>1627975.18</v>
      </c>
      <c r="G11" s="982">
        <f>+D11-E11</f>
        <v>5367153.3199999994</v>
      </c>
    </row>
    <row r="12" spans="1:9" s="602" customFormat="1" ht="12.75" x14ac:dyDescent="0.2">
      <c r="A12" s="983" t="s">
        <v>1100</v>
      </c>
      <c r="B12" s="982">
        <f>'ETCA-II-07'!B10</f>
        <v>7715864.4000000004</v>
      </c>
      <c r="C12" s="982">
        <v>2722330.79</v>
      </c>
      <c r="D12" s="982">
        <f t="shared" ref="D12:D19" si="1">B12+C12</f>
        <v>10438195.190000001</v>
      </c>
      <c r="E12" s="982">
        <v>2010656.2</v>
      </c>
      <c r="F12" s="982">
        <v>1983712.08</v>
      </c>
      <c r="G12" s="982">
        <f t="shared" ref="G12:G19" si="2">+D12-E12</f>
        <v>8427538.9900000021</v>
      </c>
    </row>
    <row r="13" spans="1:9" s="602" customFormat="1" ht="12.75" x14ac:dyDescent="0.2">
      <c r="A13" s="983" t="s">
        <v>1101</v>
      </c>
      <c r="B13" s="982">
        <f>'ETCA-II-07'!B11</f>
        <v>2557533.87</v>
      </c>
      <c r="C13" s="982">
        <v>30082.02</v>
      </c>
      <c r="D13" s="982">
        <f t="shared" si="1"/>
        <v>2587615.89</v>
      </c>
      <c r="E13" s="982">
        <v>600166.15</v>
      </c>
      <c r="F13" s="982">
        <v>571939.81000000006</v>
      </c>
      <c r="G13" s="982">
        <f t="shared" si="2"/>
        <v>1987449.7400000002</v>
      </c>
    </row>
    <row r="14" spans="1:9" s="602" customFormat="1" ht="12.75" x14ac:dyDescent="0.2">
      <c r="A14" s="983" t="s">
        <v>1102</v>
      </c>
      <c r="B14" s="982">
        <f>'ETCA-II-07'!B12</f>
        <v>2761925.26</v>
      </c>
      <c r="C14" s="982">
        <v>1233336.44</v>
      </c>
      <c r="D14" s="982">
        <f t="shared" si="1"/>
        <v>3995261.6999999997</v>
      </c>
      <c r="E14" s="982">
        <v>684996.5</v>
      </c>
      <c r="F14" s="982">
        <v>668025.79</v>
      </c>
      <c r="G14" s="982">
        <f t="shared" si="2"/>
        <v>3310265.1999999997</v>
      </c>
      <c r="H14" s="984"/>
      <c r="I14" s="984"/>
    </row>
    <row r="15" spans="1:9" s="602" customFormat="1" ht="12.75" x14ac:dyDescent="0.2">
      <c r="A15" s="983" t="s">
        <v>1103</v>
      </c>
      <c r="B15" s="982">
        <f>'ETCA-II-07'!B13</f>
        <v>6827945.8399999999</v>
      </c>
      <c r="C15" s="982">
        <v>373391.49</v>
      </c>
      <c r="D15" s="982">
        <f t="shared" si="1"/>
        <v>7201337.3300000001</v>
      </c>
      <c r="E15" s="982">
        <v>1455281.75</v>
      </c>
      <c r="F15" s="982">
        <v>1441030.95</v>
      </c>
      <c r="G15" s="982">
        <f t="shared" si="2"/>
        <v>5746055.5800000001</v>
      </c>
    </row>
    <row r="16" spans="1:9" s="602" customFormat="1" ht="12.75" x14ac:dyDescent="0.2">
      <c r="A16" s="983" t="s">
        <v>1104</v>
      </c>
      <c r="B16" s="982">
        <f>'ETCA-II-07'!B14</f>
        <v>7168210.8600000003</v>
      </c>
      <c r="C16" s="982">
        <v>291800.28000000003</v>
      </c>
      <c r="D16" s="982">
        <f t="shared" si="1"/>
        <v>7460011.1400000006</v>
      </c>
      <c r="E16" s="982">
        <v>1562202.83</v>
      </c>
      <c r="F16" s="982">
        <v>1548867.59</v>
      </c>
      <c r="G16" s="982">
        <f t="shared" si="2"/>
        <v>5897808.3100000005</v>
      </c>
    </row>
    <row r="17" spans="1:8" s="602" customFormat="1" ht="12.75" x14ac:dyDescent="0.2">
      <c r="A17" s="983" t="s">
        <v>1106</v>
      </c>
      <c r="B17" s="982">
        <f>'ETCA-II-07'!B15</f>
        <v>10928894.609999999</v>
      </c>
      <c r="C17" s="982">
        <v>740266.81</v>
      </c>
      <c r="D17" s="982">
        <f t="shared" si="1"/>
        <v>11669161.42</v>
      </c>
      <c r="E17" s="982">
        <v>2510321.27</v>
      </c>
      <c r="F17" s="982">
        <v>2478300.27</v>
      </c>
      <c r="G17" s="982">
        <f t="shared" si="2"/>
        <v>9158840.1500000004</v>
      </c>
    </row>
    <row r="18" spans="1:8" s="602" customFormat="1" ht="12.75" x14ac:dyDescent="0.2">
      <c r="A18" s="983" t="s">
        <v>1107</v>
      </c>
      <c r="B18" s="982">
        <f>'ETCA-II-07'!B16</f>
        <v>7278967.5899999999</v>
      </c>
      <c r="C18" s="982">
        <v>1076815.02</v>
      </c>
      <c r="D18" s="982">
        <f t="shared" si="1"/>
        <v>8355782.6099999994</v>
      </c>
      <c r="E18" s="982">
        <v>1206378.5</v>
      </c>
      <c r="F18" s="982">
        <v>848023.73</v>
      </c>
      <c r="G18" s="982">
        <f t="shared" si="2"/>
        <v>7149404.1099999994</v>
      </c>
    </row>
    <row r="19" spans="1:8" s="602" customFormat="1" ht="17.25" customHeight="1" x14ac:dyDescent="0.2">
      <c r="A19" s="983" t="s">
        <v>1108</v>
      </c>
      <c r="B19" s="982">
        <f>'ETCA-II-07'!B17</f>
        <v>3314539.93</v>
      </c>
      <c r="C19" s="982">
        <v>70496.14</v>
      </c>
      <c r="D19" s="982">
        <f t="shared" si="1"/>
        <v>3385036.0700000003</v>
      </c>
      <c r="E19" s="982">
        <v>843410.09</v>
      </c>
      <c r="F19" s="982">
        <v>835113.02</v>
      </c>
      <c r="G19" s="982">
        <f t="shared" si="2"/>
        <v>2541625.9800000004</v>
      </c>
    </row>
    <row r="20" spans="1:8" s="602" customFormat="1" ht="12.75" x14ac:dyDescent="0.2">
      <c r="A20" s="983"/>
      <c r="B20" s="982"/>
      <c r="C20" s="982"/>
      <c r="D20" s="982"/>
      <c r="E20" s="982"/>
      <c r="F20" s="982"/>
      <c r="G20" s="982"/>
    </row>
    <row r="21" spans="1:8" s="602" customFormat="1" ht="12.75" x14ac:dyDescent="0.2">
      <c r="A21" s="985" t="s">
        <v>733</v>
      </c>
      <c r="B21" s="982"/>
      <c r="C21" s="982"/>
      <c r="D21" s="982"/>
      <c r="E21" s="982"/>
      <c r="F21" s="982"/>
      <c r="G21" s="982"/>
    </row>
    <row r="22" spans="1:8" s="602" customFormat="1" ht="12.75" x14ac:dyDescent="0.2">
      <c r="A22" s="985" t="s">
        <v>734</v>
      </c>
      <c r="B22" s="982">
        <f t="shared" ref="B22:G22" si="3">SUM(B23:B29)</f>
        <v>0</v>
      </c>
      <c r="C22" s="982">
        <f t="shared" si="3"/>
        <v>0</v>
      </c>
      <c r="D22" s="982">
        <f t="shared" si="3"/>
        <v>0</v>
      </c>
      <c r="E22" s="982">
        <f t="shared" si="3"/>
        <v>0</v>
      </c>
      <c r="F22" s="982">
        <f t="shared" si="3"/>
        <v>0</v>
      </c>
      <c r="G22" s="982">
        <f t="shared" si="3"/>
        <v>0</v>
      </c>
    </row>
    <row r="23" spans="1:8" s="602" customFormat="1" ht="13.5" x14ac:dyDescent="0.2">
      <c r="A23" s="749" t="s">
        <v>1105</v>
      </c>
      <c r="B23" s="982">
        <v>0</v>
      </c>
      <c r="C23" s="982"/>
      <c r="D23" s="982">
        <f t="shared" ref="D23:D29" si="4">B23+C23</f>
        <v>0</v>
      </c>
      <c r="E23" s="982"/>
      <c r="F23" s="982"/>
      <c r="G23" s="982">
        <f>+D23-E23</f>
        <v>0</v>
      </c>
    </row>
    <row r="24" spans="1:8" s="602" customFormat="1" ht="13.5" x14ac:dyDescent="0.2">
      <c r="A24" s="749" t="s">
        <v>1100</v>
      </c>
      <c r="B24" s="982"/>
      <c r="C24" s="982"/>
      <c r="D24" s="982">
        <f t="shared" si="4"/>
        <v>0</v>
      </c>
      <c r="E24" s="982"/>
      <c r="F24" s="982"/>
      <c r="G24" s="982">
        <f t="shared" ref="G24:G29" si="5">+D24-E24</f>
        <v>0</v>
      </c>
    </row>
    <row r="25" spans="1:8" s="602" customFormat="1" ht="13.5" x14ac:dyDescent="0.2">
      <c r="A25" s="749" t="s">
        <v>1102</v>
      </c>
      <c r="B25" s="982"/>
      <c r="C25" s="982"/>
      <c r="D25" s="982">
        <f t="shared" si="4"/>
        <v>0</v>
      </c>
      <c r="E25" s="982"/>
      <c r="F25" s="982"/>
      <c r="G25" s="982">
        <f t="shared" si="5"/>
        <v>0</v>
      </c>
    </row>
    <row r="26" spans="1:8" s="602" customFormat="1" ht="13.5" x14ac:dyDescent="0.2">
      <c r="A26" s="749" t="s">
        <v>1103</v>
      </c>
      <c r="B26" s="982"/>
      <c r="C26" s="982"/>
      <c r="D26" s="982">
        <f t="shared" si="4"/>
        <v>0</v>
      </c>
      <c r="E26" s="982"/>
      <c r="F26" s="982"/>
      <c r="G26" s="982">
        <f t="shared" si="5"/>
        <v>0</v>
      </c>
      <c r="H26" s="984"/>
    </row>
    <row r="27" spans="1:8" s="602" customFormat="1" ht="13.5" x14ac:dyDescent="0.2">
      <c r="A27" s="749" t="s">
        <v>1104</v>
      </c>
      <c r="B27" s="982"/>
      <c r="C27" s="982"/>
      <c r="D27" s="982">
        <f t="shared" si="4"/>
        <v>0</v>
      </c>
      <c r="E27" s="982"/>
      <c r="F27" s="982"/>
      <c r="G27" s="982">
        <f t="shared" si="5"/>
        <v>0</v>
      </c>
    </row>
    <row r="28" spans="1:8" s="602" customFormat="1" ht="13.5" x14ac:dyDescent="0.2">
      <c r="A28" s="749" t="s">
        <v>1106</v>
      </c>
      <c r="B28" s="982"/>
      <c r="C28" s="982"/>
      <c r="D28" s="982">
        <f t="shared" si="4"/>
        <v>0</v>
      </c>
      <c r="E28" s="982"/>
      <c r="F28" s="982"/>
      <c r="G28" s="982">
        <f t="shared" si="5"/>
        <v>0</v>
      </c>
    </row>
    <row r="29" spans="1:8" s="602" customFormat="1" ht="13.5" x14ac:dyDescent="0.2">
      <c r="A29" s="749" t="s">
        <v>1107</v>
      </c>
      <c r="B29" s="982"/>
      <c r="C29" s="982"/>
      <c r="D29" s="982">
        <f t="shared" si="4"/>
        <v>0</v>
      </c>
      <c r="E29" s="982"/>
      <c r="F29" s="982"/>
      <c r="G29" s="982">
        <f t="shared" si="5"/>
        <v>0</v>
      </c>
    </row>
    <row r="30" spans="1:8" s="602" customFormat="1" ht="21.75" customHeight="1" x14ac:dyDescent="0.2">
      <c r="A30" s="749" t="s">
        <v>1108</v>
      </c>
      <c r="B30" s="982"/>
      <c r="C30" s="982"/>
      <c r="D30" s="982"/>
      <c r="E30" s="982"/>
      <c r="F30" s="982"/>
      <c r="G30" s="982"/>
    </row>
    <row r="31" spans="1:8" s="602" customFormat="1" ht="12.75" x14ac:dyDescent="0.2">
      <c r="A31" s="980" t="s">
        <v>709</v>
      </c>
      <c r="B31" s="982">
        <f>+B10+B22</f>
        <v>55323720.000000007</v>
      </c>
      <c r="C31" s="982">
        <f t="shared" ref="C31:F31" si="6">+C10+C22</f>
        <v>6777868.4500000002</v>
      </c>
      <c r="D31" s="982">
        <f t="shared" si="6"/>
        <v>62101588.450000003</v>
      </c>
      <c r="E31" s="982">
        <f t="shared" si="6"/>
        <v>12515447.07</v>
      </c>
      <c r="F31" s="982">
        <f t="shared" si="6"/>
        <v>12002988.42</v>
      </c>
      <c r="G31" s="982">
        <f>+G10+G22</f>
        <v>49586141.38000001</v>
      </c>
      <c r="H31" s="601" t="str">
        <f>IF((B31-'ETCA-II-07'!B32)&gt;0.9,"ERROR!!!!! EL MONTO NO COINCIDE CON LO REPORTADO EN EL FORMATO ETCA-II-07 EN EL TOTAL DEL GASTO","")</f>
        <v/>
      </c>
    </row>
    <row r="32" spans="1:8" ht="15.75" thickBot="1" x14ac:dyDescent="0.3">
      <c r="A32" s="986"/>
      <c r="B32" s="987"/>
      <c r="C32" s="987"/>
      <c r="D32" s="987"/>
      <c r="E32" s="987"/>
      <c r="F32" s="987"/>
      <c r="G32" s="987"/>
      <c r="H32" s="441" t="str">
        <f>IF((C31-'ETCA-II-07'!C32)&gt;0.9,"ERROR!!!!! EL MONTO NO COINCIDE CON LO REPORTADO EN EL FORMATO ETCA-II-07 EN EL TOTAL DEL GASTO","")</f>
        <v/>
      </c>
    </row>
    <row r="33" spans="3:8" x14ac:dyDescent="0.25">
      <c r="H33" s="441" t="str">
        <f>IF((D31-'ETCA-II-07'!D32)&gt;0.9,"ERROR!!!!! EL MONTO NO COINCIDE CON LO REPORTADO EN EL FORMATO ETCA-II-07 EN EL TOTAL DEL GASTO","")</f>
        <v/>
      </c>
    </row>
    <row r="34" spans="3:8" x14ac:dyDescent="0.25">
      <c r="C34" s="977"/>
      <c r="H34" s="441" t="str">
        <f>IF((D31-'ETCA-II-07'!D32)&gt;0.9,"ERROR!!!!! EL MONTO NO COINCIDE CON LO REPORTADO EN EL FORMATO ETCA-II-07 EN EL TOTAL DEL GASTO","")</f>
        <v/>
      </c>
    </row>
    <row r="35" spans="3:8" x14ac:dyDescent="0.25">
      <c r="H35" s="441" t="str">
        <f>IF((F31-'ETCA-II-07'!F32)&gt;0.9,"ERROR!!!!! EL MONTO NO COINCIDE CON LO REPORTADO EN EL FORMATO ETCA-II-07 EN EL TOTAL DEL GASTO","")</f>
        <v/>
      </c>
    </row>
    <row r="36" spans="3:8" x14ac:dyDescent="0.25">
      <c r="H36" s="441" t="str">
        <f>IF((G31-'ETCA-II-07'!G32)&gt;0.9,"ERROR!!!!! EL MONTO NO COINCIDE CON LO REPORTADO EN EL FORMATO ETCA-II-07 EN EL TOTAL DEL GASTO","")</f>
        <v/>
      </c>
    </row>
  </sheetData>
  <mergeCells count="9"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ageMargins left="1.1023622047244095" right="0.70866141732283472" top="0.35433070866141736" bottom="0.35433070866141736" header="0.31496062992125984" footer="0.31496062992125984"/>
  <pageSetup scale="9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Normal="100" zoomScaleSheetLayoutView="100" workbookViewId="0">
      <selection activeCell="B11" sqref="B11"/>
    </sheetView>
  </sheetViews>
  <sheetFormatPr baseColWidth="10" defaultColWidth="11.28515625" defaultRowHeight="16.5" x14ac:dyDescent="0.25"/>
  <cols>
    <col min="1" max="1" width="39.85546875" style="258" customWidth="1"/>
    <col min="2" max="7" width="13.7109375" style="258" customWidth="1"/>
    <col min="8" max="16384" width="11.28515625" style="258"/>
  </cols>
  <sheetData>
    <row r="1" spans="1:8" x14ac:dyDescent="0.25">
      <c r="A1" s="1067" t="s">
        <v>25</v>
      </c>
      <c r="B1" s="1067"/>
      <c r="C1" s="1067"/>
      <c r="D1" s="1067"/>
      <c r="E1" s="1067"/>
      <c r="F1" s="1067"/>
      <c r="G1" s="1067"/>
    </row>
    <row r="2" spans="1:8" s="260" customFormat="1" x14ac:dyDescent="0.25">
      <c r="A2" s="1067" t="s">
        <v>565</v>
      </c>
      <c r="B2" s="1067"/>
      <c r="C2" s="1067"/>
      <c r="D2" s="1067"/>
      <c r="E2" s="1067"/>
      <c r="F2" s="1067"/>
      <c r="G2" s="1067"/>
    </row>
    <row r="3" spans="1:8" s="260" customFormat="1" x14ac:dyDescent="0.25">
      <c r="A3" s="1235" t="s">
        <v>735</v>
      </c>
      <c r="B3" s="1235"/>
      <c r="C3" s="1235"/>
      <c r="D3" s="1235"/>
      <c r="E3" s="1235"/>
      <c r="F3" s="1235"/>
      <c r="G3" s="1235"/>
    </row>
    <row r="4" spans="1:8" s="260" customFormat="1" x14ac:dyDescent="0.25">
      <c r="A4" s="1068" t="str">
        <f>'ETCA-I-01'!A3:G3</f>
        <v>Centro de Evaluacion y Control de Confianza del Estado de Sonora</v>
      </c>
      <c r="B4" s="1068"/>
      <c r="C4" s="1068"/>
      <c r="D4" s="1068"/>
      <c r="E4" s="1068"/>
      <c r="F4" s="1068"/>
      <c r="G4" s="1068"/>
    </row>
    <row r="5" spans="1:8" s="260" customFormat="1" x14ac:dyDescent="0.25">
      <c r="A5" s="1069" t="str">
        <f>'ETCA-I-03'!A4:D4</f>
        <v>Del 01 de Enero  al 31 de Marzo de 2018</v>
      </c>
      <c r="B5" s="1069"/>
      <c r="C5" s="1069"/>
      <c r="D5" s="1069"/>
      <c r="E5" s="1069"/>
      <c r="F5" s="1069"/>
      <c r="G5" s="1069"/>
    </row>
    <row r="6" spans="1:8" s="260" customFormat="1" ht="17.25" thickBot="1" x14ac:dyDescent="0.3">
      <c r="A6" s="1186" t="s">
        <v>736</v>
      </c>
      <c r="B6" s="1186"/>
      <c r="C6" s="1186"/>
      <c r="D6" s="1186"/>
      <c r="E6" s="1186"/>
      <c r="F6" s="45"/>
      <c r="G6" s="400"/>
    </row>
    <row r="7" spans="1:8" s="269" customFormat="1" ht="53.25" customHeight="1" x14ac:dyDescent="0.25">
      <c r="A7" s="1233" t="s">
        <v>735</v>
      </c>
      <c r="B7" s="276" t="s">
        <v>569</v>
      </c>
      <c r="C7" s="276" t="s">
        <v>479</v>
      </c>
      <c r="D7" s="276" t="s">
        <v>570</v>
      </c>
      <c r="E7" s="276" t="s">
        <v>571</v>
      </c>
      <c r="F7" s="276" t="s">
        <v>572</v>
      </c>
      <c r="G7" s="277" t="s">
        <v>573</v>
      </c>
    </row>
    <row r="8" spans="1:8" s="275" customFormat="1" ht="15.75" customHeight="1" thickBot="1" x14ac:dyDescent="0.3">
      <c r="A8" s="1234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1" t="s">
        <v>575</v>
      </c>
    </row>
    <row r="9" spans="1:8" ht="30" customHeight="1" x14ac:dyDescent="0.25">
      <c r="A9" s="443"/>
      <c r="B9" s="279"/>
      <c r="C9" s="279"/>
      <c r="D9" s="279"/>
      <c r="E9" s="279"/>
      <c r="F9" s="279"/>
      <c r="G9" s="280"/>
    </row>
    <row r="10" spans="1:8" ht="30" customHeight="1" x14ac:dyDescent="0.25">
      <c r="A10" s="267" t="s">
        <v>737</v>
      </c>
      <c r="B10" s="281">
        <f>'ETCA-II-06'!B15</f>
        <v>55323720.000000007</v>
      </c>
      <c r="C10" s="281">
        <f>'ETCA-II-08'!C31</f>
        <v>6777868.4500000002</v>
      </c>
      <c r="D10" s="282">
        <f>B10+C10</f>
        <v>62101588.45000001</v>
      </c>
      <c r="E10" s="281">
        <f>'ETCA-II-08'!E31</f>
        <v>12515447.07</v>
      </c>
      <c r="F10" s="281">
        <f>'ETCA-II-08'!F31</f>
        <v>12002988.42</v>
      </c>
      <c r="G10" s="285">
        <f>D10-E10</f>
        <v>49586141.38000001</v>
      </c>
    </row>
    <row r="11" spans="1:8" ht="30" customHeight="1" x14ac:dyDescent="0.25">
      <c r="A11" s="267" t="s">
        <v>738</v>
      </c>
      <c r="B11" s="281"/>
      <c r="C11" s="281"/>
      <c r="D11" s="282">
        <f>B11+C11</f>
        <v>0</v>
      </c>
      <c r="E11" s="281"/>
      <c r="F11" s="281"/>
      <c r="G11" s="285">
        <f>D11-E11</f>
        <v>0</v>
      </c>
    </row>
    <row r="12" spans="1:8" ht="30" customHeight="1" x14ac:dyDescent="0.25">
      <c r="A12" s="267" t="s">
        <v>739</v>
      </c>
      <c r="B12" s="281"/>
      <c r="C12" s="281"/>
      <c r="D12" s="282">
        <f>B12+C12</f>
        <v>0</v>
      </c>
      <c r="E12" s="281"/>
      <c r="F12" s="281"/>
      <c r="G12" s="285">
        <f>D12-E12</f>
        <v>0</v>
      </c>
    </row>
    <row r="13" spans="1:8" ht="30" customHeight="1" x14ac:dyDescent="0.25">
      <c r="A13" s="267" t="s">
        <v>740</v>
      </c>
      <c r="B13" s="281"/>
      <c r="C13" s="281"/>
      <c r="D13" s="282">
        <f>B13+C13</f>
        <v>0</v>
      </c>
      <c r="E13" s="281"/>
      <c r="F13" s="281"/>
      <c r="G13" s="285">
        <f>D13-E13</f>
        <v>0</v>
      </c>
    </row>
    <row r="14" spans="1:8" ht="30" customHeight="1" thickBot="1" x14ac:dyDescent="0.3">
      <c r="A14" s="442"/>
      <c r="B14" s="750"/>
      <c r="C14" s="750"/>
      <c r="D14" s="750"/>
      <c r="E14" s="750"/>
      <c r="F14" s="750"/>
      <c r="G14" s="751"/>
    </row>
    <row r="15" spans="1:8" s="269" customFormat="1" ht="30" customHeight="1" thickBot="1" x14ac:dyDescent="0.3">
      <c r="A15" s="947" t="s">
        <v>625</v>
      </c>
      <c r="B15" s="752">
        <f>SUM(B10:B13)</f>
        <v>55323720.000000007</v>
      </c>
      <c r="C15" s="752">
        <f>SUM(C10:C13)</f>
        <v>6777868.4500000002</v>
      </c>
      <c r="D15" s="752">
        <f>B15+C15</f>
        <v>62101588.45000001</v>
      </c>
      <c r="E15" s="752">
        <f>SUM(E10:E13)</f>
        <v>12515447.07</v>
      </c>
      <c r="F15" s="752">
        <f>SUM(F10:F13)</f>
        <v>12002988.42</v>
      </c>
      <c r="G15" s="753">
        <f>D15-E15</f>
        <v>49586141.38000001</v>
      </c>
      <c r="H15" s="441" t="str">
        <f>IF((B15-'ETCA II-04'!B81)&gt;0.9,"ERROR!!!!! EL MONTO NO COINCIDE CON LO REPORTADO EN EL FORMATO ETCA-II-04 EN EL TOTAL APROBADO ANUAL DEL ANALÍTICO DE EGRESOS","")</f>
        <v/>
      </c>
    </row>
    <row r="16" spans="1:8" s="269" customFormat="1" ht="30" customHeight="1" x14ac:dyDescent="0.25">
      <c r="A16" s="424"/>
      <c r="B16" s="425"/>
      <c r="C16" s="425"/>
      <c r="D16" s="425"/>
      <c r="E16" s="425"/>
      <c r="F16" s="425"/>
      <c r="G16" s="425"/>
      <c r="H16" s="441" t="str">
        <f>IF((C15-'ETCA II-04'!C81)&gt;0.9,"ERROR!!!!! EL MONTO NO COINCIDE CON LO REPORTADO EN EL FORMATO ETCA-II-04 EN EL TOTAL APROBADO ANUAL DEL ANALÍTICO DE EGRESOS","")</f>
        <v/>
      </c>
    </row>
    <row r="17" spans="1:8" s="269" customFormat="1" ht="30" customHeight="1" x14ac:dyDescent="0.25">
      <c r="A17" s="424"/>
      <c r="B17" s="425"/>
      <c r="C17" s="425"/>
      <c r="D17" s="425"/>
      <c r="E17" s="425"/>
      <c r="F17" s="425"/>
      <c r="G17" s="425"/>
      <c r="H17" s="441" t="str">
        <f>IF((D15-'ETCA II-04'!D81)&gt;0.9,"ERROR!!!!! EL MONTO NO COINCIDE CON LO REPORTADO EN EL FORMATO ETCA-II-04 EN EL TOTAL APROBADO ANUAL DEL ANALÍTICO DE EGRESOS","")</f>
        <v/>
      </c>
    </row>
    <row r="18" spans="1:8" s="269" customFormat="1" ht="18" customHeight="1" x14ac:dyDescent="0.25">
      <c r="A18" s="424"/>
      <c r="B18" s="425"/>
      <c r="C18" s="425"/>
      <c r="D18" s="425"/>
      <c r="E18" s="425"/>
      <c r="F18" s="425"/>
      <c r="G18" s="425"/>
      <c r="H18" s="441" t="str">
        <f>IF((E15-'ETCA II-04'!E81)&gt;0.9,"ERROR!!!!! EL MONTO NO COINCIDE CON LO REPORTADO EN EL FORMATO ETCA-II-04 EN EL TOTAL APROBADO ANUAL DEL ANALÍTICO DE EGRESOS","")</f>
        <v/>
      </c>
    </row>
    <row r="19" spans="1:8" s="269" customFormat="1" ht="18" customHeight="1" x14ac:dyDescent="0.25">
      <c r="A19" s="424"/>
      <c r="B19" s="425"/>
      <c r="C19" s="425"/>
      <c r="D19" s="425"/>
      <c r="E19" s="425"/>
      <c r="F19" s="425"/>
      <c r="G19" s="425"/>
      <c r="H19" s="441" t="str">
        <f>IF((F15-'ETCA II-04'!F81)&gt;0.9,"ERROR!!!!! EL MONTO NO COINCIDE CON LO REPORTADO EN EL FORMATO ETCA-II-04 EN EL TOTAL APROBADO ANUAL DEL ANALÍTICO DE EGRESOS","")</f>
        <v/>
      </c>
    </row>
    <row r="20" spans="1:8" x14ac:dyDescent="0.25">
      <c r="H20" s="441" t="str">
        <f>IF((G15-'ETCA II-04'!G81)&gt;0.9,"ERROR!!!!! EL MONTO NO COINCIDE CON LO REPORTADO EN EL FORMATO ETCA-II-04 EN EL TOTAL APROBADO ANUAL DEL ANALÍTICO DE EGRESOS","")</f>
        <v/>
      </c>
    </row>
    <row r="21" spans="1:8" x14ac:dyDescent="0.25">
      <c r="H21" s="441" t="str">
        <f>IF((B21-'ETCA II-04'!B87)&gt;0.9,"ERROR!!!!! EL MONTO NO COINCIDE CON LO REPORTADO EN EL FORMATO ETCA-II-04 EN EL TOTAL APROBADO ANUAL DEL ANALÍTICO DE EGRESOS","")</f>
        <v/>
      </c>
    </row>
    <row r="22" spans="1:8" x14ac:dyDescent="0.25">
      <c r="H22" s="441"/>
    </row>
  </sheetData>
  <sheetProtection formatColumns="0" formatRows="0" insertHyperlinks="0"/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Normal="100" zoomScaleSheetLayoutView="100" workbookViewId="0">
      <selection activeCell="E24" sqref="E24"/>
    </sheetView>
  </sheetViews>
  <sheetFormatPr baseColWidth="10" defaultColWidth="11.28515625" defaultRowHeight="16.5" x14ac:dyDescent="0.25"/>
  <cols>
    <col min="1" max="1" width="39.85546875" style="258" customWidth="1"/>
    <col min="2" max="7" width="13.7109375" style="258" customWidth="1"/>
    <col min="8" max="16384" width="11.28515625" style="258"/>
  </cols>
  <sheetData>
    <row r="1" spans="1:7" x14ac:dyDescent="0.25">
      <c r="A1" s="1235" t="s">
        <v>25</v>
      </c>
      <c r="B1" s="1235"/>
      <c r="C1" s="1235"/>
      <c r="D1" s="1235"/>
      <c r="E1" s="1235"/>
      <c r="F1" s="1235"/>
      <c r="G1" s="1235"/>
    </row>
    <row r="2" spans="1:7" x14ac:dyDescent="0.25">
      <c r="A2" s="1235" t="s">
        <v>565</v>
      </c>
      <c r="B2" s="1235"/>
      <c r="C2" s="1235"/>
      <c r="D2" s="1235"/>
      <c r="E2" s="1235"/>
      <c r="F2" s="1235"/>
      <c r="G2" s="1235"/>
    </row>
    <row r="3" spans="1:7" x14ac:dyDescent="0.25">
      <c r="A3" s="1235" t="s">
        <v>741</v>
      </c>
      <c r="B3" s="1235"/>
      <c r="C3" s="1235"/>
      <c r="D3" s="1235"/>
      <c r="E3" s="1235"/>
      <c r="F3" s="1235"/>
      <c r="G3" s="1235"/>
    </row>
    <row r="4" spans="1:7" x14ac:dyDescent="0.25">
      <c r="A4" s="1068" t="str">
        <f>'ETCA-I-01'!A3:G3</f>
        <v>Centro de Evaluacion y Control de Confianza del Estado de Sonora</v>
      </c>
      <c r="B4" s="1068"/>
      <c r="C4" s="1068"/>
      <c r="D4" s="1068"/>
      <c r="E4" s="1068"/>
      <c r="F4" s="1068"/>
      <c r="G4" s="1068"/>
    </row>
    <row r="5" spans="1:7" x14ac:dyDescent="0.25">
      <c r="A5" s="1069" t="str">
        <f>'ETCA-I-03'!A4:D4</f>
        <v>Del 01 de Enero  al 31 de Marzo de 2018</v>
      </c>
      <c r="B5" s="1069"/>
      <c r="C5" s="1069"/>
      <c r="D5" s="1069"/>
      <c r="E5" s="1069"/>
      <c r="F5" s="1069"/>
      <c r="G5" s="1069"/>
    </row>
    <row r="6" spans="1:7" ht="17.25" thickBot="1" x14ac:dyDescent="0.3">
      <c r="A6" s="1186" t="s">
        <v>742</v>
      </c>
      <c r="B6" s="1186"/>
      <c r="C6" s="1186"/>
      <c r="D6" s="1186"/>
      <c r="E6" s="1186"/>
      <c r="F6" s="45"/>
      <c r="G6" s="400"/>
    </row>
    <row r="7" spans="1:7" s="264" customFormat="1" ht="40.5" x14ac:dyDescent="0.25">
      <c r="A7" s="1236" t="s">
        <v>261</v>
      </c>
      <c r="B7" s="283" t="s">
        <v>569</v>
      </c>
      <c r="C7" s="283" t="s">
        <v>479</v>
      </c>
      <c r="D7" s="283" t="s">
        <v>570</v>
      </c>
      <c r="E7" s="283" t="s">
        <v>571</v>
      </c>
      <c r="F7" s="283" t="s">
        <v>572</v>
      </c>
      <c r="G7" s="284" t="s">
        <v>573</v>
      </c>
    </row>
    <row r="8" spans="1:7" s="264" customFormat="1" ht="15.75" customHeight="1" thickBot="1" x14ac:dyDescent="0.3">
      <c r="A8" s="1237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1" t="s">
        <v>575</v>
      </c>
    </row>
    <row r="9" spans="1:7" x14ac:dyDescent="0.25">
      <c r="A9" s="278"/>
      <c r="B9" s="281"/>
      <c r="C9" s="281"/>
      <c r="D9" s="282"/>
      <c r="E9" s="281"/>
      <c r="F9" s="281"/>
      <c r="G9" s="285"/>
    </row>
    <row r="10" spans="1:7" ht="25.5" x14ac:dyDescent="0.25">
      <c r="A10" s="286" t="s">
        <v>743</v>
      </c>
      <c r="B10" s="281">
        <f>'ETCA-II-09'!B10</f>
        <v>55323720.000000007</v>
      </c>
      <c r="C10" s="281">
        <f>'ETCA-II-09'!C10</f>
        <v>6777868.4500000002</v>
      </c>
      <c r="D10" s="282">
        <f>IF(A10="","",B10+C10)</f>
        <v>62101588.45000001</v>
      </c>
      <c r="E10" s="281">
        <f>'ETCA-II-09'!E10</f>
        <v>12515447.07</v>
      </c>
      <c r="F10" s="281">
        <f>'ETCA-II-09'!F10</f>
        <v>12002988.42</v>
      </c>
      <c r="G10" s="285">
        <f>IF(A10="","",D10-E10)</f>
        <v>49586141.38000001</v>
      </c>
    </row>
    <row r="11" spans="1:7" ht="8.25" customHeight="1" x14ac:dyDescent="0.25">
      <c r="A11" s="286"/>
      <c r="B11" s="281"/>
      <c r="C11" s="281"/>
      <c r="D11" s="282" t="str">
        <f t="shared" ref="D11:D22" si="0">IF(A11="","",B11+C11)</f>
        <v/>
      </c>
      <c r="E11" s="281"/>
      <c r="F11" s="281"/>
      <c r="G11" s="285" t="str">
        <f t="shared" ref="G11:G22" si="1">IF(A11="","",D11-E11)</f>
        <v/>
      </c>
    </row>
    <row r="12" spans="1:7" x14ac:dyDescent="0.25">
      <c r="A12" s="286" t="s">
        <v>744</v>
      </c>
      <c r="B12" s="281"/>
      <c r="C12" s="281"/>
      <c r="D12" s="282">
        <f t="shared" si="0"/>
        <v>0</v>
      </c>
      <c r="E12" s="281"/>
      <c r="F12" s="281"/>
      <c r="G12" s="285">
        <f t="shared" si="1"/>
        <v>0</v>
      </c>
    </row>
    <row r="13" spans="1:7" ht="8.25" customHeight="1" x14ac:dyDescent="0.25">
      <c r="A13" s="286"/>
      <c r="B13" s="281"/>
      <c r="C13" s="281"/>
      <c r="D13" s="282" t="str">
        <f t="shared" si="0"/>
        <v/>
      </c>
      <c r="E13" s="281"/>
      <c r="F13" s="281"/>
      <c r="G13" s="285" t="str">
        <f t="shared" si="1"/>
        <v/>
      </c>
    </row>
    <row r="14" spans="1:7" ht="25.5" x14ac:dyDescent="0.25">
      <c r="A14" s="286" t="s">
        <v>745</v>
      </c>
      <c r="B14" s="281"/>
      <c r="C14" s="281"/>
      <c r="D14" s="282">
        <f t="shared" si="0"/>
        <v>0</v>
      </c>
      <c r="E14" s="281"/>
      <c r="F14" s="281"/>
      <c r="G14" s="285">
        <f t="shared" si="1"/>
        <v>0</v>
      </c>
    </row>
    <row r="15" spans="1:7" ht="8.25" customHeight="1" x14ac:dyDescent="0.25">
      <c r="A15" s="286"/>
      <c r="B15" s="281"/>
      <c r="C15" s="281"/>
      <c r="D15" s="282" t="str">
        <f t="shared" si="0"/>
        <v/>
      </c>
      <c r="E15" s="281"/>
      <c r="F15" s="281"/>
      <c r="G15" s="285" t="str">
        <f t="shared" si="1"/>
        <v/>
      </c>
    </row>
    <row r="16" spans="1:7" ht="25.5" x14ac:dyDescent="0.25">
      <c r="A16" s="286" t="s">
        <v>746</v>
      </c>
      <c r="B16" s="281"/>
      <c r="C16" s="281"/>
      <c r="D16" s="282">
        <f t="shared" si="0"/>
        <v>0</v>
      </c>
      <c r="E16" s="281"/>
      <c r="F16" s="281"/>
      <c r="G16" s="285">
        <f t="shared" si="1"/>
        <v>0</v>
      </c>
    </row>
    <row r="17" spans="1:8" ht="8.25" customHeight="1" x14ac:dyDescent="0.25">
      <c r="A17" s="286"/>
      <c r="B17" s="281"/>
      <c r="C17" s="281"/>
      <c r="D17" s="282" t="str">
        <f t="shared" si="0"/>
        <v/>
      </c>
      <c r="E17" s="281"/>
      <c r="F17" s="281"/>
      <c r="G17" s="285" t="str">
        <f t="shared" si="1"/>
        <v/>
      </c>
    </row>
    <row r="18" spans="1:8" ht="25.5" x14ac:dyDescent="0.25">
      <c r="A18" s="286" t="s">
        <v>747</v>
      </c>
      <c r="B18" s="281"/>
      <c r="C18" s="281"/>
      <c r="D18" s="282">
        <f t="shared" si="0"/>
        <v>0</v>
      </c>
      <c r="E18" s="281"/>
      <c r="F18" s="281"/>
      <c r="G18" s="285">
        <f t="shared" si="1"/>
        <v>0</v>
      </c>
    </row>
    <row r="19" spans="1:8" ht="8.25" customHeight="1" x14ac:dyDescent="0.25">
      <c r="A19" s="286"/>
      <c r="B19" s="281"/>
      <c r="C19" s="281"/>
      <c r="D19" s="282" t="str">
        <f t="shared" si="0"/>
        <v/>
      </c>
      <c r="E19" s="281"/>
      <c r="F19" s="281"/>
      <c r="G19" s="285" t="str">
        <f t="shared" si="1"/>
        <v/>
      </c>
    </row>
    <row r="20" spans="1:8" ht="25.5" x14ac:dyDescent="0.25">
      <c r="A20" s="286" t="s">
        <v>748</v>
      </c>
      <c r="B20" s="281"/>
      <c r="C20" s="281"/>
      <c r="D20" s="282">
        <f t="shared" si="0"/>
        <v>0</v>
      </c>
      <c r="E20" s="281"/>
      <c r="F20" s="281"/>
      <c r="G20" s="285">
        <f t="shared" si="1"/>
        <v>0</v>
      </c>
    </row>
    <row r="21" spans="1:8" ht="8.25" customHeight="1" x14ac:dyDescent="0.25">
      <c r="A21" s="286"/>
      <c r="B21" s="281"/>
      <c r="C21" s="281"/>
      <c r="D21" s="282" t="str">
        <f t="shared" si="0"/>
        <v/>
      </c>
      <c r="E21" s="281"/>
      <c r="F21" s="281"/>
      <c r="G21" s="285" t="str">
        <f t="shared" si="1"/>
        <v/>
      </c>
    </row>
    <row r="22" spans="1:8" ht="26.25" thickBot="1" x14ac:dyDescent="0.3">
      <c r="A22" s="286" t="s">
        <v>749</v>
      </c>
      <c r="B22" s="281"/>
      <c r="C22" s="281"/>
      <c r="D22" s="282">
        <f t="shared" si="0"/>
        <v>0</v>
      </c>
      <c r="E22" s="281"/>
      <c r="F22" s="281"/>
      <c r="G22" s="285">
        <f t="shared" si="1"/>
        <v>0</v>
      </c>
    </row>
    <row r="23" spans="1:8" ht="24.95" customHeight="1" thickBot="1" x14ac:dyDescent="0.3">
      <c r="A23" s="274" t="s">
        <v>625</v>
      </c>
      <c r="B23" s="747">
        <f>SUM(B10:B22)</f>
        <v>55323720.000000007</v>
      </c>
      <c r="C23" s="747">
        <f>SUM(C10:C22)</f>
        <v>6777868.4500000002</v>
      </c>
      <c r="D23" s="747">
        <f>IF(A23="","",B23+C23)</f>
        <v>62101588.45000001</v>
      </c>
      <c r="E23" s="747">
        <f>SUM(E10:E22)</f>
        <v>12515447.07</v>
      </c>
      <c r="F23" s="940">
        <f>F10</f>
        <v>12002988.42</v>
      </c>
      <c r="G23" s="748">
        <f>IF(A23="","",D23-E23)</f>
        <v>49586141.38000001</v>
      </c>
      <c r="H23" s="441" t="str">
        <f>IF((B23-'ETCA II-04'!B81)&gt;0.9,"ERROR!!!!! EL MONTO NO COINCIDE CON LO REPORTADO EN EL FORMATO ETCA-II-04 EN EL TOTAL APROBADO ANUAL DEL ANALÍTICO DE EGRESOS","")</f>
        <v/>
      </c>
    </row>
    <row r="24" spans="1:8" ht="24.95" customHeight="1" x14ac:dyDescent="0.25">
      <c r="A24" s="448"/>
      <c r="B24" s="449"/>
      <c r="C24" s="449"/>
      <c r="D24" s="449"/>
      <c r="E24" s="449"/>
      <c r="F24" s="425"/>
      <c r="G24" s="449"/>
      <c r="H24" s="441" t="str">
        <f>IF((C23-'ETCA II-04'!C81)&gt;0.9,"ERROR!!!!! EL MONTO NO COINCIDE CON LO REPORTADO EN EL FORMATO ETCA-II-04 EN EL TOTAL APROBADO ANUAL DEL ANALÍTICO DE EGRESOS","")</f>
        <v/>
      </c>
    </row>
    <row r="25" spans="1:8" ht="24.95" customHeight="1" x14ac:dyDescent="0.25">
      <c r="A25" s="426"/>
      <c r="B25" s="425"/>
      <c r="C25" s="425"/>
      <c r="D25" s="425"/>
      <c r="E25" s="425"/>
      <c r="F25" s="425"/>
      <c r="G25" s="425"/>
      <c r="H25" s="441" t="str">
        <f>IF((D23-'ETCA II-04'!D81)&gt;0.9,"ERROR!!!!! EL MONTO NO COINCIDE CON LO REPORTADO EN EL FORMATO ETCA-II-04 EN EL TOTAL APROBADO ANUAL DEL ANALÍTICO DE EGRESOS","")</f>
        <v/>
      </c>
    </row>
    <row r="26" spans="1:8" ht="24.95" customHeight="1" x14ac:dyDescent="0.25">
      <c r="A26" s="450"/>
      <c r="B26" s="428"/>
      <c r="C26" s="428"/>
      <c r="D26" s="429"/>
      <c r="E26" s="428"/>
      <c r="F26" s="428"/>
      <c r="G26" s="429"/>
      <c r="H26" s="441" t="str">
        <f>IF((E23-'ETCA II-04'!E81)&gt;0.9,"ERROR!!!!! EL MONTO NO COINCIDE CON LO REPORTADO EN EL FORMATO ETCA-II-04 EN EL TOTAL APROBADO ANUAL DEL ANALÍTICO DE EGRESOS","")</f>
        <v/>
      </c>
    </row>
    <row r="27" spans="1:8" ht="24.95" customHeight="1" x14ac:dyDescent="0.25">
      <c r="A27" s="450"/>
      <c r="B27" s="428"/>
      <c r="C27" s="428"/>
      <c r="D27" s="429"/>
      <c r="E27" s="428"/>
      <c r="F27" s="428"/>
      <c r="G27" s="429"/>
      <c r="H27" s="441" t="str">
        <f>IF((F23-'ETCA II-04'!F81)&gt;0.9,"ERROR!!!!! EL MONTO NO COINCIDE CON LO REPORTADO EN EL FORMATO ETCA-II-04 EN EL TOTAL APROBADO ANUAL DEL ANALÍTICO DE EGRESOS","")</f>
        <v/>
      </c>
    </row>
    <row r="28" spans="1:8" ht="25.5" customHeight="1" x14ac:dyDescent="0.25">
      <c r="A28" s="426"/>
      <c r="B28" s="425"/>
      <c r="C28" s="425"/>
      <c r="D28" s="425"/>
      <c r="E28" s="425"/>
      <c r="F28" s="425"/>
      <c r="G28" s="425"/>
      <c r="H28" s="441" t="str">
        <f>IF((G23-'ETCA II-04'!G81)&gt;0.9,"ERROR!!!!! EL MONTO NO COINCIDE CON LO REPORTADO EN EL FORMATO ETCA-II-04 EN EL TOTAL APROBADO ANUAL DEL ANALÍTICO DE EGRESOS","")</f>
        <v/>
      </c>
    </row>
    <row r="30" spans="1:8" x14ac:dyDescent="0.25">
      <c r="F30" s="269"/>
    </row>
    <row r="31" spans="1:8" x14ac:dyDescent="0.25">
      <c r="F31" s="269"/>
    </row>
  </sheetData>
  <sheetProtection formatColumns="0" formatRows="0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N17" sqref="N17"/>
    </sheetView>
  </sheetViews>
  <sheetFormatPr baseColWidth="10" defaultRowHeight="15" x14ac:dyDescent="0.25"/>
  <cols>
    <col min="1" max="1" width="36.7109375" customWidth="1"/>
    <col min="2" max="5" width="11.28515625"/>
    <col min="6" max="6" width="11.85546875" customWidth="1"/>
    <col min="8" max="8" width="12.7109375" bestFit="1" customWidth="1"/>
  </cols>
  <sheetData>
    <row r="1" spans="1:8" ht="16.5" x14ac:dyDescent="0.25">
      <c r="A1" s="1235" t="s">
        <v>25</v>
      </c>
      <c r="B1" s="1235"/>
      <c r="C1" s="1235"/>
      <c r="D1" s="1235"/>
      <c r="E1" s="1235"/>
      <c r="F1" s="1235"/>
      <c r="G1" s="1235"/>
    </row>
    <row r="2" spans="1:8" ht="16.5" x14ac:dyDescent="0.25">
      <c r="A2" s="1235" t="s">
        <v>565</v>
      </c>
      <c r="B2" s="1235"/>
      <c r="C2" s="1235"/>
      <c r="D2" s="1235"/>
      <c r="E2" s="1235"/>
      <c r="F2" s="1235"/>
      <c r="G2" s="1235"/>
    </row>
    <row r="3" spans="1:8" ht="16.5" x14ac:dyDescent="0.25">
      <c r="A3" s="1235" t="s">
        <v>750</v>
      </c>
      <c r="B3" s="1235"/>
      <c r="C3" s="1235"/>
      <c r="D3" s="1235"/>
      <c r="E3" s="1235"/>
      <c r="F3" s="1235"/>
      <c r="G3" s="1235"/>
    </row>
    <row r="4" spans="1:8" ht="15.75" x14ac:dyDescent="0.25">
      <c r="A4" s="1068" t="str">
        <f>'ETCA-I-01'!A3:G3</f>
        <v>Centro de Evaluacion y Control de Confianza del Estado de Sonora</v>
      </c>
      <c r="B4" s="1068"/>
      <c r="C4" s="1068"/>
      <c r="D4" s="1068"/>
      <c r="E4" s="1068"/>
      <c r="F4" s="1068"/>
      <c r="G4" s="1068"/>
    </row>
    <row r="5" spans="1:8" ht="16.5" x14ac:dyDescent="0.25">
      <c r="A5" s="1069" t="str">
        <f>'ETCA-I-03'!A4:D4</f>
        <v>Del 01 de Enero  al 31 de Marzo de 2018</v>
      </c>
      <c r="B5" s="1069"/>
      <c r="C5" s="1069"/>
      <c r="D5" s="1069"/>
      <c r="E5" s="1069"/>
      <c r="F5" s="1069"/>
      <c r="G5" s="1069"/>
    </row>
    <row r="6" spans="1:8" ht="17.25" thickBot="1" x14ac:dyDescent="0.3">
      <c r="A6" s="143"/>
      <c r="B6" s="1238"/>
      <c r="C6" s="1238"/>
      <c r="D6" s="1238"/>
      <c r="E6" s="1238"/>
      <c r="F6" s="287"/>
      <c r="G6" s="401"/>
    </row>
    <row r="7" spans="1:8" ht="40.5" x14ac:dyDescent="0.25">
      <c r="A7" s="1236" t="s">
        <v>261</v>
      </c>
      <c r="B7" s="288" t="s">
        <v>569</v>
      </c>
      <c r="C7" s="288" t="s">
        <v>479</v>
      </c>
      <c r="D7" s="288" t="s">
        <v>570</v>
      </c>
      <c r="E7" s="288" t="s">
        <v>571</v>
      </c>
      <c r="F7" s="288" t="s">
        <v>572</v>
      </c>
      <c r="G7" s="289" t="s">
        <v>573</v>
      </c>
    </row>
    <row r="8" spans="1:8" ht="15.75" thickBot="1" x14ac:dyDescent="0.3">
      <c r="A8" s="1237"/>
      <c r="B8" s="290" t="s">
        <v>444</v>
      </c>
      <c r="C8" s="290" t="s">
        <v>445</v>
      </c>
      <c r="D8" s="290" t="s">
        <v>574</v>
      </c>
      <c r="E8" s="290" t="s">
        <v>447</v>
      </c>
      <c r="F8" s="290" t="s">
        <v>448</v>
      </c>
      <c r="G8" s="291" t="s">
        <v>575</v>
      </c>
    </row>
    <row r="9" spans="1:8" ht="16.5" x14ac:dyDescent="0.25">
      <c r="A9" s="292"/>
      <c r="B9" s="293"/>
      <c r="C9" s="293"/>
      <c r="D9" s="293"/>
      <c r="E9" s="293"/>
      <c r="F9" s="293"/>
      <c r="G9" s="294"/>
    </row>
    <row r="10" spans="1:8" x14ac:dyDescent="0.25">
      <c r="A10" s="413" t="s">
        <v>751</v>
      </c>
      <c r="B10" s="754">
        <f>SUM(B11:B18)</f>
        <v>55323720</v>
      </c>
      <c r="C10" s="754">
        <f>SUM(C11:C18)</f>
        <v>6777868.4500000002</v>
      </c>
      <c r="D10" s="754">
        <f>IF(A10="","",B10+C10)</f>
        <v>62101588.450000003</v>
      </c>
      <c r="E10" s="754">
        <f>SUM(E11:E18)</f>
        <v>12515447.07</v>
      </c>
      <c r="F10" s="754">
        <f>SUM(F11:F18)</f>
        <v>12002988.42</v>
      </c>
      <c r="G10" s="755">
        <f>IF(A10="","",D10-E10)</f>
        <v>49586141.380000003</v>
      </c>
    </row>
    <row r="11" spans="1:8" x14ac:dyDescent="0.25">
      <c r="A11" s="267" t="s">
        <v>752</v>
      </c>
      <c r="B11" s="281"/>
      <c r="C11" s="281"/>
      <c r="D11" s="282">
        <f t="shared" ref="D11:D44" si="0">IF(A11="","",B11+C11)</f>
        <v>0</v>
      </c>
      <c r="E11" s="281"/>
      <c r="F11" s="281"/>
      <c r="G11" s="285">
        <f>IF(A11="","",D11-E11)</f>
        <v>0</v>
      </c>
      <c r="H11" s="907"/>
    </row>
    <row r="12" spans="1:8" x14ac:dyDescent="0.25">
      <c r="A12" s="267" t="s">
        <v>753</v>
      </c>
      <c r="B12" s="281"/>
      <c r="C12" s="281"/>
      <c r="D12" s="282">
        <f t="shared" si="0"/>
        <v>0</v>
      </c>
      <c r="E12" s="281"/>
      <c r="F12" s="281"/>
      <c r="G12" s="285">
        <f t="shared" ref="G12:G44" si="1">IF(A12="","",D12-E12)</f>
        <v>0</v>
      </c>
    </row>
    <row r="13" spans="1:8" x14ac:dyDescent="0.25">
      <c r="A13" s="267" t="s">
        <v>754</v>
      </c>
      <c r="B13" s="281"/>
      <c r="C13" s="281"/>
      <c r="D13" s="282">
        <f t="shared" si="0"/>
        <v>0</v>
      </c>
      <c r="E13" s="281"/>
      <c r="F13" s="281"/>
      <c r="G13" s="285">
        <f t="shared" si="1"/>
        <v>0</v>
      </c>
    </row>
    <row r="14" spans="1:8" x14ac:dyDescent="0.25">
      <c r="A14" s="267" t="s">
        <v>755</v>
      </c>
      <c r="B14" s="281"/>
      <c r="C14" s="281"/>
      <c r="D14" s="282">
        <f t="shared" si="0"/>
        <v>0</v>
      </c>
      <c r="E14" s="281"/>
      <c r="F14" s="281"/>
      <c r="G14" s="285">
        <f t="shared" si="1"/>
        <v>0</v>
      </c>
    </row>
    <row r="15" spans="1:8" x14ac:dyDescent="0.25">
      <c r="A15" s="267" t="s">
        <v>756</v>
      </c>
      <c r="B15" s="281"/>
      <c r="C15" s="281"/>
      <c r="D15" s="282">
        <f t="shared" si="0"/>
        <v>0</v>
      </c>
      <c r="E15" s="281"/>
      <c r="F15" s="281"/>
      <c r="G15" s="285">
        <f t="shared" si="1"/>
        <v>0</v>
      </c>
    </row>
    <row r="16" spans="1:8" x14ac:dyDescent="0.25">
      <c r="A16" s="267" t="s">
        <v>757</v>
      </c>
      <c r="B16" s="281"/>
      <c r="C16" s="281"/>
      <c r="D16" s="282">
        <f t="shared" si="0"/>
        <v>0</v>
      </c>
      <c r="E16" s="281"/>
      <c r="F16" s="281"/>
      <c r="G16" s="285">
        <f t="shared" si="1"/>
        <v>0</v>
      </c>
    </row>
    <row r="17" spans="1:7" x14ac:dyDescent="0.25">
      <c r="A17" s="267" t="s">
        <v>758</v>
      </c>
      <c r="B17" s="281">
        <f>'ETCA II-04'!B81</f>
        <v>55323720</v>
      </c>
      <c r="C17" s="281">
        <f>'ETCA II-04'!C81</f>
        <v>6777868.4500000002</v>
      </c>
      <c r="D17" s="282">
        <f t="shared" si="0"/>
        <v>62101588.450000003</v>
      </c>
      <c r="E17" s="281">
        <f>'ETCA II-04'!E81</f>
        <v>12515447.07</v>
      </c>
      <c r="F17" s="281">
        <f>'ETCA II-04'!F81</f>
        <v>12002988.42</v>
      </c>
      <c r="G17" s="285">
        <f t="shared" si="1"/>
        <v>49586141.380000003</v>
      </c>
    </row>
    <row r="18" spans="1:7" x14ac:dyDescent="0.25">
      <c r="A18" s="267" t="s">
        <v>600</v>
      </c>
      <c r="B18" s="281"/>
      <c r="C18" s="281"/>
      <c r="D18" s="282">
        <f t="shared" si="0"/>
        <v>0</v>
      </c>
      <c r="E18" s="281"/>
      <c r="F18" s="281"/>
      <c r="G18" s="285">
        <f t="shared" si="1"/>
        <v>0</v>
      </c>
    </row>
    <row r="19" spans="1:7" x14ac:dyDescent="0.25">
      <c r="A19" s="278"/>
      <c r="B19" s="281"/>
      <c r="C19" s="281"/>
      <c r="D19" s="282" t="str">
        <f t="shared" si="0"/>
        <v/>
      </c>
      <c r="E19" s="281"/>
      <c r="F19" s="281"/>
      <c r="G19" s="285" t="str">
        <f t="shared" si="1"/>
        <v/>
      </c>
    </row>
    <row r="20" spans="1:7" x14ac:dyDescent="0.25">
      <c r="A20" s="413" t="s">
        <v>759</v>
      </c>
      <c r="B20" s="754">
        <f>SUM(B21:B27)</f>
        <v>0</v>
      </c>
      <c r="C20" s="754">
        <f>SUM(C21:C27)</f>
        <v>0</v>
      </c>
      <c r="D20" s="754">
        <f t="shared" si="0"/>
        <v>0</v>
      </c>
      <c r="E20" s="754">
        <f>SUM(E21:E27)</f>
        <v>0</v>
      </c>
      <c r="F20" s="754">
        <f>SUM(F21:F27)</f>
        <v>0</v>
      </c>
      <c r="G20" s="755">
        <f t="shared" si="1"/>
        <v>0</v>
      </c>
    </row>
    <row r="21" spans="1:7" x14ac:dyDescent="0.25">
      <c r="A21" s="267" t="s">
        <v>760</v>
      </c>
      <c r="B21" s="281"/>
      <c r="C21" s="281"/>
      <c r="D21" s="282">
        <f t="shared" si="0"/>
        <v>0</v>
      </c>
      <c r="E21" s="281"/>
      <c r="F21" s="281"/>
      <c r="G21" s="285">
        <f t="shared" si="1"/>
        <v>0</v>
      </c>
    </row>
    <row r="22" spans="1:7" x14ac:dyDescent="0.25">
      <c r="A22" s="267" t="s">
        <v>761</v>
      </c>
      <c r="B22" s="281"/>
      <c r="C22" s="281"/>
      <c r="D22" s="282">
        <f t="shared" si="0"/>
        <v>0</v>
      </c>
      <c r="E22" s="281"/>
      <c r="F22" s="281"/>
      <c r="G22" s="285">
        <f t="shared" si="1"/>
        <v>0</v>
      </c>
    </row>
    <row r="23" spans="1:7" x14ac:dyDescent="0.25">
      <c r="A23" s="267" t="s">
        <v>762</v>
      </c>
      <c r="B23" s="281"/>
      <c r="C23" s="281"/>
      <c r="D23" s="282">
        <f t="shared" si="0"/>
        <v>0</v>
      </c>
      <c r="E23" s="281"/>
      <c r="F23" s="281"/>
      <c r="G23" s="285">
        <f t="shared" si="1"/>
        <v>0</v>
      </c>
    </row>
    <row r="24" spans="1:7" ht="25.5" x14ac:dyDescent="0.25">
      <c r="A24" s="267" t="s">
        <v>763</v>
      </c>
      <c r="B24" s="281"/>
      <c r="C24" s="281"/>
      <c r="D24" s="282">
        <f t="shared" si="0"/>
        <v>0</v>
      </c>
      <c r="E24" s="281"/>
      <c r="F24" s="281"/>
      <c r="G24" s="285">
        <f t="shared" si="1"/>
        <v>0</v>
      </c>
    </row>
    <row r="25" spans="1:7" x14ac:dyDescent="0.25">
      <c r="A25" s="267" t="s">
        <v>764</v>
      </c>
      <c r="B25" s="281"/>
      <c r="C25" s="281"/>
      <c r="D25" s="282">
        <f t="shared" si="0"/>
        <v>0</v>
      </c>
      <c r="E25" s="281"/>
      <c r="F25" s="281"/>
      <c r="G25" s="285">
        <f t="shared" si="1"/>
        <v>0</v>
      </c>
    </row>
    <row r="26" spans="1:7" x14ac:dyDescent="0.25">
      <c r="A26" s="267" t="s">
        <v>765</v>
      </c>
      <c r="B26" s="281"/>
      <c r="C26" s="281"/>
      <c r="D26" s="282">
        <f t="shared" si="0"/>
        <v>0</v>
      </c>
      <c r="E26" s="281"/>
      <c r="F26" s="281"/>
      <c r="G26" s="285">
        <f t="shared" si="1"/>
        <v>0</v>
      </c>
    </row>
    <row r="27" spans="1:7" x14ac:dyDescent="0.25">
      <c r="A27" s="267" t="s">
        <v>766</v>
      </c>
      <c r="B27" s="281"/>
      <c r="C27" s="281"/>
      <c r="D27" s="282">
        <f t="shared" si="0"/>
        <v>0</v>
      </c>
      <c r="E27" s="281"/>
      <c r="F27" s="281"/>
      <c r="G27" s="285">
        <f t="shared" si="1"/>
        <v>0</v>
      </c>
    </row>
    <row r="28" spans="1:7" x14ac:dyDescent="0.25">
      <c r="A28" s="278"/>
      <c r="B28" s="281"/>
      <c r="C28" s="281"/>
      <c r="D28" s="282" t="str">
        <f t="shared" si="0"/>
        <v/>
      </c>
      <c r="E28" s="281"/>
      <c r="F28" s="281"/>
      <c r="G28" s="285" t="str">
        <f t="shared" si="1"/>
        <v/>
      </c>
    </row>
    <row r="29" spans="1:7" x14ac:dyDescent="0.25">
      <c r="A29" s="413" t="s">
        <v>767</v>
      </c>
      <c r="B29" s="754">
        <f>SUM(B30:B38)</f>
        <v>0</v>
      </c>
      <c r="C29" s="754">
        <f>SUM(C30:C38)</f>
        <v>0</v>
      </c>
      <c r="D29" s="754">
        <f t="shared" si="0"/>
        <v>0</v>
      </c>
      <c r="E29" s="754">
        <f>SUM(E30:E38)</f>
        <v>0</v>
      </c>
      <c r="F29" s="754">
        <f>SUM(F30:F38)</f>
        <v>0</v>
      </c>
      <c r="G29" s="755">
        <f t="shared" si="1"/>
        <v>0</v>
      </c>
    </row>
    <row r="30" spans="1:7" ht="25.5" x14ac:dyDescent="0.25">
      <c r="A30" s="267" t="s">
        <v>768</v>
      </c>
      <c r="B30" s="281"/>
      <c r="C30" s="281"/>
      <c r="D30" s="282">
        <f t="shared" si="0"/>
        <v>0</v>
      </c>
      <c r="E30" s="281"/>
      <c r="F30" s="281"/>
      <c r="G30" s="285">
        <f t="shared" si="1"/>
        <v>0</v>
      </c>
    </row>
    <row r="31" spans="1:7" x14ac:dyDescent="0.25">
      <c r="A31" s="267" t="s">
        <v>769</v>
      </c>
      <c r="B31" s="281"/>
      <c r="C31" s="281"/>
      <c r="D31" s="282">
        <f t="shared" si="0"/>
        <v>0</v>
      </c>
      <c r="E31" s="281"/>
      <c r="F31" s="281"/>
      <c r="G31" s="285">
        <f t="shared" si="1"/>
        <v>0</v>
      </c>
    </row>
    <row r="32" spans="1:7" x14ac:dyDescent="0.25">
      <c r="A32" s="267" t="s">
        <v>770</v>
      </c>
      <c r="B32" s="281"/>
      <c r="C32" s="281"/>
      <c r="D32" s="282">
        <f t="shared" si="0"/>
        <v>0</v>
      </c>
      <c r="E32" s="281"/>
      <c r="F32" s="281"/>
      <c r="G32" s="285">
        <f t="shared" si="1"/>
        <v>0</v>
      </c>
    </row>
    <row r="33" spans="1:8" x14ac:dyDescent="0.25">
      <c r="A33" s="267" t="s">
        <v>771</v>
      </c>
      <c r="B33" s="281"/>
      <c r="C33" s="281"/>
      <c r="D33" s="282">
        <f t="shared" si="0"/>
        <v>0</v>
      </c>
      <c r="E33" s="281"/>
      <c r="F33" s="281"/>
      <c r="G33" s="285">
        <f t="shared" si="1"/>
        <v>0</v>
      </c>
    </row>
    <row r="34" spans="1:8" x14ac:dyDescent="0.25">
      <c r="A34" s="267" t="s">
        <v>772</v>
      </c>
      <c r="B34" s="281"/>
      <c r="C34" s="281"/>
      <c r="D34" s="282">
        <f t="shared" si="0"/>
        <v>0</v>
      </c>
      <c r="E34" s="281"/>
      <c r="F34" s="281"/>
      <c r="G34" s="285">
        <f t="shared" si="1"/>
        <v>0</v>
      </c>
    </row>
    <row r="35" spans="1:8" x14ac:dyDescent="0.25">
      <c r="A35" s="267" t="s">
        <v>773</v>
      </c>
      <c r="B35" s="281"/>
      <c r="C35" s="281"/>
      <c r="D35" s="282">
        <f t="shared" si="0"/>
        <v>0</v>
      </c>
      <c r="E35" s="281"/>
      <c r="F35" s="281"/>
      <c r="G35" s="285">
        <f t="shared" si="1"/>
        <v>0</v>
      </c>
    </row>
    <row r="36" spans="1:8" x14ac:dyDescent="0.25">
      <c r="A36" s="267" t="s">
        <v>774</v>
      </c>
      <c r="B36" s="281"/>
      <c r="C36" s="281"/>
      <c r="D36" s="282">
        <f t="shared" si="0"/>
        <v>0</v>
      </c>
      <c r="E36" s="281"/>
      <c r="F36" s="281"/>
      <c r="G36" s="285">
        <f t="shared" si="1"/>
        <v>0</v>
      </c>
    </row>
    <row r="37" spans="1:8" x14ac:dyDescent="0.25">
      <c r="A37" s="267" t="s">
        <v>775</v>
      </c>
      <c r="B37" s="281"/>
      <c r="C37" s="281"/>
      <c r="D37" s="282">
        <f t="shared" si="0"/>
        <v>0</v>
      </c>
      <c r="E37" s="281"/>
      <c r="F37" s="281"/>
      <c r="G37" s="285">
        <f t="shared" si="1"/>
        <v>0</v>
      </c>
    </row>
    <row r="38" spans="1:8" x14ac:dyDescent="0.25">
      <c r="A38" s="267" t="s">
        <v>776</v>
      </c>
      <c r="B38" s="281"/>
      <c r="C38" s="281"/>
      <c r="D38" s="282">
        <f t="shared" si="0"/>
        <v>0</v>
      </c>
      <c r="E38" s="281"/>
      <c r="F38" s="281"/>
      <c r="G38" s="285">
        <f t="shared" si="1"/>
        <v>0</v>
      </c>
    </row>
    <row r="39" spans="1:8" x14ac:dyDescent="0.25">
      <c r="A39" s="278"/>
      <c r="B39" s="281"/>
      <c r="C39" s="281"/>
      <c r="D39" s="282" t="str">
        <f t="shared" si="0"/>
        <v/>
      </c>
      <c r="E39" s="281"/>
      <c r="F39" s="281"/>
      <c r="G39" s="285" t="str">
        <f t="shared" si="1"/>
        <v/>
      </c>
    </row>
    <row r="40" spans="1:8" x14ac:dyDescent="0.25">
      <c r="A40" s="413" t="s">
        <v>777</v>
      </c>
      <c r="B40" s="754">
        <f>SUM(B41:B44)</f>
        <v>0</v>
      </c>
      <c r="C40" s="754">
        <f>SUM(C41:C44)</f>
        <v>0</v>
      </c>
      <c r="D40" s="754">
        <f t="shared" si="0"/>
        <v>0</v>
      </c>
      <c r="E40" s="754">
        <f>SUM(E41:E44)</f>
        <v>0</v>
      </c>
      <c r="F40" s="754">
        <f>SUM(F41:F44)</f>
        <v>0</v>
      </c>
      <c r="G40" s="755">
        <f t="shared" si="1"/>
        <v>0</v>
      </c>
    </row>
    <row r="41" spans="1:8" ht="25.5" x14ac:dyDescent="0.25">
      <c r="A41" s="414" t="s">
        <v>778</v>
      </c>
      <c r="B41" s="281">
        <v>0</v>
      </c>
      <c r="C41" s="281">
        <v>0</v>
      </c>
      <c r="D41" s="282">
        <f t="shared" si="0"/>
        <v>0</v>
      </c>
      <c r="E41" s="281">
        <v>0</v>
      </c>
      <c r="F41" s="281">
        <v>0</v>
      </c>
      <c r="G41" s="285">
        <f t="shared" si="1"/>
        <v>0</v>
      </c>
    </row>
    <row r="42" spans="1:8" ht="25.5" x14ac:dyDescent="0.25">
      <c r="A42" s="414" t="s">
        <v>779</v>
      </c>
      <c r="B42" s="281"/>
      <c r="C42" s="281"/>
      <c r="D42" s="282">
        <f t="shared" si="0"/>
        <v>0</v>
      </c>
      <c r="E42" s="281"/>
      <c r="F42" s="281"/>
      <c r="G42" s="285">
        <f t="shared" si="1"/>
        <v>0</v>
      </c>
    </row>
    <row r="43" spans="1:8" x14ac:dyDescent="0.25">
      <c r="A43" s="267" t="s">
        <v>780</v>
      </c>
      <c r="B43" s="281"/>
      <c r="C43" s="281"/>
      <c r="D43" s="282">
        <f t="shared" si="0"/>
        <v>0</v>
      </c>
      <c r="E43" s="281"/>
      <c r="F43" s="281"/>
      <c r="G43" s="285">
        <f t="shared" si="1"/>
        <v>0</v>
      </c>
    </row>
    <row r="44" spans="1:8" ht="15.75" thickBot="1" x14ac:dyDescent="0.3">
      <c r="A44" s="267" t="s">
        <v>781</v>
      </c>
      <c r="B44" s="281"/>
      <c r="C44" s="281"/>
      <c r="D44" s="282">
        <f t="shared" si="0"/>
        <v>0</v>
      </c>
      <c r="E44" s="281"/>
      <c r="F44" s="281"/>
      <c r="G44" s="285">
        <f t="shared" si="1"/>
        <v>0</v>
      </c>
    </row>
    <row r="45" spans="1:8" ht="15.75" thickBot="1" x14ac:dyDescent="0.3">
      <c r="A45" s="274" t="s">
        <v>625</v>
      </c>
      <c r="B45" s="756">
        <f>SUM(B10,B20,B29,B40)</f>
        <v>55323720</v>
      </c>
      <c r="C45" s="756">
        <f>SUM(C10,C20,C29,C40)</f>
        <v>6777868.4500000002</v>
      </c>
      <c r="D45" s="756">
        <f>IF(A45="","",B45+C45)</f>
        <v>62101588.450000003</v>
      </c>
      <c r="E45" s="756">
        <f>SUM(E10,E20,E29,E40)</f>
        <v>12515447.07</v>
      </c>
      <c r="F45" s="756">
        <f>SUM(F10,F20,F29,F40)</f>
        <v>12002988.42</v>
      </c>
      <c r="G45" s="757">
        <f>IF(A45="","",D45-E45)</f>
        <v>49586141.380000003</v>
      </c>
      <c r="H45" s="441" t="str">
        <f>IF((B45-'ETCA II-04'!B81)&gt;0.9,"ERROR!!!!! EL MONTO NO COINCIDE CON LO REPORTADO EN EL FORMATO ETCA-II-04 EN EL TOTAL APROBADO ANUAL DEL ANALÍTICO DE EGRESOS","")</f>
        <v/>
      </c>
    </row>
    <row r="46" spans="1:8" x14ac:dyDescent="0.25">
      <c r="A46" s="426"/>
      <c r="B46" s="429"/>
      <c r="C46" s="429"/>
      <c r="D46" s="429"/>
      <c r="E46" s="429"/>
      <c r="F46" s="429"/>
      <c r="G46" s="429"/>
      <c r="H46" s="441" t="str">
        <f>IF((C45-'ETCA II-04'!C81)&gt;0.9,"ERROR!!!!! EL MONTO NO COINCIDE CON LO REPORTADO EN EL FORMATO ETCA-II-04 EN EL TOTAL DE AMPLIACIONES/REDUCCIONES PRESENTADO EN EL ANALÍTICO DE EGRESOS","")</f>
        <v/>
      </c>
    </row>
    <row r="47" spans="1:8" x14ac:dyDescent="0.25">
      <c r="A47" s="426"/>
      <c r="B47" s="429"/>
      <c r="C47" s="429"/>
      <c r="D47" s="429"/>
      <c r="E47" s="429"/>
      <c r="F47" s="429"/>
      <c r="G47" s="429"/>
      <c r="H47" s="441" t="str">
        <f>IF((D45-'ETCA II-04'!D81)&gt;0.9,"ERROR!!!!! EL MONTO NO COINCIDE CON LO REPORTADO EN EL FORMATO ETCA-II-04 EN EL TOTAL MODIFICADO ANUAL PRESENTADO EN EL ANALÍTICO DE EGRESOS","")</f>
        <v/>
      </c>
    </row>
    <row r="48" spans="1:8" x14ac:dyDescent="0.25">
      <c r="A48" s="427"/>
      <c r="B48" s="428"/>
      <c r="C48" s="428"/>
      <c r="D48" s="429"/>
      <c r="E48" s="428"/>
      <c r="F48" s="428"/>
      <c r="G48" s="429"/>
      <c r="H48" s="441" t="str">
        <f>IF((E45-'ETCA II-04'!E81)&gt;0.9,"ERROR!!!!! EL MONTO NO COINCIDE CON LO REPORTADO EN EL FORMATO ETCA-II-04 EN EL TOTAL DEVENGADO ANUAL PRESENTADO EN EL ANALÍTICO DE EGRESOS","")</f>
        <v/>
      </c>
    </row>
    <row r="49" spans="1:8" x14ac:dyDescent="0.25">
      <c r="A49" s="426"/>
      <c r="B49" s="429"/>
      <c r="C49" s="429"/>
      <c r="D49" s="429"/>
      <c r="E49" s="429"/>
      <c r="F49" s="429"/>
      <c r="G49" s="429"/>
      <c r="H49" s="441" t="str">
        <f>IF((F45-'ETCA II-04'!F81)&gt;0.9,"ERROR!!!!! EL MONTO NO COINCIDE CON LO REPORTADO EN EL FORMATO ETCA-II-04 EN EL TOTAL PAGADO ANUAL PRESENTADO EN EL ANALÍTICO DE EGRESOS","")</f>
        <v/>
      </c>
    </row>
    <row r="50" spans="1:8" x14ac:dyDescent="0.25">
      <c r="H50" s="441" t="str">
        <f>IF((G45-'ETCA II-04'!G81)&gt;0.9,"ERROR!!!!!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7">
    <mergeCell ref="A7:A8"/>
    <mergeCell ref="A1:G1"/>
    <mergeCell ref="A2:G2"/>
    <mergeCell ref="A3:G3"/>
    <mergeCell ref="A4:G4"/>
    <mergeCell ref="A5:G5"/>
    <mergeCell ref="B6:E6"/>
  </mergeCells>
  <pageMargins left="0.7" right="0.7" top="0.75" bottom="0.75" header="0.3" footer="0.3"/>
  <pageSetup scale="83" orientation="portrait" r:id="rId1"/>
  <rowBreaks count="1" manualBreakCount="1">
    <brk id="51" max="6" man="1"/>
  </rowBreaks>
  <colBreaks count="1" manualBreakCount="1">
    <brk id="7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view="pageBreakPreview" zoomScale="60" zoomScaleNormal="100" workbookViewId="0">
      <selection activeCell="I11" sqref="I11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</cols>
  <sheetData>
    <row r="1" spans="1:8" s="569" customFormat="1" ht="15.75" x14ac:dyDescent="0.25">
      <c r="A1" s="1202" t="s">
        <v>25</v>
      </c>
      <c r="B1" s="1203"/>
      <c r="C1" s="1203"/>
      <c r="D1" s="1203"/>
      <c r="E1" s="1203"/>
      <c r="F1" s="1203"/>
      <c r="G1" s="1203"/>
      <c r="H1" s="1204"/>
    </row>
    <row r="2" spans="1:8" s="569" customFormat="1" ht="12" customHeight="1" x14ac:dyDescent="0.25">
      <c r="A2" s="1205" t="str">
        <f>'ETCA-I-01'!A3:G3</f>
        <v>Centro de Evaluacion y Control de Confianza del Estado de Sonora</v>
      </c>
      <c r="B2" s="1206"/>
      <c r="C2" s="1206"/>
      <c r="D2" s="1206"/>
      <c r="E2" s="1206"/>
      <c r="F2" s="1206"/>
      <c r="G2" s="1206"/>
      <c r="H2" s="1207"/>
    </row>
    <row r="3" spans="1:8" s="569" customFormat="1" x14ac:dyDescent="0.25">
      <c r="A3" s="1249" t="s">
        <v>626</v>
      </c>
      <c r="B3" s="1250"/>
      <c r="C3" s="1250"/>
      <c r="D3" s="1250"/>
      <c r="E3" s="1250"/>
      <c r="F3" s="1250"/>
      <c r="G3" s="1250"/>
      <c r="H3" s="1251"/>
    </row>
    <row r="4" spans="1:8" s="569" customFormat="1" ht="11.25" customHeight="1" x14ac:dyDescent="0.25">
      <c r="A4" s="1249" t="s">
        <v>750</v>
      </c>
      <c r="B4" s="1250"/>
      <c r="C4" s="1250"/>
      <c r="D4" s="1250"/>
      <c r="E4" s="1250"/>
      <c r="F4" s="1250"/>
      <c r="G4" s="1250"/>
      <c r="H4" s="1251"/>
    </row>
    <row r="5" spans="1:8" s="569" customFormat="1" ht="11.25" customHeight="1" x14ac:dyDescent="0.25">
      <c r="A5" s="1249" t="str">
        <f>'ETCA-I-03'!A4:D4</f>
        <v>Del 01 de Enero  al 31 de Marzo de 2018</v>
      </c>
      <c r="B5" s="1250"/>
      <c r="C5" s="1250"/>
      <c r="D5" s="1250"/>
      <c r="E5" s="1250"/>
      <c r="F5" s="1250"/>
      <c r="G5" s="1250"/>
      <c r="H5" s="1251"/>
    </row>
    <row r="6" spans="1:8" s="569" customFormat="1" ht="12.75" customHeight="1" thickBot="1" x14ac:dyDescent="0.3">
      <c r="A6" s="1247" t="s">
        <v>89</v>
      </c>
      <c r="B6" s="1252"/>
      <c r="C6" s="1252"/>
      <c r="D6" s="1252"/>
      <c r="E6" s="1252"/>
      <c r="F6" s="1252"/>
      <c r="G6" s="1252"/>
      <c r="H6" s="1253"/>
    </row>
    <row r="7" spans="1:8" s="569" customFormat="1" ht="15.75" thickBot="1" x14ac:dyDescent="0.3">
      <c r="A7" s="1245" t="s">
        <v>90</v>
      </c>
      <c r="B7" s="1246"/>
      <c r="C7" s="1218" t="s">
        <v>628</v>
      </c>
      <c r="D7" s="1219"/>
      <c r="E7" s="1219"/>
      <c r="F7" s="1219"/>
      <c r="G7" s="1220"/>
      <c r="H7" s="1216" t="s">
        <v>629</v>
      </c>
    </row>
    <row r="8" spans="1:8" s="569" customFormat="1" ht="26.25" thickBot="1" x14ac:dyDescent="0.3">
      <c r="A8" s="1247"/>
      <c r="B8" s="1248"/>
      <c r="C8" s="660" t="s">
        <v>630</v>
      </c>
      <c r="D8" s="660" t="s">
        <v>631</v>
      </c>
      <c r="E8" s="660" t="s">
        <v>632</v>
      </c>
      <c r="F8" s="660" t="s">
        <v>481</v>
      </c>
      <c r="G8" s="660" t="s">
        <v>730</v>
      </c>
      <c r="H8" s="1217"/>
    </row>
    <row r="9" spans="1:8" x14ac:dyDescent="0.25">
      <c r="A9" s="1239"/>
      <c r="B9" s="1240"/>
      <c r="C9" s="647"/>
      <c r="D9" s="647"/>
      <c r="E9" s="647"/>
      <c r="F9" s="647"/>
      <c r="G9" s="647"/>
      <c r="H9" s="647"/>
    </row>
    <row r="10" spans="1:8" ht="16.5" customHeight="1" x14ac:dyDescent="0.25">
      <c r="A10" s="1241" t="s">
        <v>782</v>
      </c>
      <c r="B10" s="1242"/>
      <c r="C10" s="585">
        <f>+C11+C21+C30+C41</f>
        <v>0</v>
      </c>
      <c r="D10" s="585">
        <f t="shared" ref="D10:H10" si="0">+D11+D21+D30+D41</f>
        <v>0</v>
      </c>
      <c r="E10" s="585">
        <f t="shared" si="0"/>
        <v>0</v>
      </c>
      <c r="F10" s="585">
        <f t="shared" si="0"/>
        <v>0</v>
      </c>
      <c r="G10" s="585">
        <f t="shared" si="0"/>
        <v>0</v>
      </c>
      <c r="H10" s="585">
        <f t="shared" si="0"/>
        <v>0</v>
      </c>
    </row>
    <row r="11" spans="1:8" x14ac:dyDescent="0.25">
      <c r="A11" s="1243" t="s">
        <v>783</v>
      </c>
      <c r="B11" s="1244"/>
      <c r="C11" s="603">
        <f>SUM(C12:C19)</f>
        <v>0</v>
      </c>
      <c r="D11" s="603">
        <f t="shared" ref="D11:H11" si="1">SUM(D12:D19)</f>
        <v>0</v>
      </c>
      <c r="E11" s="603">
        <f t="shared" si="1"/>
        <v>0</v>
      </c>
      <c r="F11" s="603">
        <f t="shared" si="1"/>
        <v>0</v>
      </c>
      <c r="G11" s="603">
        <f t="shared" si="1"/>
        <v>0</v>
      </c>
      <c r="H11" s="603">
        <f t="shared" si="1"/>
        <v>0</v>
      </c>
    </row>
    <row r="12" spans="1:8" x14ac:dyDescent="0.25">
      <c r="A12" s="604"/>
      <c r="B12" s="605" t="s">
        <v>784</v>
      </c>
      <c r="C12" s="606">
        <f>'ETCA-II-11'!B11</f>
        <v>0</v>
      </c>
      <c r="D12" s="606">
        <f>'ETCA-II-11'!C11</f>
        <v>0</v>
      </c>
      <c r="E12" s="603">
        <f>C12+D12</f>
        <v>0</v>
      </c>
      <c r="F12" s="606">
        <f>'ETCA-II-11'!E11</f>
        <v>0</v>
      </c>
      <c r="G12" s="606">
        <f>'ETCA-II-11'!F11</f>
        <v>0</v>
      </c>
      <c r="H12" s="603">
        <f>+E12-F12</f>
        <v>0</v>
      </c>
    </row>
    <row r="13" spans="1:8" x14ac:dyDescent="0.25">
      <c r="A13" s="604"/>
      <c r="B13" s="605" t="s">
        <v>785</v>
      </c>
      <c r="C13" s="606"/>
      <c r="D13" s="606"/>
      <c r="E13" s="603">
        <f t="shared" ref="E13:E19" si="2">C13+D13</f>
        <v>0</v>
      </c>
      <c r="F13" s="606"/>
      <c r="G13" s="606"/>
      <c r="H13" s="603">
        <f t="shared" ref="H13:H28" si="3">+E13-F13</f>
        <v>0</v>
      </c>
    </row>
    <row r="14" spans="1:8" x14ac:dyDescent="0.25">
      <c r="A14" s="604"/>
      <c r="B14" s="605" t="s">
        <v>786</v>
      </c>
      <c r="C14" s="606"/>
      <c r="D14" s="606"/>
      <c r="E14" s="603">
        <f t="shared" si="2"/>
        <v>0</v>
      </c>
      <c r="F14" s="606"/>
      <c r="G14" s="606"/>
      <c r="H14" s="603">
        <f t="shared" si="3"/>
        <v>0</v>
      </c>
    </row>
    <row r="15" spans="1:8" x14ac:dyDescent="0.25">
      <c r="A15" s="604"/>
      <c r="B15" s="605" t="s">
        <v>787</v>
      </c>
      <c r="C15" s="606"/>
      <c r="D15" s="606"/>
      <c r="E15" s="603">
        <f t="shared" si="2"/>
        <v>0</v>
      </c>
      <c r="F15" s="606"/>
      <c r="G15" s="606"/>
      <c r="H15" s="603">
        <f t="shared" si="3"/>
        <v>0</v>
      </c>
    </row>
    <row r="16" spans="1:8" x14ac:dyDescent="0.25">
      <c r="A16" s="604"/>
      <c r="B16" s="605" t="s">
        <v>788</v>
      </c>
      <c r="C16" s="606"/>
      <c r="D16" s="606"/>
      <c r="E16" s="603">
        <f t="shared" si="2"/>
        <v>0</v>
      </c>
      <c r="F16" s="606"/>
      <c r="G16" s="606"/>
      <c r="H16" s="603">
        <f t="shared" si="3"/>
        <v>0</v>
      </c>
    </row>
    <row r="17" spans="1:8" x14ac:dyDescent="0.25">
      <c r="A17" s="604"/>
      <c r="B17" s="605" t="s">
        <v>789</v>
      </c>
      <c r="C17" s="606"/>
      <c r="D17" s="606"/>
      <c r="E17" s="603">
        <f t="shared" si="2"/>
        <v>0</v>
      </c>
      <c r="F17" s="606"/>
      <c r="G17" s="606"/>
      <c r="H17" s="603">
        <f t="shared" si="3"/>
        <v>0</v>
      </c>
    </row>
    <row r="18" spans="1:8" x14ac:dyDescent="0.25">
      <c r="A18" s="604"/>
      <c r="B18" s="605" t="s">
        <v>790</v>
      </c>
      <c r="C18" s="606"/>
      <c r="D18" s="606"/>
      <c r="E18" s="603">
        <f t="shared" si="2"/>
        <v>0</v>
      </c>
      <c r="F18" s="606"/>
      <c r="G18" s="606"/>
      <c r="H18" s="603">
        <f t="shared" si="3"/>
        <v>0</v>
      </c>
    </row>
    <row r="19" spans="1:8" x14ac:dyDescent="0.25">
      <c r="A19" s="604"/>
      <c r="B19" s="605" t="s">
        <v>791</v>
      </c>
      <c r="C19" s="606"/>
      <c r="D19" s="606"/>
      <c r="E19" s="603">
        <f t="shared" si="2"/>
        <v>0</v>
      </c>
      <c r="F19" s="606"/>
      <c r="G19" s="606"/>
      <c r="H19" s="603">
        <f t="shared" si="3"/>
        <v>0</v>
      </c>
    </row>
    <row r="20" spans="1:8" x14ac:dyDescent="0.25">
      <c r="A20" s="607"/>
      <c r="B20" s="608"/>
      <c r="C20" s="609"/>
      <c r="D20" s="609"/>
      <c r="E20" s="609"/>
      <c r="F20" s="609"/>
      <c r="G20" s="609"/>
      <c r="H20" s="610" t="s">
        <v>258</v>
      </c>
    </row>
    <row r="21" spans="1:8" x14ac:dyDescent="0.25">
      <c r="A21" s="1243" t="s">
        <v>792</v>
      </c>
      <c r="B21" s="1244"/>
      <c r="C21" s="603">
        <f>SUM(C22:C28)</f>
        <v>0</v>
      </c>
      <c r="D21" s="603">
        <f t="shared" ref="D21:H21" si="4">SUM(D22:D28)</f>
        <v>0</v>
      </c>
      <c r="E21" s="603">
        <f t="shared" si="4"/>
        <v>0</v>
      </c>
      <c r="F21" s="603">
        <f t="shared" si="4"/>
        <v>0</v>
      </c>
      <c r="G21" s="603">
        <f t="shared" si="4"/>
        <v>0</v>
      </c>
      <c r="H21" s="603">
        <f t="shared" si="4"/>
        <v>0</v>
      </c>
    </row>
    <row r="22" spans="1:8" x14ac:dyDescent="0.25">
      <c r="A22" s="604"/>
      <c r="B22" s="605" t="s">
        <v>793</v>
      </c>
      <c r="C22" s="606"/>
      <c r="D22" s="606"/>
      <c r="E22" s="603">
        <f t="shared" ref="E22:E28" si="5">C22+D22</f>
        <v>0</v>
      </c>
      <c r="F22" s="606"/>
      <c r="G22" s="606"/>
      <c r="H22" s="603">
        <f t="shared" si="3"/>
        <v>0</v>
      </c>
    </row>
    <row r="23" spans="1:8" x14ac:dyDescent="0.25">
      <c r="A23" s="604"/>
      <c r="B23" s="605" t="s">
        <v>794</v>
      </c>
      <c r="C23" s="606"/>
      <c r="D23" s="606"/>
      <c r="E23" s="603">
        <f t="shared" si="5"/>
        <v>0</v>
      </c>
      <c r="F23" s="606"/>
      <c r="G23" s="606"/>
      <c r="H23" s="603">
        <f t="shared" si="3"/>
        <v>0</v>
      </c>
    </row>
    <row r="24" spans="1:8" x14ac:dyDescent="0.25">
      <c r="A24" s="604"/>
      <c r="B24" s="605" t="s">
        <v>795</v>
      </c>
      <c r="C24" s="606"/>
      <c r="D24" s="606"/>
      <c r="E24" s="603">
        <f t="shared" si="5"/>
        <v>0</v>
      </c>
      <c r="F24" s="606"/>
      <c r="G24" s="606"/>
      <c r="H24" s="603">
        <f t="shared" si="3"/>
        <v>0</v>
      </c>
    </row>
    <row r="25" spans="1:8" x14ac:dyDescent="0.25">
      <c r="A25" s="604"/>
      <c r="B25" s="605" t="s">
        <v>796</v>
      </c>
      <c r="C25" s="606"/>
      <c r="D25" s="606"/>
      <c r="E25" s="603">
        <f t="shared" si="5"/>
        <v>0</v>
      </c>
      <c r="F25" s="606"/>
      <c r="G25" s="606"/>
      <c r="H25" s="603">
        <f t="shared" si="3"/>
        <v>0</v>
      </c>
    </row>
    <row r="26" spans="1:8" x14ac:dyDescent="0.25">
      <c r="A26" s="604"/>
      <c r="B26" s="605" t="s">
        <v>797</v>
      </c>
      <c r="C26" s="606"/>
      <c r="D26" s="606"/>
      <c r="E26" s="603">
        <f t="shared" si="5"/>
        <v>0</v>
      </c>
      <c r="F26" s="606"/>
      <c r="G26" s="606"/>
      <c r="H26" s="603">
        <f t="shared" si="3"/>
        <v>0</v>
      </c>
    </row>
    <row r="27" spans="1:8" x14ac:dyDescent="0.25">
      <c r="A27" s="604"/>
      <c r="B27" s="605" t="s">
        <v>798</v>
      </c>
      <c r="C27" s="606"/>
      <c r="D27" s="606"/>
      <c r="E27" s="603">
        <f t="shared" si="5"/>
        <v>0</v>
      </c>
      <c r="F27" s="606"/>
      <c r="G27" s="606"/>
      <c r="H27" s="603">
        <f t="shared" si="3"/>
        <v>0</v>
      </c>
    </row>
    <row r="28" spans="1:8" x14ac:dyDescent="0.25">
      <c r="A28" s="604"/>
      <c r="B28" s="605" t="s">
        <v>799</v>
      </c>
      <c r="C28" s="606"/>
      <c r="D28" s="606"/>
      <c r="E28" s="603">
        <f t="shared" si="5"/>
        <v>0</v>
      </c>
      <c r="F28" s="606"/>
      <c r="G28" s="606"/>
      <c r="H28" s="603">
        <f t="shared" si="3"/>
        <v>0</v>
      </c>
    </row>
    <row r="29" spans="1:8" x14ac:dyDescent="0.25">
      <c r="A29" s="607"/>
      <c r="B29" s="608"/>
      <c r="C29" s="611"/>
      <c r="D29" s="611"/>
      <c r="E29" s="611"/>
      <c r="F29" s="611"/>
      <c r="G29" s="611"/>
      <c r="H29" s="611"/>
    </row>
    <row r="30" spans="1:8" x14ac:dyDescent="0.25">
      <c r="A30" s="1243" t="s">
        <v>800</v>
      </c>
      <c r="B30" s="1244"/>
      <c r="C30" s="603">
        <f>SUM(C31:C39)</f>
        <v>0</v>
      </c>
      <c r="D30" s="603">
        <f t="shared" ref="D30:H30" si="6">SUM(D31:D39)</f>
        <v>0</v>
      </c>
      <c r="E30" s="603">
        <f t="shared" si="6"/>
        <v>0</v>
      </c>
      <c r="F30" s="603">
        <f t="shared" si="6"/>
        <v>0</v>
      </c>
      <c r="G30" s="603">
        <f t="shared" si="6"/>
        <v>0</v>
      </c>
      <c r="H30" s="603">
        <f t="shared" si="6"/>
        <v>0</v>
      </c>
    </row>
    <row r="31" spans="1:8" x14ac:dyDescent="0.25">
      <c r="A31" s="604"/>
      <c r="B31" s="605" t="s">
        <v>801</v>
      </c>
      <c r="C31" s="606"/>
      <c r="D31" s="606"/>
      <c r="E31" s="603">
        <f t="shared" ref="E31:E39" si="7">C31+D31</f>
        <v>0</v>
      </c>
      <c r="F31" s="606"/>
      <c r="G31" s="606"/>
      <c r="H31" s="603">
        <f t="shared" ref="H31:H38" si="8">+E31-F31</f>
        <v>0</v>
      </c>
    </row>
    <row r="32" spans="1:8" x14ac:dyDescent="0.25">
      <c r="A32" s="604"/>
      <c r="B32" s="605" t="s">
        <v>802</v>
      </c>
      <c r="C32" s="606"/>
      <c r="D32" s="606"/>
      <c r="E32" s="603">
        <f t="shared" si="7"/>
        <v>0</v>
      </c>
      <c r="F32" s="606"/>
      <c r="G32" s="606"/>
      <c r="H32" s="603">
        <f t="shared" si="8"/>
        <v>0</v>
      </c>
    </row>
    <row r="33" spans="1:8" x14ac:dyDescent="0.25">
      <c r="A33" s="604"/>
      <c r="B33" s="605" t="s">
        <v>803</v>
      </c>
      <c r="C33" s="606"/>
      <c r="D33" s="606"/>
      <c r="E33" s="603">
        <f t="shared" si="7"/>
        <v>0</v>
      </c>
      <c r="F33" s="606"/>
      <c r="G33" s="606"/>
      <c r="H33" s="603">
        <f t="shared" si="8"/>
        <v>0</v>
      </c>
    </row>
    <row r="34" spans="1:8" ht="15.75" thickBot="1" x14ac:dyDescent="0.3">
      <c r="A34" s="612"/>
      <c r="B34" s="613" t="s">
        <v>804</v>
      </c>
      <c r="C34" s="614"/>
      <c r="D34" s="614"/>
      <c r="E34" s="615">
        <f t="shared" si="7"/>
        <v>0</v>
      </c>
      <c r="F34" s="614"/>
      <c r="G34" s="614"/>
      <c r="H34" s="615">
        <f t="shared" si="8"/>
        <v>0</v>
      </c>
    </row>
    <row r="35" spans="1:8" x14ac:dyDescent="0.25">
      <c r="A35" s="604"/>
      <c r="B35" s="605" t="s">
        <v>805</v>
      </c>
      <c r="C35" s="606"/>
      <c r="D35" s="606"/>
      <c r="E35" s="603">
        <f t="shared" si="7"/>
        <v>0</v>
      </c>
      <c r="F35" s="606"/>
      <c r="G35" s="606"/>
      <c r="H35" s="603">
        <f t="shared" si="8"/>
        <v>0</v>
      </c>
    </row>
    <row r="36" spans="1:8" x14ac:dyDescent="0.25">
      <c r="A36" s="604"/>
      <c r="B36" s="605" t="s">
        <v>806</v>
      </c>
      <c r="C36" s="606"/>
      <c r="D36" s="606"/>
      <c r="E36" s="603">
        <f t="shared" si="7"/>
        <v>0</v>
      </c>
      <c r="F36" s="606"/>
      <c r="G36" s="606"/>
      <c r="H36" s="603">
        <f t="shared" si="8"/>
        <v>0</v>
      </c>
    </row>
    <row r="37" spans="1:8" x14ac:dyDescent="0.25">
      <c r="A37" s="604"/>
      <c r="B37" s="605" t="s">
        <v>807</v>
      </c>
      <c r="C37" s="606"/>
      <c r="D37" s="606"/>
      <c r="E37" s="603">
        <f t="shared" si="7"/>
        <v>0</v>
      </c>
      <c r="F37" s="606"/>
      <c r="G37" s="606"/>
      <c r="H37" s="603">
        <f t="shared" si="8"/>
        <v>0</v>
      </c>
    </row>
    <row r="38" spans="1:8" x14ac:dyDescent="0.25">
      <c r="A38" s="604"/>
      <c r="B38" s="605" t="s">
        <v>808</v>
      </c>
      <c r="C38" s="606"/>
      <c r="D38" s="606"/>
      <c r="E38" s="603">
        <f t="shared" si="7"/>
        <v>0</v>
      </c>
      <c r="F38" s="606"/>
      <c r="G38" s="606"/>
      <c r="H38" s="603">
        <f t="shared" si="8"/>
        <v>0</v>
      </c>
    </row>
    <row r="39" spans="1:8" x14ac:dyDescent="0.25">
      <c r="A39" s="604"/>
      <c r="B39" s="605" t="s">
        <v>809</v>
      </c>
      <c r="C39" s="606"/>
      <c r="D39" s="606"/>
      <c r="E39" s="603">
        <f t="shared" si="7"/>
        <v>0</v>
      </c>
      <c r="F39" s="606"/>
      <c r="G39" s="606"/>
      <c r="H39" s="603"/>
    </row>
    <row r="40" spans="1:8" x14ac:dyDescent="0.25">
      <c r="A40" s="604"/>
      <c r="B40" s="605"/>
      <c r="C40" s="606"/>
      <c r="D40" s="606"/>
      <c r="E40" s="603"/>
      <c r="F40" s="606"/>
      <c r="G40" s="606"/>
      <c r="H40" s="603"/>
    </row>
    <row r="41" spans="1:8" x14ac:dyDescent="0.25">
      <c r="A41" s="604" t="s">
        <v>810</v>
      </c>
      <c r="B41" s="605"/>
      <c r="C41" s="610">
        <f>SUM(C42:C45)</f>
        <v>0</v>
      </c>
      <c r="D41" s="610">
        <f t="shared" ref="D41:H41" si="9">SUM(D42:D45)</f>
        <v>0</v>
      </c>
      <c r="E41" s="610">
        <f t="shared" si="9"/>
        <v>0</v>
      </c>
      <c r="F41" s="610">
        <f t="shared" si="9"/>
        <v>0</v>
      </c>
      <c r="G41" s="610">
        <f t="shared" si="9"/>
        <v>0</v>
      </c>
      <c r="H41" s="610">
        <f t="shared" si="9"/>
        <v>0</v>
      </c>
    </row>
    <row r="42" spans="1:8" x14ac:dyDescent="0.25">
      <c r="A42" s="604"/>
      <c r="B42" s="605" t="s">
        <v>811</v>
      </c>
      <c r="C42" s="606"/>
      <c r="D42" s="606"/>
      <c r="E42" s="603">
        <f t="shared" ref="E42:E45" si="10">C42+D42</f>
        <v>0</v>
      </c>
      <c r="F42" s="606"/>
      <c r="G42" s="606"/>
      <c r="H42" s="603">
        <f t="shared" ref="H42:H45" si="11">+E42-F42</f>
        <v>0</v>
      </c>
    </row>
    <row r="43" spans="1:8" x14ac:dyDescent="0.25">
      <c r="A43" s="604"/>
      <c r="B43" s="605" t="s">
        <v>812</v>
      </c>
      <c r="C43" s="606"/>
      <c r="D43" s="606"/>
      <c r="E43" s="603">
        <f t="shared" si="10"/>
        <v>0</v>
      </c>
      <c r="F43" s="606"/>
      <c r="G43" s="606"/>
      <c r="H43" s="603">
        <f t="shared" si="11"/>
        <v>0</v>
      </c>
    </row>
    <row r="44" spans="1:8" x14ac:dyDescent="0.25">
      <c r="A44" s="604"/>
      <c r="B44" s="605" t="s">
        <v>813</v>
      </c>
      <c r="C44" s="606"/>
      <c r="D44" s="606"/>
      <c r="E44" s="603">
        <f t="shared" si="10"/>
        <v>0</v>
      </c>
      <c r="F44" s="606"/>
      <c r="G44" s="606"/>
      <c r="H44" s="603">
        <f t="shared" si="11"/>
        <v>0</v>
      </c>
    </row>
    <row r="45" spans="1:8" x14ac:dyDescent="0.25">
      <c r="A45" s="604"/>
      <c r="B45" s="605" t="s">
        <v>814</v>
      </c>
      <c r="C45" s="606"/>
      <c r="D45" s="606"/>
      <c r="E45" s="603">
        <f t="shared" si="10"/>
        <v>0</v>
      </c>
      <c r="F45" s="606"/>
      <c r="G45" s="606"/>
      <c r="H45" s="603">
        <f t="shared" si="11"/>
        <v>0</v>
      </c>
    </row>
    <row r="46" spans="1:8" x14ac:dyDescent="0.25">
      <c r="A46" s="604"/>
      <c r="B46" s="605"/>
      <c r="C46" s="606"/>
      <c r="D46" s="606"/>
      <c r="E46" s="603"/>
      <c r="F46" s="606"/>
      <c r="G46" s="606"/>
      <c r="H46" s="603"/>
    </row>
    <row r="47" spans="1:8" x14ac:dyDescent="0.25">
      <c r="A47" s="604" t="s">
        <v>815</v>
      </c>
      <c r="B47" s="605"/>
      <c r="C47" s="610">
        <f t="shared" ref="C47:H47" si="12">+C48+C58+C66+C77</f>
        <v>0</v>
      </c>
      <c r="D47" s="610">
        <f t="shared" si="12"/>
        <v>0</v>
      </c>
      <c r="E47" s="610">
        <f t="shared" si="12"/>
        <v>0</v>
      </c>
      <c r="F47" s="610">
        <f t="shared" si="12"/>
        <v>0</v>
      </c>
      <c r="G47" s="610">
        <f t="shared" si="12"/>
        <v>0</v>
      </c>
      <c r="H47" s="610">
        <f t="shared" si="12"/>
        <v>0</v>
      </c>
    </row>
    <row r="48" spans="1:8" x14ac:dyDescent="0.25">
      <c r="A48" s="604" t="s">
        <v>783</v>
      </c>
      <c r="B48" s="605"/>
      <c r="C48" s="610">
        <f>SUM(C49:C56)</f>
        <v>0</v>
      </c>
      <c r="D48" s="610">
        <f t="shared" ref="D48:H48" si="13">SUM(D49:D56)</f>
        <v>0</v>
      </c>
      <c r="E48" s="610">
        <f t="shared" si="13"/>
        <v>0</v>
      </c>
      <c r="F48" s="610">
        <f t="shared" si="13"/>
        <v>0</v>
      </c>
      <c r="G48" s="610">
        <f t="shared" si="13"/>
        <v>0</v>
      </c>
      <c r="H48" s="610">
        <f t="shared" si="13"/>
        <v>0</v>
      </c>
    </row>
    <row r="49" spans="1:8" x14ac:dyDescent="0.25">
      <c r="A49" s="604"/>
      <c r="B49" s="605" t="s">
        <v>784</v>
      </c>
      <c r="C49" s="606"/>
      <c r="D49" s="606"/>
      <c r="E49" s="603">
        <f t="shared" ref="E49:E56" si="14">C49+D49</f>
        <v>0</v>
      </c>
      <c r="F49" s="606"/>
      <c r="G49" s="606"/>
      <c r="H49" s="603">
        <f t="shared" ref="H49:H56" si="15">+E49-F49</f>
        <v>0</v>
      </c>
    </row>
    <row r="50" spans="1:8" x14ac:dyDescent="0.25">
      <c r="A50" s="604"/>
      <c r="B50" s="605" t="s">
        <v>785</v>
      </c>
      <c r="C50" s="606"/>
      <c r="D50" s="606"/>
      <c r="E50" s="603">
        <f t="shared" si="14"/>
        <v>0</v>
      </c>
      <c r="F50" s="606"/>
      <c r="G50" s="606"/>
      <c r="H50" s="603">
        <f t="shared" si="15"/>
        <v>0</v>
      </c>
    </row>
    <row r="51" spans="1:8" x14ac:dyDescent="0.25">
      <c r="A51" s="604"/>
      <c r="B51" s="605" t="s">
        <v>786</v>
      </c>
      <c r="C51" s="606"/>
      <c r="D51" s="606"/>
      <c r="E51" s="603">
        <f t="shared" si="14"/>
        <v>0</v>
      </c>
      <c r="F51" s="606"/>
      <c r="G51" s="606"/>
      <c r="H51" s="603">
        <f t="shared" si="15"/>
        <v>0</v>
      </c>
    </row>
    <row r="52" spans="1:8" x14ac:dyDescent="0.25">
      <c r="A52" s="604"/>
      <c r="B52" s="605" t="s">
        <v>787</v>
      </c>
      <c r="C52" s="606"/>
      <c r="D52" s="606"/>
      <c r="E52" s="603">
        <f t="shared" si="14"/>
        <v>0</v>
      </c>
      <c r="F52" s="606"/>
      <c r="G52" s="606"/>
      <c r="H52" s="603">
        <f t="shared" si="15"/>
        <v>0</v>
      </c>
    </row>
    <row r="53" spans="1:8" x14ac:dyDescent="0.25">
      <c r="A53" s="604"/>
      <c r="B53" s="605" t="s">
        <v>788</v>
      </c>
      <c r="C53" s="606"/>
      <c r="D53" s="606"/>
      <c r="E53" s="603">
        <f t="shared" si="14"/>
        <v>0</v>
      </c>
      <c r="F53" s="606"/>
      <c r="G53" s="606"/>
      <c r="H53" s="603">
        <f t="shared" si="15"/>
        <v>0</v>
      </c>
    </row>
    <row r="54" spans="1:8" x14ac:dyDescent="0.25">
      <c r="A54" s="604"/>
      <c r="B54" s="605" t="s">
        <v>789</v>
      </c>
      <c r="C54" s="606"/>
      <c r="D54" s="606"/>
      <c r="E54" s="603">
        <f t="shared" si="14"/>
        <v>0</v>
      </c>
      <c r="F54" s="606"/>
      <c r="G54" s="606"/>
      <c r="H54" s="603">
        <f t="shared" si="15"/>
        <v>0</v>
      </c>
    </row>
    <row r="55" spans="1:8" x14ac:dyDescent="0.25">
      <c r="A55" s="604"/>
      <c r="B55" s="605" t="s">
        <v>790</v>
      </c>
      <c r="C55" s="606"/>
      <c r="D55" s="606"/>
      <c r="E55" s="603">
        <f t="shared" si="14"/>
        <v>0</v>
      </c>
      <c r="F55" s="606"/>
      <c r="G55" s="606"/>
      <c r="H55" s="603">
        <f t="shared" si="15"/>
        <v>0</v>
      </c>
    </row>
    <row r="56" spans="1:8" x14ac:dyDescent="0.25">
      <c r="A56" s="604"/>
      <c r="B56" s="605" t="s">
        <v>791</v>
      </c>
      <c r="C56" s="606"/>
      <c r="D56" s="606"/>
      <c r="E56" s="603">
        <f t="shared" si="14"/>
        <v>0</v>
      </c>
      <c r="F56" s="606"/>
      <c r="G56" s="606"/>
      <c r="H56" s="603">
        <f t="shared" si="15"/>
        <v>0</v>
      </c>
    </row>
    <row r="57" spans="1:8" x14ac:dyDescent="0.25">
      <c r="A57" s="604"/>
      <c r="B57" s="605"/>
      <c r="C57" s="606"/>
      <c r="D57" s="606"/>
      <c r="E57" s="603"/>
      <c r="F57" s="606"/>
      <c r="G57" s="606"/>
      <c r="H57" s="603"/>
    </row>
    <row r="58" spans="1:8" x14ac:dyDescent="0.25">
      <c r="A58" s="604" t="s">
        <v>792</v>
      </c>
      <c r="B58" s="605"/>
      <c r="C58" s="610">
        <f>SUM(C59:C65)</f>
        <v>0</v>
      </c>
      <c r="D58" s="610">
        <f t="shared" ref="D58:H58" si="16">SUM(D59:D65)</f>
        <v>0</v>
      </c>
      <c r="E58" s="610">
        <f t="shared" si="16"/>
        <v>0</v>
      </c>
      <c r="F58" s="610">
        <f t="shared" si="16"/>
        <v>0</v>
      </c>
      <c r="G58" s="610">
        <f t="shared" si="16"/>
        <v>0</v>
      </c>
      <c r="H58" s="610">
        <f t="shared" si="16"/>
        <v>0</v>
      </c>
    </row>
    <row r="59" spans="1:8" x14ac:dyDescent="0.25">
      <c r="A59" s="604"/>
      <c r="B59" s="605" t="s">
        <v>793</v>
      </c>
      <c r="C59" s="606"/>
      <c r="D59" s="606"/>
      <c r="E59" s="603">
        <f t="shared" ref="E59:E65" si="17">C59+D59</f>
        <v>0</v>
      </c>
      <c r="F59" s="606"/>
      <c r="G59" s="606"/>
      <c r="H59" s="603">
        <f t="shared" ref="H59:H65" si="18">+E59-F59</f>
        <v>0</v>
      </c>
    </row>
    <row r="60" spans="1:8" x14ac:dyDescent="0.25">
      <c r="A60" s="604"/>
      <c r="B60" s="605" t="s">
        <v>794</v>
      </c>
      <c r="C60" s="606"/>
      <c r="D60" s="606"/>
      <c r="E60" s="603">
        <f t="shared" si="17"/>
        <v>0</v>
      </c>
      <c r="F60" s="606"/>
      <c r="G60" s="606"/>
      <c r="H60" s="603">
        <f t="shared" si="18"/>
        <v>0</v>
      </c>
    </row>
    <row r="61" spans="1:8" x14ac:dyDescent="0.25">
      <c r="A61" s="604"/>
      <c r="B61" s="605" t="s">
        <v>795</v>
      </c>
      <c r="C61" s="606"/>
      <c r="D61" s="606"/>
      <c r="E61" s="603">
        <f t="shared" si="17"/>
        <v>0</v>
      </c>
      <c r="F61" s="606"/>
      <c r="G61" s="606"/>
      <c r="H61" s="603">
        <f t="shared" si="18"/>
        <v>0</v>
      </c>
    </row>
    <row r="62" spans="1:8" x14ac:dyDescent="0.25">
      <c r="A62" s="604"/>
      <c r="B62" s="605" t="s">
        <v>796</v>
      </c>
      <c r="C62" s="606"/>
      <c r="D62" s="606"/>
      <c r="E62" s="603">
        <f t="shared" si="17"/>
        <v>0</v>
      </c>
      <c r="F62" s="606"/>
      <c r="G62" s="606"/>
      <c r="H62" s="603">
        <f t="shared" si="18"/>
        <v>0</v>
      </c>
    </row>
    <row r="63" spans="1:8" x14ac:dyDescent="0.25">
      <c r="A63" s="604"/>
      <c r="B63" s="605" t="s">
        <v>797</v>
      </c>
      <c r="C63" s="606"/>
      <c r="D63" s="606"/>
      <c r="E63" s="603">
        <f t="shared" si="17"/>
        <v>0</v>
      </c>
      <c r="F63" s="606"/>
      <c r="G63" s="606"/>
      <c r="H63" s="603">
        <f t="shared" si="18"/>
        <v>0</v>
      </c>
    </row>
    <row r="64" spans="1:8" x14ac:dyDescent="0.25">
      <c r="A64" s="604"/>
      <c r="B64" s="605" t="s">
        <v>798</v>
      </c>
      <c r="C64" s="606"/>
      <c r="D64" s="606"/>
      <c r="E64" s="603">
        <f t="shared" si="17"/>
        <v>0</v>
      </c>
      <c r="F64" s="606"/>
      <c r="G64" s="606"/>
      <c r="H64" s="603">
        <f t="shared" si="18"/>
        <v>0</v>
      </c>
    </row>
    <row r="65" spans="1:8" ht="15.75" thickBot="1" x14ac:dyDescent="0.3">
      <c r="A65" s="612"/>
      <c r="B65" s="613" t="s">
        <v>799</v>
      </c>
      <c r="C65" s="614"/>
      <c r="D65" s="614"/>
      <c r="E65" s="615">
        <f t="shared" si="17"/>
        <v>0</v>
      </c>
      <c r="F65" s="614"/>
      <c r="G65" s="614"/>
      <c r="H65" s="615">
        <f t="shared" si="18"/>
        <v>0</v>
      </c>
    </row>
    <row r="66" spans="1:8" x14ac:dyDescent="0.25">
      <c r="A66" s="604" t="s">
        <v>800</v>
      </c>
      <c r="B66" s="605"/>
      <c r="C66" s="610">
        <f>SUM(C67:C75)</f>
        <v>0</v>
      </c>
      <c r="D66" s="610">
        <f t="shared" ref="D66:H66" si="19">SUM(D67:D75)</f>
        <v>0</v>
      </c>
      <c r="E66" s="610">
        <f t="shared" si="19"/>
        <v>0</v>
      </c>
      <c r="F66" s="610">
        <f t="shared" si="19"/>
        <v>0</v>
      </c>
      <c r="G66" s="610">
        <f t="shared" si="19"/>
        <v>0</v>
      </c>
      <c r="H66" s="610">
        <f t="shared" si="19"/>
        <v>0</v>
      </c>
    </row>
    <row r="67" spans="1:8" x14ac:dyDescent="0.25">
      <c r="A67" s="604"/>
      <c r="B67" s="605" t="s">
        <v>801</v>
      </c>
      <c r="C67" s="606"/>
      <c r="D67" s="606"/>
      <c r="E67" s="603">
        <f t="shared" ref="E67:E75" si="20">C67+D67</f>
        <v>0</v>
      </c>
      <c r="F67" s="606"/>
      <c r="G67" s="606"/>
      <c r="H67" s="603">
        <f t="shared" ref="H67:H75" si="21">+E67-F67</f>
        <v>0</v>
      </c>
    </row>
    <row r="68" spans="1:8" x14ac:dyDescent="0.25">
      <c r="A68" s="604"/>
      <c r="B68" s="605" t="s">
        <v>802</v>
      </c>
      <c r="C68" s="606"/>
      <c r="D68" s="606"/>
      <c r="E68" s="603"/>
      <c r="F68" s="606"/>
      <c r="G68" s="606"/>
      <c r="H68" s="603">
        <f t="shared" si="21"/>
        <v>0</v>
      </c>
    </row>
    <row r="69" spans="1:8" x14ac:dyDescent="0.25">
      <c r="A69" s="604"/>
      <c r="B69" s="605" t="s">
        <v>803</v>
      </c>
      <c r="C69" s="606"/>
      <c r="D69" s="606"/>
      <c r="E69" s="603">
        <f t="shared" si="20"/>
        <v>0</v>
      </c>
      <c r="F69" s="606"/>
      <c r="G69" s="606"/>
      <c r="H69" s="603">
        <f t="shared" si="21"/>
        <v>0</v>
      </c>
    </row>
    <row r="70" spans="1:8" x14ac:dyDescent="0.25">
      <c r="A70" s="604"/>
      <c r="B70" s="605" t="s">
        <v>804</v>
      </c>
      <c r="C70" s="606"/>
      <c r="D70" s="606"/>
      <c r="E70" s="603">
        <f t="shared" si="20"/>
        <v>0</v>
      </c>
      <c r="F70" s="606"/>
      <c r="G70" s="606"/>
      <c r="H70" s="603">
        <f t="shared" si="21"/>
        <v>0</v>
      </c>
    </row>
    <row r="71" spans="1:8" x14ac:dyDescent="0.25">
      <c r="A71" s="604"/>
      <c r="B71" s="605" t="s">
        <v>805</v>
      </c>
      <c r="C71" s="606"/>
      <c r="D71" s="606"/>
      <c r="E71" s="603">
        <f t="shared" si="20"/>
        <v>0</v>
      </c>
      <c r="F71" s="606"/>
      <c r="G71" s="606"/>
      <c r="H71" s="603">
        <f t="shared" si="21"/>
        <v>0</v>
      </c>
    </row>
    <row r="72" spans="1:8" x14ac:dyDescent="0.25">
      <c r="A72" s="604"/>
      <c r="B72" s="605" t="s">
        <v>806</v>
      </c>
      <c r="C72" s="606"/>
      <c r="D72" s="606"/>
      <c r="E72" s="603">
        <f t="shared" si="20"/>
        <v>0</v>
      </c>
      <c r="F72" s="606"/>
      <c r="G72" s="606"/>
      <c r="H72" s="603">
        <f t="shared" si="21"/>
        <v>0</v>
      </c>
    </row>
    <row r="73" spans="1:8" x14ac:dyDescent="0.25">
      <c r="A73" s="604"/>
      <c r="B73" s="605" t="s">
        <v>807</v>
      </c>
      <c r="C73" s="606"/>
      <c r="D73" s="606"/>
      <c r="E73" s="603">
        <f t="shared" si="20"/>
        <v>0</v>
      </c>
      <c r="F73" s="606"/>
      <c r="G73" s="606"/>
      <c r="H73" s="603">
        <f t="shared" si="21"/>
        <v>0</v>
      </c>
    </row>
    <row r="74" spans="1:8" x14ac:dyDescent="0.25">
      <c r="A74" s="604"/>
      <c r="B74" s="605" t="s">
        <v>808</v>
      </c>
      <c r="C74" s="606"/>
      <c r="D74" s="606"/>
      <c r="E74" s="603">
        <f t="shared" si="20"/>
        <v>0</v>
      </c>
      <c r="F74" s="606"/>
      <c r="G74" s="606"/>
      <c r="H74" s="603">
        <f t="shared" si="21"/>
        <v>0</v>
      </c>
    </row>
    <row r="75" spans="1:8" x14ac:dyDescent="0.25">
      <c r="A75" s="604"/>
      <c r="B75" s="605" t="s">
        <v>809</v>
      </c>
      <c r="C75" s="606"/>
      <c r="D75" s="606"/>
      <c r="E75" s="603">
        <f t="shared" si="20"/>
        <v>0</v>
      </c>
      <c r="F75" s="606"/>
      <c r="G75" s="606"/>
      <c r="H75" s="603">
        <f t="shared" si="21"/>
        <v>0</v>
      </c>
    </row>
    <row r="76" spans="1:8" x14ac:dyDescent="0.25">
      <c r="A76" s="604"/>
      <c r="B76" s="605"/>
      <c r="C76" s="606"/>
      <c r="D76" s="606"/>
      <c r="E76" s="603"/>
      <c r="F76" s="606"/>
      <c r="G76" s="606"/>
      <c r="H76" s="603"/>
    </row>
    <row r="77" spans="1:8" x14ac:dyDescent="0.25">
      <c r="A77" s="604" t="s">
        <v>810</v>
      </c>
      <c r="B77" s="605"/>
      <c r="C77" s="610">
        <f>SUM(C78:C81)</f>
        <v>0</v>
      </c>
      <c r="D77" s="610">
        <f t="shared" ref="D77:H77" si="22">SUM(D78:D81)</f>
        <v>0</v>
      </c>
      <c r="E77" s="610">
        <f t="shared" si="22"/>
        <v>0</v>
      </c>
      <c r="F77" s="610">
        <f t="shared" si="22"/>
        <v>0</v>
      </c>
      <c r="G77" s="610">
        <f t="shared" si="22"/>
        <v>0</v>
      </c>
      <c r="H77" s="610">
        <f t="shared" si="22"/>
        <v>0</v>
      </c>
    </row>
    <row r="78" spans="1:8" x14ac:dyDescent="0.25">
      <c r="A78" s="604"/>
      <c r="B78" s="605" t="s">
        <v>811</v>
      </c>
      <c r="C78" s="606">
        <v>0</v>
      </c>
      <c r="D78" s="606"/>
      <c r="E78" s="603">
        <f t="shared" ref="E78:E81" si="23">C78+D78</f>
        <v>0</v>
      </c>
      <c r="F78" s="606"/>
      <c r="G78" s="606"/>
      <c r="H78" s="603">
        <f t="shared" ref="H78:H81" si="24">+E78-F78</f>
        <v>0</v>
      </c>
    </row>
    <row r="79" spans="1:8" x14ac:dyDescent="0.25">
      <c r="A79" s="604"/>
      <c r="B79" s="605" t="s">
        <v>812</v>
      </c>
      <c r="C79" s="606">
        <v>0</v>
      </c>
      <c r="D79" s="606"/>
      <c r="E79" s="603">
        <f t="shared" si="23"/>
        <v>0</v>
      </c>
      <c r="F79" s="606"/>
      <c r="G79" s="606"/>
      <c r="H79" s="603">
        <f t="shared" si="24"/>
        <v>0</v>
      </c>
    </row>
    <row r="80" spans="1:8" x14ac:dyDescent="0.25">
      <c r="A80" s="604"/>
      <c r="B80" s="605" t="s">
        <v>813</v>
      </c>
      <c r="C80" s="606">
        <v>0</v>
      </c>
      <c r="D80" s="606"/>
      <c r="E80" s="603">
        <f t="shared" si="23"/>
        <v>0</v>
      </c>
      <c r="F80" s="606"/>
      <c r="G80" s="606"/>
      <c r="H80" s="603">
        <f t="shared" si="24"/>
        <v>0</v>
      </c>
    </row>
    <row r="81" spans="1:9" x14ac:dyDescent="0.25">
      <c r="A81" s="604"/>
      <c r="B81" s="605" t="s">
        <v>814</v>
      </c>
      <c r="C81" s="606"/>
      <c r="D81" s="606"/>
      <c r="E81" s="603">
        <f t="shared" si="23"/>
        <v>0</v>
      </c>
      <c r="F81" s="606"/>
      <c r="G81" s="606"/>
      <c r="H81" s="603">
        <f t="shared" si="24"/>
        <v>0</v>
      </c>
    </row>
    <row r="82" spans="1:9" x14ac:dyDescent="0.25">
      <c r="A82" s="604"/>
      <c r="B82" s="605"/>
      <c r="C82" s="606"/>
      <c r="D82" s="606"/>
      <c r="E82" s="603"/>
      <c r="F82" s="606"/>
      <c r="G82" s="606"/>
      <c r="H82" s="603"/>
    </row>
    <row r="83" spans="1:9" ht="15.75" thickBot="1" x14ac:dyDescent="0.3">
      <c r="A83" s="612" t="s">
        <v>709</v>
      </c>
      <c r="B83" s="613"/>
      <c r="C83" s="625">
        <f t="shared" ref="C83:H83" si="25">+C10+C47</f>
        <v>0</v>
      </c>
      <c r="D83" s="625">
        <f t="shared" si="25"/>
        <v>0</v>
      </c>
      <c r="E83" s="625">
        <f t="shared" si="25"/>
        <v>0</v>
      </c>
      <c r="F83" s="625">
        <f t="shared" si="25"/>
        <v>0</v>
      </c>
      <c r="G83" s="625">
        <f t="shared" si="25"/>
        <v>0</v>
      </c>
      <c r="H83" s="625">
        <f t="shared" si="25"/>
        <v>0</v>
      </c>
      <c r="I83" s="441" t="str">
        <f>IF((C83-'ETCA-II-11'!B45)&gt;0.9,"ERROR!!!!! EL MONTO NO COINCIDE CON LO REPORTADO EN EL FORMATO ETCA-II-11 EN EL TOTAL DEL GASTO","")</f>
        <v/>
      </c>
    </row>
    <row r="84" spans="1:9" x14ac:dyDescent="0.25">
      <c r="A84" s="616"/>
      <c r="B84" s="616"/>
      <c r="C84" s="617"/>
      <c r="D84" s="617"/>
      <c r="E84" s="618"/>
      <c r="F84" s="617"/>
      <c r="G84" s="617"/>
      <c r="H84" s="618"/>
      <c r="I84" s="441" t="str">
        <f>IF((D83-'ETCA-II-11'!C45)&gt;0.9,"ERROR!!!!! EL MONTO NO COINCIDE CON LO REPORTADO EN EL FORMATO ETCA-II-11 EN EL TOTAL DEL GASTO","")</f>
        <v/>
      </c>
    </row>
    <row r="85" spans="1:9" x14ac:dyDescent="0.25">
      <c r="A85" s="616"/>
      <c r="B85" s="616"/>
      <c r="C85" s="617"/>
      <c r="D85" s="617"/>
      <c r="E85" s="618"/>
      <c r="F85" s="617"/>
      <c r="G85" s="617"/>
      <c r="H85" s="618"/>
      <c r="I85" t="str">
        <f>IF((E83-'ETCA-II-11'!D45),"ERROR!!!!! EL MONTO NO COINCIDE CON LO REPORTADO EN EL FORMATO ETCA-II-11 EN EL TOTAL DEL GASTO","")</f>
        <v>ERROR!!!!! EL MONTO NO COINCIDE CON LO REPORTADO EN EL FORMATO ETCA-II-11 EN EL TOTAL DEL GASTO</v>
      </c>
    </row>
    <row r="86" spans="1:9" x14ac:dyDescent="0.25">
      <c r="A86" s="616"/>
      <c r="B86" s="616"/>
      <c r="C86" s="617"/>
      <c r="D86" s="617"/>
      <c r="E86" s="618"/>
      <c r="F86" s="617"/>
      <c r="G86" s="617"/>
      <c r="H86" s="618"/>
      <c r="I86" t="str">
        <f>IF((F83-'ETCA-II-11'!E45)&gt;0.9,"ERROR!!!!! EL MONTO NO COINCIDE CON LO REPORTADO EN EL FORMATO ETCA-II-11 EN EL TOTAL DEL GASTO","")</f>
        <v/>
      </c>
    </row>
    <row r="87" spans="1:9" x14ac:dyDescent="0.25">
      <c r="A87" s="616"/>
      <c r="B87" s="616"/>
      <c r="C87" s="617"/>
      <c r="D87" s="617"/>
      <c r="E87" s="618"/>
      <c r="F87" s="617"/>
      <c r="G87" s="617"/>
      <c r="H87" s="618"/>
      <c r="I87" t="str">
        <f>IF((G83-'ETCA-II-11'!F45)&gt;0.9,"ERROR!!!!! EL MONTO NO COINCIDE CON LO REPORTADO EN EL FORMATO ETCA-II-11 EN EL TOTAL DEL GASTO","")</f>
        <v/>
      </c>
    </row>
    <row r="88" spans="1:9" x14ac:dyDescent="0.25">
      <c r="A88" s="616"/>
      <c r="B88" s="616"/>
      <c r="C88" s="617"/>
      <c r="D88" s="617"/>
      <c r="E88" s="618"/>
      <c r="F88" s="617"/>
      <c r="G88" s="617"/>
      <c r="H88" s="618"/>
      <c r="I88" t="str">
        <f>IF((H83-'ETCA-II-11'!G45)&gt;0.9,"ERROR!!!!! EL MONTO NO COINCIDE CON LO REPORTADO EN EL FORMATO ETCA-II-11 EN EL TOTAL DEL GASTO","")</f>
        <v/>
      </c>
    </row>
    <row r="89" spans="1:9" x14ac:dyDescent="0.25">
      <c r="A89" s="616"/>
      <c r="B89" s="616"/>
      <c r="C89" s="617"/>
      <c r="D89" s="617"/>
      <c r="E89" s="618"/>
      <c r="F89" s="617"/>
      <c r="G89" s="617"/>
      <c r="H89" s="618"/>
    </row>
  </sheetData>
  <sheetProtection formatColumns="0" formatRows="0" insertHyperlinks="0"/>
  <mergeCells count="14"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9:B9"/>
    <mergeCell ref="A10:B10"/>
    <mergeCell ref="A11:B11"/>
    <mergeCell ref="A21:B21"/>
    <mergeCell ref="A30:B30"/>
  </mergeCells>
  <pageMargins left="0.19685039370078741" right="0.31496062992125984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view="pageBreakPreview" topLeftCell="A186" zoomScale="120" zoomScaleNormal="112" zoomScaleSheetLayoutView="120" workbookViewId="0">
      <selection activeCell="E204" sqref="E204"/>
    </sheetView>
  </sheetViews>
  <sheetFormatPr baseColWidth="10" defaultColWidth="11.42578125" defaultRowHeight="16.5" x14ac:dyDescent="0.3"/>
  <cols>
    <col min="1" max="1" width="10.42578125" style="858" customWidth="1"/>
    <col min="2" max="2" width="39.7109375" style="331" customWidth="1"/>
    <col min="3" max="7" width="12.7109375" style="331" customWidth="1"/>
    <col min="8" max="8" width="11.7109375" style="331" customWidth="1"/>
    <col min="9" max="9" width="9.42578125" style="331" customWidth="1"/>
    <col min="10" max="16384" width="11.42578125" style="331"/>
  </cols>
  <sheetData>
    <row r="1" spans="1:9" x14ac:dyDescent="0.3">
      <c r="A1" s="1115" t="s">
        <v>25</v>
      </c>
      <c r="B1" s="1115"/>
      <c r="C1" s="1115"/>
      <c r="D1" s="1115"/>
      <c r="E1" s="1115"/>
      <c r="F1" s="1115"/>
      <c r="G1" s="1115"/>
      <c r="H1" s="1115"/>
      <c r="I1" s="1115"/>
    </row>
    <row r="2" spans="1:9" s="825" customFormat="1" ht="15.75" x14ac:dyDescent="0.25">
      <c r="A2" s="1115" t="s">
        <v>565</v>
      </c>
      <c r="B2" s="1115"/>
      <c r="C2" s="1115"/>
      <c r="D2" s="1115"/>
      <c r="E2" s="1115"/>
      <c r="F2" s="1115"/>
      <c r="G2" s="1115"/>
      <c r="H2" s="1115"/>
      <c r="I2" s="1115"/>
    </row>
    <row r="3" spans="1:9" s="825" customFormat="1" ht="15.75" x14ac:dyDescent="0.25">
      <c r="A3" s="1115" t="s">
        <v>816</v>
      </c>
      <c r="B3" s="1115"/>
      <c r="C3" s="1115"/>
      <c r="D3" s="1115"/>
      <c r="E3" s="1115"/>
      <c r="F3" s="1115"/>
      <c r="G3" s="1115"/>
      <c r="H3" s="1115"/>
      <c r="I3" s="1115"/>
    </row>
    <row r="4" spans="1:9" s="825" customFormat="1" x14ac:dyDescent="0.3">
      <c r="A4" s="1259" t="str">
        <f>'ETCA-I-01'!A3:G3</f>
        <v>Centro de Evaluacion y Control de Confianza del Estado de Sonora</v>
      </c>
      <c r="B4" s="1259"/>
      <c r="C4" s="1259"/>
      <c r="D4" s="1259"/>
      <c r="E4" s="1259"/>
      <c r="F4" s="1259"/>
      <c r="G4" s="1259"/>
      <c r="H4" s="1259"/>
      <c r="I4" s="1259"/>
    </row>
    <row r="5" spans="1:9" s="825" customFormat="1" x14ac:dyDescent="0.3">
      <c r="A5" s="1259" t="str">
        <f>'ETCA-I-03'!A4:D4</f>
        <v>Del 01 de Enero  al 31 de Marzo de 2018</v>
      </c>
      <c r="B5" s="1259"/>
      <c r="C5" s="1259"/>
      <c r="D5" s="1259"/>
      <c r="E5" s="1259"/>
      <c r="F5" s="1259"/>
      <c r="G5" s="1259"/>
      <c r="H5" s="1259"/>
      <c r="I5" s="1259"/>
    </row>
    <row r="6" spans="1:9" s="826" customFormat="1" ht="17.25" thickBot="1" x14ac:dyDescent="0.35">
      <c r="A6" s="762"/>
      <c r="B6" s="762"/>
      <c r="C6" s="1260" t="s">
        <v>817</v>
      </c>
      <c r="D6" s="1260"/>
      <c r="E6" s="1260"/>
      <c r="F6" s="762"/>
      <c r="G6" s="329"/>
      <c r="H6" s="1261"/>
      <c r="I6" s="1261"/>
    </row>
    <row r="7" spans="1:9" ht="38.25" customHeight="1" x14ac:dyDescent="0.3">
      <c r="A7" s="1254" t="s">
        <v>818</v>
      </c>
      <c r="B7" s="1255"/>
      <c r="C7" s="763" t="s">
        <v>569</v>
      </c>
      <c r="D7" s="763" t="s">
        <v>479</v>
      </c>
      <c r="E7" s="763" t="s">
        <v>570</v>
      </c>
      <c r="F7" s="763" t="s">
        <v>571</v>
      </c>
      <c r="G7" s="763" t="s">
        <v>572</v>
      </c>
      <c r="H7" s="763" t="s">
        <v>573</v>
      </c>
      <c r="I7" s="764" t="s">
        <v>819</v>
      </c>
    </row>
    <row r="8" spans="1:9" ht="18" customHeight="1" thickBot="1" x14ac:dyDescent="0.35">
      <c r="A8" s="1256"/>
      <c r="B8" s="1257"/>
      <c r="C8" s="765" t="s">
        <v>444</v>
      </c>
      <c r="D8" s="765" t="s">
        <v>445</v>
      </c>
      <c r="E8" s="765" t="s">
        <v>574</v>
      </c>
      <c r="F8" s="765" t="s">
        <v>447</v>
      </c>
      <c r="G8" s="765" t="s">
        <v>448</v>
      </c>
      <c r="H8" s="765" t="s">
        <v>575</v>
      </c>
      <c r="I8" s="766" t="s">
        <v>820</v>
      </c>
    </row>
    <row r="9" spans="1:9" ht="6" customHeight="1" x14ac:dyDescent="0.3">
      <c r="A9" s="767"/>
      <c r="B9" s="768"/>
      <c r="C9" s="769"/>
      <c r="D9" s="769"/>
      <c r="E9" s="769"/>
      <c r="F9" s="769"/>
      <c r="G9" s="769"/>
      <c r="H9" s="769"/>
      <c r="I9" s="770"/>
    </row>
    <row r="10" spans="1:9" ht="19.5" customHeight="1" x14ac:dyDescent="0.3">
      <c r="A10" s="775">
        <v>1000</v>
      </c>
      <c r="B10" s="774" t="s">
        <v>821</v>
      </c>
      <c r="C10" s="827">
        <f>C11+C22+C32+C50</f>
        <v>46848720</v>
      </c>
      <c r="D10" s="988">
        <f>D11+D22+D32+D50</f>
        <v>0</v>
      </c>
      <c r="E10" s="822">
        <f>E11+E22+E32+E50</f>
        <v>46848720</v>
      </c>
      <c r="F10" s="827">
        <f>F11+F22+F32+F50</f>
        <v>10428109.98</v>
      </c>
      <c r="G10" s="827">
        <f>G11+G22+G32+G50</f>
        <v>10425050.760000002</v>
      </c>
      <c r="H10" s="822">
        <f>E10-F10</f>
        <v>36420610.019999996</v>
      </c>
      <c r="I10" s="828">
        <f>IF(E10=0,"",F10/E10)</f>
        <v>0.22259113973658193</v>
      </c>
    </row>
    <row r="11" spans="1:9" s="830" customFormat="1" ht="22.5" customHeight="1" x14ac:dyDescent="0.2">
      <c r="A11" s="775">
        <v>1100</v>
      </c>
      <c r="B11" s="774" t="s">
        <v>822</v>
      </c>
      <c r="C11" s="827">
        <f>C12</f>
        <v>28994298.66</v>
      </c>
      <c r="D11" s="988"/>
      <c r="E11" s="822">
        <f>C11+D11</f>
        <v>28994298.66</v>
      </c>
      <c r="F11" s="827">
        <f>F12</f>
        <v>6956666.6100000003</v>
      </c>
      <c r="G11" s="827">
        <f>G12</f>
        <v>6956666.6100000003</v>
      </c>
      <c r="H11" s="822">
        <f t="shared" ref="H11:H30" si="0">E11-F11</f>
        <v>22037632.050000001</v>
      </c>
      <c r="I11" s="829">
        <f t="shared" ref="I11:I54" si="1">IF(E11=0,"",F11/E11)</f>
        <v>0.2399322256964018</v>
      </c>
    </row>
    <row r="12" spans="1:9" s="830" customFormat="1" ht="17.25" customHeight="1" x14ac:dyDescent="0.2">
      <c r="A12" s="831">
        <v>113</v>
      </c>
      <c r="B12" s="777" t="s">
        <v>823</v>
      </c>
      <c r="C12" s="832">
        <v>28994298.66</v>
      </c>
      <c r="D12" s="989"/>
      <c r="E12" s="821">
        <f t="shared" ref="E12:E52" si="2">C12+D12</f>
        <v>28994298.66</v>
      </c>
      <c r="F12" s="821">
        <f t="shared" ref="F12:G12" si="3">F13</f>
        <v>6956666.6100000003</v>
      </c>
      <c r="G12" s="832">
        <f t="shared" si="3"/>
        <v>6956666.6100000003</v>
      </c>
      <c r="H12" s="821">
        <f t="shared" si="0"/>
        <v>22037632.050000001</v>
      </c>
      <c r="I12" s="828">
        <f t="shared" si="1"/>
        <v>0.2399322256964018</v>
      </c>
    </row>
    <row r="13" spans="1:9" s="830" customFormat="1" ht="17.25" customHeight="1" x14ac:dyDescent="0.2">
      <c r="A13" s="831">
        <v>11301</v>
      </c>
      <c r="B13" s="777" t="s">
        <v>824</v>
      </c>
      <c r="C13" s="833">
        <v>28994298.66</v>
      </c>
      <c r="D13" s="990"/>
      <c r="E13" s="772">
        <f t="shared" si="2"/>
        <v>28994298.66</v>
      </c>
      <c r="F13" s="832">
        <v>6956666.6100000003</v>
      </c>
      <c r="G13" s="832">
        <v>6956666.6100000003</v>
      </c>
      <c r="H13" s="772">
        <f t="shared" si="0"/>
        <v>22037632.050000001</v>
      </c>
      <c r="I13" s="828">
        <f t="shared" si="1"/>
        <v>0.2399322256964018</v>
      </c>
    </row>
    <row r="14" spans="1:9" s="830" customFormat="1" ht="17.25" customHeight="1" x14ac:dyDescent="0.2">
      <c r="A14" s="831">
        <v>11306</v>
      </c>
      <c r="B14" s="777" t="s">
        <v>825</v>
      </c>
      <c r="C14" s="777"/>
      <c r="D14" s="990"/>
      <c r="E14" s="771">
        <f t="shared" si="2"/>
        <v>0</v>
      </c>
      <c r="F14" s="832"/>
      <c r="G14" s="832"/>
      <c r="H14" s="771">
        <f t="shared" si="0"/>
        <v>0</v>
      </c>
      <c r="I14" s="828" t="str">
        <f t="shared" si="1"/>
        <v/>
      </c>
    </row>
    <row r="15" spans="1:9" s="830" customFormat="1" ht="17.25" customHeight="1" x14ac:dyDescent="0.2">
      <c r="A15" s="831">
        <v>11307</v>
      </c>
      <c r="B15" s="777" t="s">
        <v>826</v>
      </c>
      <c r="C15" s="777"/>
      <c r="D15" s="990"/>
      <c r="E15" s="771">
        <f t="shared" si="2"/>
        <v>0</v>
      </c>
      <c r="F15" s="832"/>
      <c r="G15" s="832"/>
      <c r="H15" s="771">
        <f t="shared" si="0"/>
        <v>0</v>
      </c>
      <c r="I15" s="828" t="str">
        <f t="shared" si="1"/>
        <v/>
      </c>
    </row>
    <row r="16" spans="1:9" s="830" customFormat="1" ht="17.25" customHeight="1" x14ac:dyDescent="0.2">
      <c r="A16" s="831">
        <v>11309</v>
      </c>
      <c r="B16" s="777" t="s">
        <v>827</v>
      </c>
      <c r="C16" s="777"/>
      <c r="D16" s="990"/>
      <c r="E16" s="771">
        <f t="shared" si="2"/>
        <v>0</v>
      </c>
      <c r="F16" s="832"/>
      <c r="G16" s="832"/>
      <c r="H16" s="771">
        <f t="shared" si="0"/>
        <v>0</v>
      </c>
      <c r="I16" s="828" t="str">
        <f t="shared" si="1"/>
        <v/>
      </c>
    </row>
    <row r="17" spans="1:10" s="830" customFormat="1" ht="17.25" customHeight="1" x14ac:dyDescent="0.2">
      <c r="A17" s="831">
        <v>11310</v>
      </c>
      <c r="B17" s="777" t="s">
        <v>828</v>
      </c>
      <c r="C17" s="777"/>
      <c r="D17" s="990"/>
      <c r="E17" s="771">
        <f t="shared" si="2"/>
        <v>0</v>
      </c>
      <c r="F17" s="832"/>
      <c r="G17" s="832"/>
      <c r="H17" s="771">
        <f t="shared" si="0"/>
        <v>0</v>
      </c>
      <c r="I17" s="828" t="str">
        <f t="shared" si="1"/>
        <v/>
      </c>
    </row>
    <row r="18" spans="1:10" s="830" customFormat="1" ht="17.25" customHeight="1" x14ac:dyDescent="0.2">
      <c r="A18" s="831">
        <v>121</v>
      </c>
      <c r="B18" s="777" t="s">
        <v>829</v>
      </c>
      <c r="C18" s="777"/>
      <c r="D18" s="990"/>
      <c r="E18" s="771">
        <f t="shared" si="2"/>
        <v>0</v>
      </c>
      <c r="F18" s="832"/>
      <c r="G18" s="832"/>
      <c r="H18" s="771">
        <f t="shared" si="0"/>
        <v>0</v>
      </c>
      <c r="I18" s="828" t="str">
        <f t="shared" si="1"/>
        <v/>
      </c>
    </row>
    <row r="19" spans="1:10" s="830" customFormat="1" ht="17.25" customHeight="1" x14ac:dyDescent="0.2">
      <c r="A19" s="831">
        <v>12101</v>
      </c>
      <c r="B19" s="777" t="s">
        <v>830</v>
      </c>
      <c r="C19" s="777"/>
      <c r="D19" s="990"/>
      <c r="E19" s="771">
        <f t="shared" si="2"/>
        <v>0</v>
      </c>
      <c r="F19" s="832"/>
      <c r="G19" s="832"/>
      <c r="H19" s="771">
        <f t="shared" si="0"/>
        <v>0</v>
      </c>
      <c r="I19" s="828" t="str">
        <f t="shared" si="1"/>
        <v/>
      </c>
    </row>
    <row r="20" spans="1:10" s="830" customFormat="1" ht="17.25" customHeight="1" x14ac:dyDescent="0.2">
      <c r="A20" s="831">
        <v>122</v>
      </c>
      <c r="B20" s="777" t="s">
        <v>831</v>
      </c>
      <c r="C20" s="777"/>
      <c r="D20" s="990"/>
      <c r="E20" s="771">
        <f t="shared" si="2"/>
        <v>0</v>
      </c>
      <c r="F20" s="832"/>
      <c r="G20" s="832"/>
      <c r="H20" s="771">
        <f t="shared" si="0"/>
        <v>0</v>
      </c>
      <c r="I20" s="828" t="str">
        <f t="shared" si="1"/>
        <v/>
      </c>
    </row>
    <row r="21" spans="1:10" s="830" customFormat="1" ht="17.25" customHeight="1" x14ac:dyDescent="0.2">
      <c r="A21" s="831">
        <v>12201</v>
      </c>
      <c r="B21" s="777" t="s">
        <v>831</v>
      </c>
      <c r="C21" s="777"/>
      <c r="D21" s="990"/>
      <c r="E21" s="771">
        <f t="shared" si="2"/>
        <v>0</v>
      </c>
      <c r="F21" s="832"/>
      <c r="G21" s="832"/>
      <c r="H21" s="771">
        <f t="shared" si="0"/>
        <v>0</v>
      </c>
      <c r="I21" s="828" t="str">
        <f t="shared" si="1"/>
        <v/>
      </c>
    </row>
    <row r="22" spans="1:10" s="830" customFormat="1" ht="17.25" customHeight="1" x14ac:dyDescent="0.2">
      <c r="A22" s="775">
        <v>1300</v>
      </c>
      <c r="B22" s="774" t="s">
        <v>832</v>
      </c>
      <c r="C22" s="837">
        <f>C25+C30</f>
        <v>8020910.3399999999</v>
      </c>
      <c r="D22" s="991">
        <f>D25+D30</f>
        <v>0</v>
      </c>
      <c r="E22" s="823">
        <f>C22+D22</f>
        <v>8020910.3399999999</v>
      </c>
      <c r="F22" s="827">
        <f>F25+F30</f>
        <v>1067351.1800000002</v>
      </c>
      <c r="G22" s="827">
        <f>G25+G30</f>
        <v>1067351.1800000002</v>
      </c>
      <c r="H22" s="941">
        <f t="shared" si="0"/>
        <v>6953559.1600000001</v>
      </c>
      <c r="I22" s="829">
        <f t="shared" si="1"/>
        <v>0.13307107731614418</v>
      </c>
    </row>
    <row r="23" spans="1:10" s="830" customFormat="1" ht="17.25" customHeight="1" x14ac:dyDescent="0.2">
      <c r="A23" s="831">
        <v>131</v>
      </c>
      <c r="B23" s="777" t="s">
        <v>833</v>
      </c>
      <c r="C23" s="777"/>
      <c r="D23" s="990"/>
      <c r="E23" s="771">
        <f t="shared" si="2"/>
        <v>0</v>
      </c>
      <c r="F23" s="832"/>
      <c r="G23" s="832"/>
      <c r="H23" s="771">
        <f t="shared" si="0"/>
        <v>0</v>
      </c>
      <c r="I23" s="828" t="str">
        <f t="shared" si="1"/>
        <v/>
      </c>
      <c r="J23" s="834"/>
    </row>
    <row r="24" spans="1:10" s="830" customFormat="1" ht="29.25" customHeight="1" x14ac:dyDescent="0.2">
      <c r="A24" s="831">
        <v>13101</v>
      </c>
      <c r="B24" s="777" t="s">
        <v>834</v>
      </c>
      <c r="C24" s="777"/>
      <c r="D24" s="990"/>
      <c r="E24" s="771">
        <f t="shared" si="2"/>
        <v>0</v>
      </c>
      <c r="F24" s="832"/>
      <c r="G24" s="832"/>
      <c r="H24" s="771">
        <f t="shared" si="0"/>
        <v>0</v>
      </c>
      <c r="I24" s="828" t="str">
        <f t="shared" si="1"/>
        <v/>
      </c>
    </row>
    <row r="25" spans="1:10" s="830" customFormat="1" ht="25.5" customHeight="1" x14ac:dyDescent="0.2">
      <c r="A25" s="775">
        <v>132</v>
      </c>
      <c r="B25" s="774" t="s">
        <v>835</v>
      </c>
      <c r="C25" s="837">
        <f>SUM(C26:C29)</f>
        <v>5417206</v>
      </c>
      <c r="D25" s="991">
        <f>D26+D27+D28+D29</f>
        <v>0</v>
      </c>
      <c r="E25" s="822">
        <f t="shared" si="2"/>
        <v>5417206</v>
      </c>
      <c r="F25" s="827">
        <f>SUM(F27:F29)</f>
        <v>702551.18</v>
      </c>
      <c r="G25" s="827">
        <f>SUM(G26:G29)</f>
        <v>702551.18</v>
      </c>
      <c r="H25" s="822">
        <f t="shared" si="0"/>
        <v>4714654.82</v>
      </c>
      <c r="I25" s="829">
        <f t="shared" si="1"/>
        <v>0.12968884328932664</v>
      </c>
    </row>
    <row r="26" spans="1:10" s="830" customFormat="1" ht="17.25" customHeight="1" x14ac:dyDescent="0.2">
      <c r="A26" s="831">
        <v>13201</v>
      </c>
      <c r="B26" s="777" t="s">
        <v>836</v>
      </c>
      <c r="C26" s="833">
        <v>1547782.19</v>
      </c>
      <c r="D26" s="990"/>
      <c r="E26" s="772">
        <f t="shared" si="2"/>
        <v>1547782.19</v>
      </c>
      <c r="F26" s="830">
        <v>0</v>
      </c>
      <c r="G26" s="832"/>
      <c r="H26" s="772">
        <f>E26-F27</f>
        <v>845231.00999999989</v>
      </c>
      <c r="I26" s="828">
        <f>IF(E26=0,"",F27/E26)</f>
        <v>0.45390829829874196</v>
      </c>
    </row>
    <row r="27" spans="1:10" s="830" customFormat="1" ht="17.25" customHeight="1" x14ac:dyDescent="0.2">
      <c r="A27" s="831">
        <v>13202</v>
      </c>
      <c r="B27" s="777" t="s">
        <v>837</v>
      </c>
      <c r="C27" s="833">
        <v>3095539.04</v>
      </c>
      <c r="D27" s="990"/>
      <c r="E27" s="772">
        <f t="shared" si="2"/>
        <v>3095539.04</v>
      </c>
      <c r="F27" s="832">
        <v>702551.18</v>
      </c>
      <c r="G27" s="832">
        <v>702551.18</v>
      </c>
      <c r="H27" s="772" t="e">
        <f>E27-#REF!</f>
        <v>#REF!</v>
      </c>
      <c r="I27" s="828" t="e">
        <f>IF(E27=0,"",#REF!/E27)</f>
        <v>#REF!</v>
      </c>
    </row>
    <row r="28" spans="1:10" s="830" customFormat="1" ht="17.25" customHeight="1" x14ac:dyDescent="0.2">
      <c r="A28" s="831">
        <v>13203</v>
      </c>
      <c r="B28" s="777" t="s">
        <v>838</v>
      </c>
      <c r="C28" s="833">
        <v>386942.38</v>
      </c>
      <c r="D28" s="990"/>
      <c r="E28" s="772">
        <f t="shared" si="2"/>
        <v>386942.38</v>
      </c>
      <c r="F28" s="832">
        <v>0</v>
      </c>
      <c r="G28" s="832"/>
      <c r="H28" s="772">
        <f t="shared" si="0"/>
        <v>386942.38</v>
      </c>
      <c r="I28" s="828">
        <f t="shared" si="1"/>
        <v>0</v>
      </c>
    </row>
    <row r="29" spans="1:10" s="830" customFormat="1" ht="17.25" customHeight="1" x14ac:dyDescent="0.2">
      <c r="A29" s="831">
        <v>13204</v>
      </c>
      <c r="B29" s="777" t="s">
        <v>839</v>
      </c>
      <c r="C29" s="833">
        <v>386942.39</v>
      </c>
      <c r="D29" s="990"/>
      <c r="E29" s="772">
        <f t="shared" si="2"/>
        <v>386942.39</v>
      </c>
      <c r="F29" s="832">
        <v>0</v>
      </c>
      <c r="G29" s="832"/>
      <c r="H29" s="772">
        <f t="shared" si="0"/>
        <v>386942.39</v>
      </c>
      <c r="I29" s="828">
        <f t="shared" si="1"/>
        <v>0</v>
      </c>
    </row>
    <row r="30" spans="1:10" s="836" customFormat="1" ht="17.25" customHeight="1" x14ac:dyDescent="0.2">
      <c r="A30" s="775">
        <v>134</v>
      </c>
      <c r="B30" s="774" t="s">
        <v>840</v>
      </c>
      <c r="C30" s="835">
        <f>C31</f>
        <v>2603704.34</v>
      </c>
      <c r="D30" s="991">
        <f>D31</f>
        <v>0</v>
      </c>
      <c r="E30" s="823">
        <f t="shared" si="2"/>
        <v>2603704.34</v>
      </c>
      <c r="F30" s="827">
        <f>F31</f>
        <v>364800</v>
      </c>
      <c r="G30" s="827">
        <f>G31</f>
        <v>364800</v>
      </c>
      <c r="H30" s="823">
        <f t="shared" si="0"/>
        <v>2238904.34</v>
      </c>
      <c r="I30" s="829">
        <f t="shared" si="1"/>
        <v>0.14010807386832563</v>
      </c>
    </row>
    <row r="31" spans="1:10" s="830" customFormat="1" ht="17.25" customHeight="1" x14ac:dyDescent="0.2">
      <c r="A31" s="831">
        <v>13403</v>
      </c>
      <c r="B31" s="777" t="s">
        <v>841</v>
      </c>
      <c r="C31" s="833">
        <v>2603704.34</v>
      </c>
      <c r="D31" s="990"/>
      <c r="E31" s="772">
        <f t="shared" si="2"/>
        <v>2603704.34</v>
      </c>
      <c r="F31" s="832">
        <v>364800</v>
      </c>
      <c r="G31" s="832">
        <v>364800</v>
      </c>
      <c r="H31" s="772">
        <f>E31-F31</f>
        <v>2238904.34</v>
      </c>
      <c r="I31" s="828">
        <f t="shared" si="1"/>
        <v>0.14010807386832563</v>
      </c>
    </row>
    <row r="32" spans="1:10" s="830" customFormat="1" ht="17.25" customHeight="1" x14ac:dyDescent="0.2">
      <c r="A32" s="773">
        <v>1400</v>
      </c>
      <c r="B32" s="774" t="s">
        <v>579</v>
      </c>
      <c r="C32" s="837">
        <f>C33+C42+C44+C46</f>
        <v>9833511</v>
      </c>
      <c r="D32" s="991">
        <f>D33+D42+D44+D46</f>
        <v>0</v>
      </c>
      <c r="E32" s="823">
        <f t="shared" si="2"/>
        <v>9833511</v>
      </c>
      <c r="F32" s="827">
        <f>F33+F42+F44+F46</f>
        <v>2404092.19</v>
      </c>
      <c r="G32" s="827">
        <f>G33+G42+G44+G46</f>
        <v>2401032.9699999997</v>
      </c>
      <c r="H32" s="823">
        <f t="shared" ref="H32:H52" si="4">E32-F32</f>
        <v>7429418.8100000005</v>
      </c>
      <c r="I32" s="829">
        <f t="shared" si="1"/>
        <v>0.2444795343189223</v>
      </c>
    </row>
    <row r="33" spans="1:9" s="830" customFormat="1" ht="17.25" customHeight="1" x14ac:dyDescent="0.2">
      <c r="A33" s="775">
        <v>141</v>
      </c>
      <c r="B33" s="774" t="s">
        <v>1109</v>
      </c>
      <c r="C33" s="837">
        <f>SUM(C34:C41)</f>
        <v>3979192.69</v>
      </c>
      <c r="D33" s="991">
        <f>SUM(D34:D41)</f>
        <v>0</v>
      </c>
      <c r="E33" s="823">
        <f t="shared" si="2"/>
        <v>3979192.69</v>
      </c>
      <c r="F33" s="827">
        <f>SUM(F34:F41)</f>
        <v>988671.13</v>
      </c>
      <c r="G33" s="827">
        <f t="shared" ref="G33" si="5">SUM(G34:G41)</f>
        <v>988671.13</v>
      </c>
      <c r="H33" s="823">
        <f t="shared" si="4"/>
        <v>2990521.56</v>
      </c>
      <c r="I33" s="829">
        <f t="shared" si="1"/>
        <v>0.24846022975580004</v>
      </c>
    </row>
    <row r="34" spans="1:9" s="830" customFormat="1" ht="17.25" customHeight="1" x14ac:dyDescent="0.2">
      <c r="A34" s="776">
        <v>14102</v>
      </c>
      <c r="B34" s="777" t="s">
        <v>1110</v>
      </c>
      <c r="C34" s="833">
        <v>246.25</v>
      </c>
      <c r="D34" s="990"/>
      <c r="E34" s="772">
        <f t="shared" si="2"/>
        <v>246.25</v>
      </c>
      <c r="F34" s="832">
        <v>60.7</v>
      </c>
      <c r="G34" s="832">
        <v>60.7</v>
      </c>
      <c r="H34" s="772">
        <f t="shared" si="4"/>
        <v>185.55</v>
      </c>
      <c r="I34" s="828">
        <f t="shared" si="1"/>
        <v>0.24649746192893401</v>
      </c>
    </row>
    <row r="35" spans="1:9" s="830" customFormat="1" ht="17.25" customHeight="1" x14ac:dyDescent="0.2">
      <c r="A35" s="776">
        <v>14103</v>
      </c>
      <c r="B35" s="777" t="s">
        <v>1111</v>
      </c>
      <c r="C35" s="833">
        <v>3823.2</v>
      </c>
      <c r="D35" s="990"/>
      <c r="E35" s="772">
        <f t="shared" si="2"/>
        <v>3823.2</v>
      </c>
      <c r="F35" s="832">
        <v>1187.76</v>
      </c>
      <c r="G35" s="832">
        <v>1187.76</v>
      </c>
      <c r="H35" s="772">
        <f t="shared" si="4"/>
        <v>2635.4399999999996</v>
      </c>
      <c r="I35" s="828">
        <f t="shared" si="1"/>
        <v>0.31067168863779032</v>
      </c>
    </row>
    <row r="36" spans="1:9" s="830" customFormat="1" ht="17.25" customHeight="1" x14ac:dyDescent="0.2">
      <c r="A36" s="776">
        <v>14104</v>
      </c>
      <c r="B36" s="777" t="s">
        <v>1112</v>
      </c>
      <c r="C36" s="833">
        <v>144157.56</v>
      </c>
      <c r="D36" s="990"/>
      <c r="E36" s="772">
        <f t="shared" si="2"/>
        <v>144157.56</v>
      </c>
      <c r="F36" s="832">
        <v>33276.28</v>
      </c>
      <c r="G36" s="832">
        <v>33276.28</v>
      </c>
      <c r="H36" s="772">
        <f t="shared" si="4"/>
        <v>110881.28</v>
      </c>
      <c r="I36" s="828">
        <f t="shared" si="1"/>
        <v>0.23083270832275463</v>
      </c>
    </row>
    <row r="37" spans="1:9" s="830" customFormat="1" ht="17.25" customHeight="1" x14ac:dyDescent="0.2">
      <c r="A37" s="776">
        <v>14106</v>
      </c>
      <c r="B37" s="777" t="s">
        <v>1113</v>
      </c>
      <c r="C37" s="833">
        <v>836114.64</v>
      </c>
      <c r="D37" s="990"/>
      <c r="E37" s="772">
        <f t="shared" si="2"/>
        <v>836114.64</v>
      </c>
      <c r="F37" s="832">
        <v>192995.57</v>
      </c>
      <c r="G37" s="832">
        <v>192995.57</v>
      </c>
      <c r="H37" s="772">
        <f t="shared" si="4"/>
        <v>643119.07000000007</v>
      </c>
      <c r="I37" s="828">
        <f t="shared" si="1"/>
        <v>0.23082429222863507</v>
      </c>
    </row>
    <row r="38" spans="1:9" s="830" customFormat="1" ht="17.25" customHeight="1" x14ac:dyDescent="0.2">
      <c r="A38" s="776">
        <v>14107</v>
      </c>
      <c r="B38" s="777" t="s">
        <v>1114</v>
      </c>
      <c r="C38" s="833">
        <v>288315.36</v>
      </c>
      <c r="D38" s="990"/>
      <c r="E38" s="772">
        <f t="shared" si="2"/>
        <v>288315.36</v>
      </c>
      <c r="F38" s="832">
        <v>66548.820000000007</v>
      </c>
      <c r="G38" s="832">
        <v>66548.820000000007</v>
      </c>
      <c r="H38" s="772">
        <f t="shared" si="4"/>
        <v>221766.53999999998</v>
      </c>
      <c r="I38" s="828">
        <f t="shared" si="1"/>
        <v>0.23081954426569576</v>
      </c>
    </row>
    <row r="39" spans="1:9" s="830" customFormat="1" ht="24.75" customHeight="1" x14ac:dyDescent="0.2">
      <c r="A39" s="776">
        <v>14108</v>
      </c>
      <c r="B39" s="777" t="s">
        <v>1115</v>
      </c>
      <c r="C39" s="833">
        <v>257652</v>
      </c>
      <c r="D39" s="990"/>
      <c r="E39" s="772">
        <f t="shared" si="2"/>
        <v>257652</v>
      </c>
      <c r="F39" s="832">
        <v>128930</v>
      </c>
      <c r="G39" s="832">
        <v>128930</v>
      </c>
      <c r="H39" s="772">
        <f t="shared" si="4"/>
        <v>128722</v>
      </c>
      <c r="I39" s="828">
        <f t="shared" si="1"/>
        <v>0.50040364522689518</v>
      </c>
    </row>
    <row r="40" spans="1:9" s="830" customFormat="1" ht="17.25" customHeight="1" x14ac:dyDescent="0.2">
      <c r="A40" s="776">
        <v>14109</v>
      </c>
      <c r="B40" s="777" t="s">
        <v>1116</v>
      </c>
      <c r="C40" s="833">
        <v>2304726.12</v>
      </c>
      <c r="D40" s="990"/>
      <c r="E40" s="772">
        <f t="shared" si="2"/>
        <v>2304726.12</v>
      </c>
      <c r="F40" s="832">
        <v>532395.72</v>
      </c>
      <c r="G40" s="832">
        <v>532395.72</v>
      </c>
      <c r="H40" s="772">
        <f t="shared" si="4"/>
        <v>1772330.4000000001</v>
      </c>
      <c r="I40" s="828">
        <f t="shared" si="1"/>
        <v>0.2310017296111522</v>
      </c>
    </row>
    <row r="41" spans="1:9" s="830" customFormat="1" ht="17.25" customHeight="1" x14ac:dyDescent="0.2">
      <c r="A41" s="778">
        <v>14110</v>
      </c>
      <c r="B41" s="779" t="s">
        <v>1117</v>
      </c>
      <c r="C41" s="833">
        <v>144157.56</v>
      </c>
      <c r="D41" s="990"/>
      <c r="E41" s="772">
        <f t="shared" si="2"/>
        <v>144157.56</v>
      </c>
      <c r="F41" s="832">
        <v>33276.28</v>
      </c>
      <c r="G41" s="832">
        <v>33276.28</v>
      </c>
      <c r="H41" s="772">
        <f t="shared" si="4"/>
        <v>110881.28</v>
      </c>
      <c r="I41" s="828">
        <f t="shared" si="1"/>
        <v>0.23083270832275463</v>
      </c>
    </row>
    <row r="42" spans="1:9" s="830" customFormat="1" ht="17.25" customHeight="1" x14ac:dyDescent="0.2">
      <c r="A42" s="775">
        <v>142</v>
      </c>
      <c r="B42" s="774" t="s">
        <v>1118</v>
      </c>
      <c r="C42" s="827">
        <f>C43</f>
        <v>1153261.8</v>
      </c>
      <c r="D42" s="991">
        <f>D43</f>
        <v>0</v>
      </c>
      <c r="E42" s="823">
        <f t="shared" si="2"/>
        <v>1153261.8</v>
      </c>
      <c r="F42" s="827">
        <f>F43</f>
        <v>266198.48</v>
      </c>
      <c r="G42" s="827">
        <f>G43</f>
        <v>266198.48</v>
      </c>
      <c r="H42" s="823">
        <f t="shared" si="4"/>
        <v>887063.32000000007</v>
      </c>
      <c r="I42" s="829">
        <f t="shared" si="1"/>
        <v>0.23082224695207973</v>
      </c>
    </row>
    <row r="43" spans="1:9" s="830" customFormat="1" ht="17.25" customHeight="1" x14ac:dyDescent="0.2">
      <c r="A43" s="776">
        <v>14201</v>
      </c>
      <c r="B43" s="777" t="s">
        <v>1119</v>
      </c>
      <c r="C43" s="833">
        <v>1153261.8</v>
      </c>
      <c r="D43" s="990"/>
      <c r="E43" s="772">
        <f t="shared" si="2"/>
        <v>1153261.8</v>
      </c>
      <c r="F43" s="832">
        <v>266198.48</v>
      </c>
      <c r="G43" s="832">
        <v>266198.48</v>
      </c>
      <c r="H43" s="772">
        <f t="shared" si="4"/>
        <v>887063.32000000007</v>
      </c>
      <c r="I43" s="828">
        <f t="shared" si="1"/>
        <v>0.23082224695207973</v>
      </c>
    </row>
    <row r="44" spans="1:9" s="830" customFormat="1" ht="17.25" customHeight="1" x14ac:dyDescent="0.2">
      <c r="A44" s="775">
        <v>143</v>
      </c>
      <c r="B44" s="774" t="s">
        <v>1120</v>
      </c>
      <c r="C44" s="827">
        <f>C45</f>
        <v>4637362.5599999996</v>
      </c>
      <c r="D44" s="991">
        <f>D45</f>
        <v>0</v>
      </c>
      <c r="E44" s="823">
        <f t="shared" si="2"/>
        <v>4637362.5599999996</v>
      </c>
      <c r="F44" s="827">
        <f>F45</f>
        <v>1134402.51</v>
      </c>
      <c r="G44" s="827">
        <f>G45</f>
        <v>1131343.29</v>
      </c>
      <c r="H44" s="823">
        <f t="shared" si="4"/>
        <v>3502960.05</v>
      </c>
      <c r="I44" s="829">
        <f t="shared" si="1"/>
        <v>0.24462234628469509</v>
      </c>
    </row>
    <row r="45" spans="1:9" s="830" customFormat="1" ht="17.25" customHeight="1" x14ac:dyDescent="0.2">
      <c r="A45" s="776">
        <v>14303</v>
      </c>
      <c r="B45" s="777" t="s">
        <v>1121</v>
      </c>
      <c r="C45" s="833">
        <v>4637362.5599999996</v>
      </c>
      <c r="D45" s="990"/>
      <c r="E45" s="772">
        <f t="shared" si="2"/>
        <v>4637362.5599999996</v>
      </c>
      <c r="F45" s="832">
        <v>1134402.51</v>
      </c>
      <c r="G45" s="832">
        <v>1131343.29</v>
      </c>
      <c r="H45" s="772"/>
      <c r="I45" s="828">
        <f t="shared" si="1"/>
        <v>0.24462234628469509</v>
      </c>
    </row>
    <row r="46" spans="1:9" s="830" customFormat="1" ht="17.25" customHeight="1" x14ac:dyDescent="0.2">
      <c r="A46" s="775">
        <v>144</v>
      </c>
      <c r="B46" s="774" t="s">
        <v>1122</v>
      </c>
      <c r="C46" s="827">
        <f>SUM(C47:C49)</f>
        <v>63693.95</v>
      </c>
      <c r="D46" s="991">
        <f>SUM(D47:D48)+D49</f>
        <v>0</v>
      </c>
      <c r="E46" s="823">
        <f t="shared" si="2"/>
        <v>63693.95</v>
      </c>
      <c r="F46" s="827">
        <f t="shared" ref="F46:G46" si="6">SUM(F47:F49)</f>
        <v>14820.07</v>
      </c>
      <c r="G46" s="827">
        <f t="shared" si="6"/>
        <v>14820.07</v>
      </c>
      <c r="H46" s="823">
        <f t="shared" si="4"/>
        <v>48873.88</v>
      </c>
      <c r="I46" s="829">
        <f t="shared" si="1"/>
        <v>0.23267625889115057</v>
      </c>
    </row>
    <row r="47" spans="1:9" s="830" customFormat="1" ht="17.25" customHeight="1" x14ac:dyDescent="0.2">
      <c r="A47" s="776">
        <v>14402</v>
      </c>
      <c r="B47" s="777" t="s">
        <v>1123</v>
      </c>
      <c r="C47" s="833">
        <v>28512</v>
      </c>
      <c r="D47" s="990"/>
      <c r="E47" s="772">
        <f t="shared" si="2"/>
        <v>28512</v>
      </c>
      <c r="F47" s="832">
        <v>6677</v>
      </c>
      <c r="G47" s="832">
        <v>6677</v>
      </c>
      <c r="H47" s="772">
        <f t="shared" si="4"/>
        <v>21835</v>
      </c>
      <c r="I47" s="828">
        <f t="shared" si="1"/>
        <v>0.23418209876543211</v>
      </c>
    </row>
    <row r="48" spans="1:9" s="830" customFormat="1" ht="17.25" customHeight="1" x14ac:dyDescent="0.2">
      <c r="A48" s="776">
        <v>14403</v>
      </c>
      <c r="B48" s="777" t="s">
        <v>1124</v>
      </c>
      <c r="C48" s="990"/>
      <c r="D48" s="990"/>
      <c r="E48" s="772">
        <f t="shared" si="2"/>
        <v>0</v>
      </c>
      <c r="F48" s="832"/>
      <c r="G48" s="832"/>
      <c r="H48" s="772">
        <f t="shared" si="4"/>
        <v>0</v>
      </c>
      <c r="I48" s="828" t="str">
        <f t="shared" si="1"/>
        <v/>
      </c>
    </row>
    <row r="49" spans="1:10" s="830" customFormat="1" ht="17.25" customHeight="1" x14ac:dyDescent="0.2">
      <c r="A49" s="776">
        <v>14406</v>
      </c>
      <c r="B49" s="777" t="s">
        <v>1125</v>
      </c>
      <c r="C49" s="833">
        <v>35181.949999999997</v>
      </c>
      <c r="D49" s="990"/>
      <c r="E49" s="772">
        <f t="shared" si="2"/>
        <v>35181.949999999997</v>
      </c>
      <c r="F49" s="832">
        <v>8143.07</v>
      </c>
      <c r="G49" s="832">
        <v>8143.07</v>
      </c>
      <c r="H49" s="772">
        <f>E49-F49</f>
        <v>27038.879999999997</v>
      </c>
      <c r="I49" s="828">
        <f t="shared" si="1"/>
        <v>0.23145590281380085</v>
      </c>
      <c r="J49" s="834"/>
    </row>
    <row r="50" spans="1:10" s="830" customFormat="1" ht="17.25" customHeight="1" x14ac:dyDescent="0.2">
      <c r="A50" s="773">
        <v>1500</v>
      </c>
      <c r="B50" s="780" t="s">
        <v>1126</v>
      </c>
      <c r="C50" s="990">
        <f t="shared" ref="C50:D52" si="7">C51</f>
        <v>0</v>
      </c>
      <c r="D50" s="991">
        <f t="shared" si="7"/>
        <v>0</v>
      </c>
      <c r="E50" s="823">
        <f t="shared" si="2"/>
        <v>0</v>
      </c>
      <c r="F50" s="827">
        <v>0</v>
      </c>
      <c r="G50" s="827"/>
      <c r="H50" s="823">
        <f>E50-F50</f>
        <v>0</v>
      </c>
      <c r="I50" s="828" t="str">
        <f t="shared" si="1"/>
        <v/>
      </c>
    </row>
    <row r="51" spans="1:10" s="830" customFormat="1" ht="17.25" customHeight="1" x14ac:dyDescent="0.2">
      <c r="A51" s="776">
        <v>152</v>
      </c>
      <c r="B51" s="780" t="s">
        <v>1127</v>
      </c>
      <c r="C51" s="990">
        <f t="shared" si="7"/>
        <v>0</v>
      </c>
      <c r="D51" s="990">
        <f t="shared" si="7"/>
        <v>0</v>
      </c>
      <c r="E51" s="772">
        <f t="shared" si="2"/>
        <v>0</v>
      </c>
      <c r="F51" s="832">
        <v>0</v>
      </c>
      <c r="G51" s="832">
        <v>0</v>
      </c>
      <c r="H51" s="772">
        <f t="shared" si="4"/>
        <v>0</v>
      </c>
      <c r="I51" s="828" t="str">
        <f t="shared" si="1"/>
        <v/>
      </c>
    </row>
    <row r="52" spans="1:10" s="830" customFormat="1" ht="17.25" customHeight="1" x14ac:dyDescent="0.2">
      <c r="A52" s="776">
        <v>15202</v>
      </c>
      <c r="B52" s="781" t="s">
        <v>1236</v>
      </c>
      <c r="C52" s="990">
        <f t="shared" si="7"/>
        <v>0</v>
      </c>
      <c r="D52" s="990">
        <f t="shared" si="7"/>
        <v>0</v>
      </c>
      <c r="E52" s="772">
        <f t="shared" si="2"/>
        <v>0</v>
      </c>
      <c r="F52" s="832">
        <v>0</v>
      </c>
      <c r="G52" s="832">
        <v>0</v>
      </c>
      <c r="H52" s="772">
        <f t="shared" si="4"/>
        <v>0</v>
      </c>
      <c r="I52" s="828" t="str">
        <f t="shared" si="1"/>
        <v/>
      </c>
    </row>
    <row r="53" spans="1:10" s="830" customFormat="1" ht="17.25" customHeight="1" thickBot="1" x14ac:dyDescent="0.25">
      <c r="A53" s="782"/>
      <c r="B53" s="783" t="s">
        <v>842</v>
      </c>
      <c r="C53" s="832"/>
      <c r="D53" s="990"/>
      <c r="E53" s="771"/>
      <c r="F53" s="832"/>
      <c r="G53" s="832"/>
      <c r="H53" s="771"/>
      <c r="I53" s="828" t="str">
        <f t="shared" si="1"/>
        <v/>
      </c>
    </row>
    <row r="54" spans="1:10" s="830" customFormat="1" ht="17.25" customHeight="1" thickBot="1" x14ac:dyDescent="0.25">
      <c r="A54" s="784"/>
      <c r="B54" s="774" t="s">
        <v>625</v>
      </c>
      <c r="C54" s="838">
        <f>C11+C22+C32+C50</f>
        <v>46848720</v>
      </c>
      <c r="D54" s="838">
        <f>D22+D32</f>
        <v>0</v>
      </c>
      <c r="E54" s="824">
        <f>E11+E22+E32+E50</f>
        <v>46848720</v>
      </c>
      <c r="F54" s="838">
        <f>F11+F22+F32+F50</f>
        <v>10428109.98</v>
      </c>
      <c r="G54" s="838">
        <f>G11+G22+G32+G50</f>
        <v>10425050.760000002</v>
      </c>
      <c r="H54" s="839">
        <f>H11+H22+H32+H50</f>
        <v>36420610.020000003</v>
      </c>
      <c r="I54" s="840">
        <f t="shared" si="1"/>
        <v>0.22259113973658193</v>
      </c>
      <c r="J54" s="834"/>
    </row>
    <row r="55" spans="1:10" s="830" customFormat="1" ht="45" customHeight="1" thickBot="1" x14ac:dyDescent="0.25">
      <c r="A55" s="1262" t="s">
        <v>818</v>
      </c>
      <c r="B55" s="1263"/>
      <c r="C55" s="841" t="s">
        <v>569</v>
      </c>
      <c r="D55" s="841" t="s">
        <v>479</v>
      </c>
      <c r="E55" s="785" t="s">
        <v>570</v>
      </c>
      <c r="F55" s="841" t="s">
        <v>571</v>
      </c>
      <c r="G55" s="841" t="s">
        <v>572</v>
      </c>
      <c r="H55" s="785" t="s">
        <v>573</v>
      </c>
      <c r="I55" s="842" t="s">
        <v>819</v>
      </c>
    </row>
    <row r="56" spans="1:10" s="830" customFormat="1" ht="15" customHeight="1" thickBot="1" x14ac:dyDescent="0.25">
      <c r="A56" s="773"/>
      <c r="B56" s="843"/>
      <c r="C56" s="843" t="s">
        <v>444</v>
      </c>
      <c r="D56" s="843" t="s">
        <v>445</v>
      </c>
      <c r="E56" s="786" t="s">
        <v>574</v>
      </c>
      <c r="F56" s="843" t="s">
        <v>447</v>
      </c>
      <c r="G56" s="843" t="s">
        <v>448</v>
      </c>
      <c r="H56" s="786" t="s">
        <v>575</v>
      </c>
      <c r="I56" s="844" t="s">
        <v>820</v>
      </c>
    </row>
    <row r="57" spans="1:10" s="830" customFormat="1" ht="17.25" customHeight="1" x14ac:dyDescent="0.2">
      <c r="A57" s="787">
        <v>2000</v>
      </c>
      <c r="B57" s="788" t="s">
        <v>226</v>
      </c>
      <c r="C57" s="827">
        <f>C58+C71+C77+C83+C88+C91+C95</f>
        <v>2133085.3800000004</v>
      </c>
      <c r="D57" s="827">
        <f>D58+D71+D77+D83+D88+D91+D95</f>
        <v>57986.080000000002</v>
      </c>
      <c r="E57" s="827">
        <f>E58+E71+E77+E83+E88+E91+E95</f>
        <v>2191071.4600000004</v>
      </c>
      <c r="F57" s="827">
        <f>F58+F71+F77+F83+F89+F91+F95</f>
        <v>273119.02</v>
      </c>
      <c r="G57" s="827">
        <f>G58+G71+G77+G83+G89+G91+G95</f>
        <v>230415.09000000003</v>
      </c>
      <c r="H57" s="822">
        <f t="shared" ref="H57:H107" si="8">E57-F57</f>
        <v>1917952.4400000004</v>
      </c>
      <c r="I57" s="829">
        <f t="shared" ref="I57:I107" si="9">IF(E57=0,"",F57/E57)</f>
        <v>0.1246508956855291</v>
      </c>
      <c r="J57" s="834"/>
    </row>
    <row r="58" spans="1:10" s="830" customFormat="1" ht="17.25" customHeight="1" x14ac:dyDescent="0.2">
      <c r="A58" s="758">
        <v>2100</v>
      </c>
      <c r="B58" s="789" t="s">
        <v>1128</v>
      </c>
      <c r="C58" s="827">
        <f>C59+C61+C63+C65+C67+C69</f>
        <v>1153862.3800000001</v>
      </c>
      <c r="D58" s="827">
        <f>D59+D61+D63+D65+D67+D69</f>
        <v>0</v>
      </c>
      <c r="E58" s="827">
        <f>E59+E61+E63+E65+E67+E69</f>
        <v>1153862.3800000001</v>
      </c>
      <c r="F58" s="827">
        <f>F59+F61+F63+F65+F67+F69</f>
        <v>98697.450000000012</v>
      </c>
      <c r="G58" s="827">
        <f>G59+G61+G63+G65+G67+G69</f>
        <v>86880.03</v>
      </c>
      <c r="H58" s="822">
        <f t="shared" si="8"/>
        <v>1055164.9300000002</v>
      </c>
      <c r="I58" s="829">
        <f t="shared" si="9"/>
        <v>8.5536587127487421E-2</v>
      </c>
      <c r="J58" s="834"/>
    </row>
    <row r="59" spans="1:10" s="830" customFormat="1" ht="17.25" customHeight="1" x14ac:dyDescent="0.2">
      <c r="A59" s="759">
        <v>211</v>
      </c>
      <c r="B59" s="789" t="s">
        <v>1129</v>
      </c>
      <c r="C59" s="832">
        <f>C60</f>
        <v>205150.15</v>
      </c>
      <c r="D59" s="827"/>
      <c r="E59" s="821">
        <f>E60</f>
        <v>205150.15</v>
      </c>
      <c r="F59" s="827">
        <f>F60</f>
        <v>17714.599999999999</v>
      </c>
      <c r="G59" s="827">
        <f>G60</f>
        <v>5897.18</v>
      </c>
      <c r="H59" s="822">
        <f t="shared" si="8"/>
        <v>187435.55</v>
      </c>
      <c r="I59" s="829">
        <f t="shared" si="9"/>
        <v>8.6349437229268411E-2</v>
      </c>
      <c r="J59" s="834"/>
    </row>
    <row r="60" spans="1:10" s="830" customFormat="1" ht="17.25" customHeight="1" x14ac:dyDescent="0.2">
      <c r="A60" s="760">
        <v>21101</v>
      </c>
      <c r="B60" s="790" t="s">
        <v>1130</v>
      </c>
      <c r="C60" s="832">
        <v>205150.15</v>
      </c>
      <c r="D60" s="832"/>
      <c r="E60" s="832">
        <f>SUM(C60:D60)</f>
        <v>205150.15</v>
      </c>
      <c r="F60" s="832">
        <v>17714.599999999999</v>
      </c>
      <c r="G60" s="832">
        <v>5897.18</v>
      </c>
      <c r="H60" s="821"/>
      <c r="I60" s="828">
        <f t="shared" si="9"/>
        <v>8.6349437229268411E-2</v>
      </c>
    </row>
    <row r="61" spans="1:10" s="830" customFormat="1" ht="17.25" customHeight="1" x14ac:dyDescent="0.2">
      <c r="A61" s="759">
        <v>212</v>
      </c>
      <c r="B61" s="789" t="s">
        <v>1131</v>
      </c>
      <c r="C61" s="827">
        <f>C62</f>
        <v>236393.07</v>
      </c>
      <c r="D61" s="827">
        <f>D62</f>
        <v>0</v>
      </c>
      <c r="E61" s="822">
        <f>E62</f>
        <v>236393.07</v>
      </c>
      <c r="F61" s="827">
        <f>F62</f>
        <v>0</v>
      </c>
      <c r="G61" s="827">
        <f>G62</f>
        <v>0</v>
      </c>
      <c r="H61" s="822">
        <f t="shared" si="8"/>
        <v>236393.07</v>
      </c>
      <c r="I61" s="829">
        <f t="shared" si="9"/>
        <v>0</v>
      </c>
    </row>
    <row r="62" spans="1:10" s="830" customFormat="1" ht="17.25" customHeight="1" x14ac:dyDescent="0.2">
      <c r="A62" s="760">
        <v>21201</v>
      </c>
      <c r="B62" s="790" t="s">
        <v>1132</v>
      </c>
      <c r="C62" s="832">
        <v>236393.07</v>
      </c>
      <c r="D62" s="832"/>
      <c r="E62" s="832">
        <f>SUM(C62:D62)</f>
        <v>236393.07</v>
      </c>
      <c r="F62" s="832">
        <v>0</v>
      </c>
      <c r="G62" s="832">
        <v>0</v>
      </c>
      <c r="H62" s="821">
        <f>E62-F62</f>
        <v>236393.07</v>
      </c>
      <c r="I62" s="828">
        <f>IF(E62=0,"",F62/E62)</f>
        <v>0</v>
      </c>
    </row>
    <row r="63" spans="1:10" s="830" customFormat="1" ht="17.25" customHeight="1" x14ac:dyDescent="0.2">
      <c r="A63" s="759">
        <v>214</v>
      </c>
      <c r="B63" s="789" t="s">
        <v>1133</v>
      </c>
      <c r="C63" s="827">
        <f>C64</f>
        <v>546304.66</v>
      </c>
      <c r="D63" s="827">
        <f>D64</f>
        <v>0</v>
      </c>
      <c r="E63" s="827">
        <f t="shared" ref="E63:E68" si="10">SUM(C63:D63)</f>
        <v>546304.66</v>
      </c>
      <c r="F63" s="827">
        <f>F64</f>
        <v>80982.850000000006</v>
      </c>
      <c r="G63" s="827">
        <f>G64</f>
        <v>80982.850000000006</v>
      </c>
      <c r="H63" s="822">
        <f t="shared" si="8"/>
        <v>465321.81000000006</v>
      </c>
      <c r="I63" s="829">
        <f t="shared" si="9"/>
        <v>0.1482375237289757</v>
      </c>
    </row>
    <row r="64" spans="1:10" s="830" customFormat="1" ht="17.25" customHeight="1" x14ac:dyDescent="0.2">
      <c r="A64" s="760">
        <v>21401</v>
      </c>
      <c r="B64" s="790" t="s">
        <v>1134</v>
      </c>
      <c r="C64" s="832">
        <v>546304.66</v>
      </c>
      <c r="D64" s="832"/>
      <c r="E64" s="832">
        <f t="shared" si="10"/>
        <v>546304.66</v>
      </c>
      <c r="F64" s="832">
        <v>80982.850000000006</v>
      </c>
      <c r="G64" s="832">
        <v>80982.850000000006</v>
      </c>
      <c r="H64" s="821">
        <f>E64-F64</f>
        <v>465321.81000000006</v>
      </c>
      <c r="I64" s="828">
        <f>IF(E64=0,"",F64/E64)</f>
        <v>0.1482375237289757</v>
      </c>
    </row>
    <row r="65" spans="1:9" s="830" customFormat="1" ht="17.25" customHeight="1" x14ac:dyDescent="0.2">
      <c r="A65" s="759">
        <v>215</v>
      </c>
      <c r="B65" s="791" t="s">
        <v>1135</v>
      </c>
      <c r="C65" s="827">
        <f>C66</f>
        <v>92170.18</v>
      </c>
      <c r="D65" s="827">
        <f>D66</f>
        <v>0</v>
      </c>
      <c r="E65" s="832">
        <f t="shared" si="10"/>
        <v>92170.18</v>
      </c>
      <c r="F65" s="827">
        <f>F66</f>
        <v>0</v>
      </c>
      <c r="G65" s="827">
        <f>G66</f>
        <v>0</v>
      </c>
      <c r="H65" s="822">
        <f t="shared" si="8"/>
        <v>92170.18</v>
      </c>
      <c r="I65" s="829">
        <f t="shared" si="9"/>
        <v>0</v>
      </c>
    </row>
    <row r="66" spans="1:9" s="830" customFormat="1" ht="17.25" customHeight="1" x14ac:dyDescent="0.2">
      <c r="A66" s="760">
        <v>21501</v>
      </c>
      <c r="B66" s="790" t="s">
        <v>1136</v>
      </c>
      <c r="C66" s="832">
        <v>92170.18</v>
      </c>
      <c r="D66" s="832"/>
      <c r="E66" s="832">
        <f t="shared" si="10"/>
        <v>92170.18</v>
      </c>
      <c r="F66" s="832">
        <v>0</v>
      </c>
      <c r="G66" s="832">
        <v>0</v>
      </c>
      <c r="H66" s="821">
        <f t="shared" si="8"/>
        <v>92170.18</v>
      </c>
      <c r="I66" s="828">
        <f t="shared" si="9"/>
        <v>0</v>
      </c>
    </row>
    <row r="67" spans="1:9" s="830" customFormat="1" ht="17.25" customHeight="1" x14ac:dyDescent="0.2">
      <c r="A67" s="759">
        <v>216</v>
      </c>
      <c r="B67" s="791" t="s">
        <v>1137</v>
      </c>
      <c r="C67" s="827">
        <f>C68</f>
        <v>39204.47</v>
      </c>
      <c r="D67" s="827"/>
      <c r="E67" s="827">
        <f t="shared" si="10"/>
        <v>39204.47</v>
      </c>
      <c r="F67" s="827">
        <f>F68</f>
        <v>0</v>
      </c>
      <c r="G67" s="827">
        <f>G68</f>
        <v>0</v>
      </c>
      <c r="H67" s="822">
        <f t="shared" si="8"/>
        <v>39204.47</v>
      </c>
      <c r="I67" s="829">
        <f t="shared" si="9"/>
        <v>0</v>
      </c>
    </row>
    <row r="68" spans="1:9" s="830" customFormat="1" ht="17.25" customHeight="1" x14ac:dyDescent="0.2">
      <c r="A68" s="760">
        <v>21601</v>
      </c>
      <c r="B68" s="790" t="s">
        <v>1137</v>
      </c>
      <c r="C68" s="832">
        <v>39204.47</v>
      </c>
      <c r="D68" s="832"/>
      <c r="E68" s="832">
        <f t="shared" si="10"/>
        <v>39204.47</v>
      </c>
      <c r="F68" s="832">
        <v>0</v>
      </c>
      <c r="G68" s="832">
        <v>0</v>
      </c>
      <c r="H68" s="821">
        <f t="shared" si="8"/>
        <v>39204.47</v>
      </c>
      <c r="I68" s="828">
        <f t="shared" si="9"/>
        <v>0</v>
      </c>
    </row>
    <row r="69" spans="1:9" s="830" customFormat="1" ht="17.25" customHeight="1" x14ac:dyDescent="0.2">
      <c r="A69" s="759">
        <v>218</v>
      </c>
      <c r="B69" s="789" t="s">
        <v>1138</v>
      </c>
      <c r="C69" s="827">
        <f>C70</f>
        <v>34639.85</v>
      </c>
      <c r="D69" s="827">
        <f>D70</f>
        <v>0</v>
      </c>
      <c r="E69" s="822">
        <f>E70</f>
        <v>34639.85</v>
      </c>
      <c r="F69" s="827">
        <f>F70</f>
        <v>0</v>
      </c>
      <c r="G69" s="827">
        <f>G70</f>
        <v>0</v>
      </c>
      <c r="H69" s="822">
        <f t="shared" si="8"/>
        <v>34639.85</v>
      </c>
      <c r="I69" s="829">
        <f t="shared" si="9"/>
        <v>0</v>
      </c>
    </row>
    <row r="70" spans="1:9" s="830" customFormat="1" ht="17.25" customHeight="1" x14ac:dyDescent="0.2">
      <c r="A70" s="761">
        <v>21801</v>
      </c>
      <c r="B70" s="790" t="s">
        <v>1139</v>
      </c>
      <c r="C70" s="832">
        <v>34639.85</v>
      </c>
      <c r="D70" s="832"/>
      <c r="E70" s="832">
        <f>SUM(C70:D70)</f>
        <v>34639.85</v>
      </c>
      <c r="F70" s="832">
        <v>0</v>
      </c>
      <c r="G70" s="832">
        <v>0</v>
      </c>
      <c r="H70" s="821">
        <f t="shared" si="8"/>
        <v>34639.85</v>
      </c>
      <c r="I70" s="828">
        <f t="shared" si="9"/>
        <v>0</v>
      </c>
    </row>
    <row r="71" spans="1:9" s="830" customFormat="1" ht="17.25" customHeight="1" x14ac:dyDescent="0.2">
      <c r="A71" s="758">
        <v>2200</v>
      </c>
      <c r="B71" s="789" t="s">
        <v>1140</v>
      </c>
      <c r="C71" s="827">
        <f>C72+C75</f>
        <v>32333.040000000001</v>
      </c>
      <c r="D71" s="827">
        <f t="shared" ref="D71:F71" si="11">D72+D75</f>
        <v>9000</v>
      </c>
      <c r="E71" s="827">
        <f t="shared" si="11"/>
        <v>41333.040000000001</v>
      </c>
      <c r="F71" s="827">
        <f t="shared" si="11"/>
        <v>27061.69</v>
      </c>
      <c r="G71" s="827">
        <f>G72+G75</f>
        <v>27061.69</v>
      </c>
      <c r="H71" s="822">
        <f t="shared" si="8"/>
        <v>14271.350000000002</v>
      </c>
      <c r="I71" s="829">
        <f t="shared" si="9"/>
        <v>0.65472295287256876</v>
      </c>
    </row>
    <row r="72" spans="1:9" s="830" customFormat="1" ht="17.25" customHeight="1" x14ac:dyDescent="0.2">
      <c r="A72" s="792">
        <v>221</v>
      </c>
      <c r="B72" s="789" t="s">
        <v>1140</v>
      </c>
      <c r="C72" s="832">
        <f>C73+C74</f>
        <v>32333.040000000001</v>
      </c>
      <c r="D72" s="832">
        <f t="shared" ref="D72:E72" si="12">D73+D74</f>
        <v>9000</v>
      </c>
      <c r="E72" s="832">
        <f t="shared" si="12"/>
        <v>41333.040000000001</v>
      </c>
      <c r="F72" s="827">
        <f>F73+F74</f>
        <v>27061.69</v>
      </c>
      <c r="G72" s="827">
        <f>G73+G74</f>
        <v>27061.69</v>
      </c>
      <c r="H72" s="822">
        <f t="shared" si="8"/>
        <v>14271.350000000002</v>
      </c>
      <c r="I72" s="829">
        <f t="shared" si="9"/>
        <v>0.65472295287256876</v>
      </c>
    </row>
    <row r="73" spans="1:9" s="830" customFormat="1" ht="17.25" customHeight="1" x14ac:dyDescent="0.2">
      <c r="A73" s="793">
        <v>22101</v>
      </c>
      <c r="B73" s="790" t="s">
        <v>1141</v>
      </c>
      <c r="C73" s="832">
        <v>32333.040000000001</v>
      </c>
      <c r="D73" s="832">
        <v>6000</v>
      </c>
      <c r="E73" s="832">
        <f>SUM(C73:D73)</f>
        <v>38333.040000000001</v>
      </c>
      <c r="F73" s="832">
        <v>26306.59</v>
      </c>
      <c r="G73" s="832">
        <v>26306.59</v>
      </c>
      <c r="H73" s="821">
        <f t="shared" si="8"/>
        <v>12026.45</v>
      </c>
      <c r="I73" s="828">
        <f t="shared" si="9"/>
        <v>0.68626412097762135</v>
      </c>
    </row>
    <row r="74" spans="1:9" s="830" customFormat="1" ht="17.25" customHeight="1" x14ac:dyDescent="0.2">
      <c r="A74" s="793">
        <v>22106</v>
      </c>
      <c r="B74" s="790" t="s">
        <v>1142</v>
      </c>
      <c r="C74" s="832"/>
      <c r="D74" s="832">
        <v>3000</v>
      </c>
      <c r="E74" s="832">
        <f>SUM(C74:D74)</f>
        <v>3000</v>
      </c>
      <c r="F74" s="832">
        <v>755.1</v>
      </c>
      <c r="G74" s="832">
        <v>755.1</v>
      </c>
      <c r="H74" s="821">
        <f t="shared" si="8"/>
        <v>2244.9</v>
      </c>
      <c r="I74" s="828">
        <f t="shared" si="9"/>
        <v>0.25170000000000003</v>
      </c>
    </row>
    <row r="75" spans="1:9" s="830" customFormat="1" ht="17.25" customHeight="1" x14ac:dyDescent="0.2">
      <c r="A75" s="792">
        <v>223</v>
      </c>
      <c r="B75" s="789" t="s">
        <v>1143</v>
      </c>
      <c r="C75" s="827">
        <f>C76</f>
        <v>0</v>
      </c>
      <c r="D75" s="827">
        <f t="shared" ref="D75" si="13">D76</f>
        <v>0</v>
      </c>
      <c r="E75" s="827">
        <f>SUM(C75:D75)</f>
        <v>0</v>
      </c>
      <c r="F75" s="832"/>
      <c r="G75" s="832"/>
      <c r="H75" s="821">
        <f t="shared" si="8"/>
        <v>0</v>
      </c>
      <c r="I75" s="828" t="str">
        <f t="shared" si="9"/>
        <v/>
      </c>
    </row>
    <row r="76" spans="1:9" s="830" customFormat="1" ht="16.5" customHeight="1" x14ac:dyDescent="0.2">
      <c r="A76" s="793">
        <v>22301</v>
      </c>
      <c r="B76" s="790" t="s">
        <v>1144</v>
      </c>
      <c r="C76" s="832"/>
      <c r="D76" s="832"/>
      <c r="E76" s="832">
        <f>SUM(C76:D76)</f>
        <v>0</v>
      </c>
      <c r="F76" s="832">
        <v>0</v>
      </c>
      <c r="G76" s="832"/>
      <c r="H76" s="821">
        <f t="shared" si="8"/>
        <v>0</v>
      </c>
      <c r="I76" s="828" t="str">
        <f t="shared" si="9"/>
        <v/>
      </c>
    </row>
    <row r="77" spans="1:9" s="830" customFormat="1" ht="24" customHeight="1" x14ac:dyDescent="0.2">
      <c r="A77" s="794">
        <v>2400</v>
      </c>
      <c r="B77" s="795" t="s">
        <v>1145</v>
      </c>
      <c r="C77" s="827">
        <f>C78+C80</f>
        <v>277970.8</v>
      </c>
      <c r="D77" s="827">
        <f>D78+D80</f>
        <v>-10451.790000000001</v>
      </c>
      <c r="E77" s="827">
        <f t="shared" ref="E77:G77" si="14">E78+E80</f>
        <v>267519.01</v>
      </c>
      <c r="F77" s="827">
        <f>F78+F80</f>
        <v>12316.88</v>
      </c>
      <c r="G77" s="827">
        <f t="shared" si="14"/>
        <v>0</v>
      </c>
      <c r="H77" s="822">
        <f t="shared" si="8"/>
        <v>255202.13</v>
      </c>
      <c r="I77" s="829">
        <f t="shared" si="9"/>
        <v>4.6041139282027091E-2</v>
      </c>
    </row>
    <row r="78" spans="1:9" s="830" customFormat="1" ht="17.25" customHeight="1" x14ac:dyDescent="0.2">
      <c r="A78" s="792">
        <v>246</v>
      </c>
      <c r="B78" s="795" t="s">
        <v>1146</v>
      </c>
      <c r="C78" s="832">
        <f>C79</f>
        <v>107416</v>
      </c>
      <c r="D78" s="832">
        <f t="shared" ref="D78:E78" si="15">D79</f>
        <v>0</v>
      </c>
      <c r="E78" s="832">
        <f t="shared" si="15"/>
        <v>107416</v>
      </c>
      <c r="F78" s="832">
        <f>F79</f>
        <v>12316.88</v>
      </c>
      <c r="G78" s="832">
        <f>G79</f>
        <v>0</v>
      </c>
      <c r="H78" s="821">
        <f t="shared" si="8"/>
        <v>95099.12</v>
      </c>
      <c r="I78" s="828">
        <f t="shared" si="9"/>
        <v>0.11466522678185745</v>
      </c>
    </row>
    <row r="79" spans="1:9" s="830" customFormat="1" ht="17.25" customHeight="1" x14ac:dyDescent="0.2">
      <c r="A79" s="793">
        <v>24601</v>
      </c>
      <c r="B79" s="790" t="s">
        <v>1147</v>
      </c>
      <c r="C79" s="832">
        <v>107416</v>
      </c>
      <c r="D79" s="832"/>
      <c r="E79" s="832">
        <f>SUM(C79:D79)</f>
        <v>107416</v>
      </c>
      <c r="F79" s="832">
        <v>12316.88</v>
      </c>
      <c r="G79" s="832"/>
      <c r="H79" s="821">
        <f t="shared" si="8"/>
        <v>95099.12</v>
      </c>
      <c r="I79" s="828">
        <f t="shared" si="9"/>
        <v>0.11466522678185745</v>
      </c>
    </row>
    <row r="80" spans="1:9" s="830" customFormat="1" ht="17.25" customHeight="1" x14ac:dyDescent="0.2">
      <c r="A80" s="792">
        <v>248</v>
      </c>
      <c r="B80" s="789" t="s">
        <v>1148</v>
      </c>
      <c r="C80" s="827">
        <f>C81+C82</f>
        <v>170554.8</v>
      </c>
      <c r="D80" s="827">
        <f t="shared" ref="D80:E80" si="16">D81+D82</f>
        <v>-10451.790000000001</v>
      </c>
      <c r="E80" s="827">
        <f t="shared" si="16"/>
        <v>160103.00999999998</v>
      </c>
      <c r="F80" s="827">
        <f>F81</f>
        <v>0</v>
      </c>
      <c r="G80" s="827">
        <f>G81</f>
        <v>0</v>
      </c>
      <c r="H80" s="822">
        <f t="shared" si="8"/>
        <v>160103.00999999998</v>
      </c>
      <c r="I80" s="829">
        <f t="shared" si="9"/>
        <v>0</v>
      </c>
    </row>
    <row r="81" spans="1:9" s="830" customFormat="1" ht="17.25" customHeight="1" x14ac:dyDescent="0.2">
      <c r="A81" s="793">
        <v>24801</v>
      </c>
      <c r="B81" s="790" t="s">
        <v>1149</v>
      </c>
      <c r="C81" s="832">
        <v>170554.8</v>
      </c>
      <c r="D81" s="832">
        <v>-10451.790000000001</v>
      </c>
      <c r="E81" s="832">
        <f>SUM(C81:D81)</f>
        <v>160103.00999999998</v>
      </c>
      <c r="F81" s="832">
        <v>0</v>
      </c>
      <c r="G81" s="832">
        <v>0</v>
      </c>
      <c r="H81" s="821">
        <f t="shared" si="8"/>
        <v>160103.00999999998</v>
      </c>
      <c r="I81" s="828">
        <f t="shared" si="9"/>
        <v>0</v>
      </c>
    </row>
    <row r="82" spans="1:9" s="830" customFormat="1" ht="17.25" customHeight="1" x14ac:dyDescent="0.2">
      <c r="A82" s="793">
        <v>24901</v>
      </c>
      <c r="B82" s="790" t="s">
        <v>1150</v>
      </c>
      <c r="C82" s="832"/>
      <c r="D82" s="832"/>
      <c r="E82" s="832">
        <f>SUM(C82:D82)</f>
        <v>0</v>
      </c>
      <c r="F82" s="832">
        <v>0</v>
      </c>
      <c r="G82" s="832"/>
      <c r="H82" s="821">
        <f t="shared" si="8"/>
        <v>0</v>
      </c>
      <c r="I82" s="828" t="str">
        <f t="shared" si="9"/>
        <v/>
      </c>
    </row>
    <row r="83" spans="1:9" s="830" customFormat="1" ht="23.25" customHeight="1" x14ac:dyDescent="0.2">
      <c r="A83" s="794">
        <v>2500</v>
      </c>
      <c r="B83" s="795" t="s">
        <v>1151</v>
      </c>
      <c r="C83" s="827">
        <f>C84</f>
        <v>8700</v>
      </c>
      <c r="D83" s="827">
        <f>SUM(D85:D87)</f>
        <v>27109.200000000001</v>
      </c>
      <c r="E83" s="827">
        <f>SUM(E85:E87)</f>
        <v>35809.199999999997</v>
      </c>
      <c r="F83" s="827">
        <f>F84+F87</f>
        <v>295.8</v>
      </c>
      <c r="G83" s="827">
        <f>G84+G87</f>
        <v>295.8</v>
      </c>
      <c r="H83" s="821">
        <f t="shared" si="8"/>
        <v>35513.399999999994</v>
      </c>
      <c r="I83" s="828">
        <f t="shared" si="9"/>
        <v>8.2604470359572413E-3</v>
      </c>
    </row>
    <row r="84" spans="1:9" s="830" customFormat="1" ht="17.25" customHeight="1" x14ac:dyDescent="0.2">
      <c r="A84" s="792">
        <v>253</v>
      </c>
      <c r="B84" s="789" t="s">
        <v>1152</v>
      </c>
      <c r="C84" s="832">
        <f>C85+C86+C87</f>
        <v>8700</v>
      </c>
      <c r="D84" s="832">
        <f t="shared" ref="D84:E84" si="17">D85+D86</f>
        <v>0</v>
      </c>
      <c r="E84" s="832">
        <f t="shared" si="17"/>
        <v>8700</v>
      </c>
      <c r="F84" s="832"/>
      <c r="G84" s="832">
        <f>G86</f>
        <v>0</v>
      </c>
      <c r="H84" s="821">
        <f t="shared" si="8"/>
        <v>8700</v>
      </c>
      <c r="I84" s="828">
        <f t="shared" si="9"/>
        <v>0</v>
      </c>
    </row>
    <row r="85" spans="1:9" s="830" customFormat="1" ht="17.25" customHeight="1" x14ac:dyDescent="0.2">
      <c r="A85" s="793">
        <v>25201</v>
      </c>
      <c r="B85" s="790" t="s">
        <v>1153</v>
      </c>
      <c r="C85" s="832"/>
      <c r="D85" s="832"/>
      <c r="E85" s="832">
        <f>SUM(C85:D85)</f>
        <v>0</v>
      </c>
      <c r="F85" s="832">
        <v>0</v>
      </c>
      <c r="G85" s="832">
        <v>0</v>
      </c>
      <c r="H85" s="821">
        <f t="shared" si="8"/>
        <v>0</v>
      </c>
      <c r="I85" s="828" t="str">
        <f t="shared" si="9"/>
        <v/>
      </c>
    </row>
    <row r="86" spans="1:9" s="830" customFormat="1" ht="17.25" customHeight="1" x14ac:dyDescent="0.2">
      <c r="A86" s="793">
        <v>25301</v>
      </c>
      <c r="B86" s="790" t="s">
        <v>1154</v>
      </c>
      <c r="C86" s="832">
        <v>8700</v>
      </c>
      <c r="D86" s="832"/>
      <c r="E86" s="832">
        <f>SUM(C86:D86)</f>
        <v>8700</v>
      </c>
      <c r="F86" s="832">
        <v>0</v>
      </c>
      <c r="G86" s="832">
        <v>0</v>
      </c>
      <c r="H86" s="821">
        <f t="shared" si="8"/>
        <v>8700</v>
      </c>
      <c r="I86" s="828">
        <f t="shared" si="9"/>
        <v>0</v>
      </c>
    </row>
    <row r="87" spans="1:9" s="830" customFormat="1" ht="17.25" customHeight="1" x14ac:dyDescent="0.2">
      <c r="A87" s="793">
        <v>25401</v>
      </c>
      <c r="B87" s="790" t="s">
        <v>1255</v>
      </c>
      <c r="C87" s="832">
        <v>0</v>
      </c>
      <c r="D87" s="832">
        <v>27109.200000000001</v>
      </c>
      <c r="E87" s="832">
        <f>SUM(C87:D87)</f>
        <v>27109.200000000001</v>
      </c>
      <c r="F87" s="832">
        <v>295.8</v>
      </c>
      <c r="G87" s="832">
        <v>295.8</v>
      </c>
      <c r="H87" s="821">
        <f t="shared" si="8"/>
        <v>26813.4</v>
      </c>
      <c r="I87" s="828">
        <f t="shared" si="9"/>
        <v>1.0911424903722721E-2</v>
      </c>
    </row>
    <row r="88" spans="1:9" s="830" customFormat="1" ht="17.25" customHeight="1" x14ac:dyDescent="0.2">
      <c r="A88" s="794">
        <v>2600</v>
      </c>
      <c r="B88" s="789" t="s">
        <v>1155</v>
      </c>
      <c r="C88" s="827">
        <f>C89</f>
        <v>404510.79</v>
      </c>
      <c r="D88" s="827">
        <f t="shared" ref="D88:E88" si="18">D89</f>
        <v>0</v>
      </c>
      <c r="E88" s="827">
        <f t="shared" si="18"/>
        <v>404510.79</v>
      </c>
      <c r="F88" s="832"/>
      <c r="G88" s="832"/>
      <c r="H88" s="821">
        <f t="shared" si="8"/>
        <v>404510.79</v>
      </c>
      <c r="I88" s="828">
        <f t="shared" si="9"/>
        <v>0</v>
      </c>
    </row>
    <row r="89" spans="1:9" s="830" customFormat="1" ht="17.25" customHeight="1" x14ac:dyDescent="0.2">
      <c r="A89" s="792">
        <v>261</v>
      </c>
      <c r="B89" s="789" t="s">
        <v>1155</v>
      </c>
      <c r="C89" s="827">
        <f>C90</f>
        <v>404510.79</v>
      </c>
      <c r="D89" s="827">
        <f t="shared" ref="D89:G89" si="19">D90</f>
        <v>0</v>
      </c>
      <c r="E89" s="827">
        <f t="shared" si="19"/>
        <v>404510.79</v>
      </c>
      <c r="F89" s="827">
        <f>F90</f>
        <v>94279.5</v>
      </c>
      <c r="G89" s="827">
        <f t="shared" si="19"/>
        <v>75709.87</v>
      </c>
      <c r="H89" s="822">
        <f t="shared" si="8"/>
        <v>310231.28999999998</v>
      </c>
      <c r="I89" s="829">
        <f t="shared" si="9"/>
        <v>0.23307042069260997</v>
      </c>
    </row>
    <row r="90" spans="1:9" s="830" customFormat="1" ht="17.25" customHeight="1" x14ac:dyDescent="0.2">
      <c r="A90" s="793">
        <v>26101</v>
      </c>
      <c r="B90" s="790" t="s">
        <v>1156</v>
      </c>
      <c r="C90" s="832">
        <v>404510.79</v>
      </c>
      <c r="D90" s="832"/>
      <c r="E90" s="832">
        <f>SUM(C90:D90)</f>
        <v>404510.79</v>
      </c>
      <c r="F90" s="832">
        <v>94279.5</v>
      </c>
      <c r="G90" s="832">
        <v>75709.87</v>
      </c>
      <c r="H90" s="821"/>
      <c r="I90" s="828">
        <f t="shared" si="9"/>
        <v>0.23307042069260997</v>
      </c>
    </row>
    <row r="91" spans="1:9" s="830" customFormat="1" ht="25.5" customHeight="1" x14ac:dyDescent="0.2">
      <c r="A91" s="794">
        <v>2700</v>
      </c>
      <c r="B91" s="795" t="s">
        <v>1157</v>
      </c>
      <c r="C91" s="827">
        <f>C92</f>
        <v>50437.59</v>
      </c>
      <c r="D91" s="827">
        <f t="shared" ref="D91:E91" si="20">D92</f>
        <v>-6000</v>
      </c>
      <c r="E91" s="827">
        <f t="shared" si="20"/>
        <v>44437.59</v>
      </c>
      <c r="F91" s="827">
        <f>F92</f>
        <v>0</v>
      </c>
      <c r="G91" s="827">
        <f>G92</f>
        <v>0</v>
      </c>
      <c r="H91" s="822">
        <f t="shared" si="8"/>
        <v>44437.59</v>
      </c>
      <c r="I91" s="829">
        <f t="shared" si="9"/>
        <v>0</v>
      </c>
    </row>
    <row r="92" spans="1:9" s="830" customFormat="1" ht="17.25" customHeight="1" x14ac:dyDescent="0.2">
      <c r="A92" s="792">
        <v>271</v>
      </c>
      <c r="B92" s="789" t="s">
        <v>1158</v>
      </c>
      <c r="C92" s="832">
        <f>C93+C94</f>
        <v>50437.59</v>
      </c>
      <c r="D92" s="832">
        <f t="shared" ref="D92" si="21">D93</f>
        <v>-6000</v>
      </c>
      <c r="E92" s="832">
        <f>E93+E94</f>
        <v>44437.59</v>
      </c>
      <c r="F92" s="827">
        <f>F93</f>
        <v>0</v>
      </c>
      <c r="G92" s="827">
        <f>G93</f>
        <v>0</v>
      </c>
      <c r="H92" s="822">
        <f t="shared" si="8"/>
        <v>44437.59</v>
      </c>
      <c r="I92" s="829">
        <f t="shared" si="9"/>
        <v>0</v>
      </c>
    </row>
    <row r="93" spans="1:9" s="830" customFormat="1" ht="17.25" customHeight="1" x14ac:dyDescent="0.2">
      <c r="A93" s="793">
        <v>27101</v>
      </c>
      <c r="B93" s="790" t="s">
        <v>1158</v>
      </c>
      <c r="C93" s="832">
        <v>49369.599999999999</v>
      </c>
      <c r="D93" s="832">
        <v>-6000</v>
      </c>
      <c r="E93" s="832">
        <f>SUM(C93:D93)</f>
        <v>43369.599999999999</v>
      </c>
      <c r="F93" s="832">
        <v>0</v>
      </c>
      <c r="G93" s="832">
        <v>0</v>
      </c>
      <c r="H93" s="821">
        <f t="shared" si="8"/>
        <v>43369.599999999999</v>
      </c>
      <c r="I93" s="828">
        <f t="shared" si="9"/>
        <v>0</v>
      </c>
    </row>
    <row r="94" spans="1:9" s="830" customFormat="1" ht="17.25" customHeight="1" x14ac:dyDescent="0.2">
      <c r="A94" s="793">
        <v>27201</v>
      </c>
      <c r="B94" s="790" t="s">
        <v>1254</v>
      </c>
      <c r="C94" s="832">
        <v>1067.99</v>
      </c>
      <c r="D94" s="832"/>
      <c r="E94" s="832">
        <f>SUM(C94:D94)</f>
        <v>1067.99</v>
      </c>
      <c r="F94" s="832">
        <v>0</v>
      </c>
      <c r="G94" s="832">
        <v>0</v>
      </c>
      <c r="H94" s="821"/>
      <c r="I94" s="828"/>
    </row>
    <row r="95" spans="1:9" s="830" customFormat="1" ht="17.25" customHeight="1" x14ac:dyDescent="0.2">
      <c r="A95" s="794">
        <v>2900</v>
      </c>
      <c r="B95" s="796" t="s">
        <v>1159</v>
      </c>
      <c r="C95" s="827">
        <f>C96+C101+C103+C98</f>
        <v>205270.78</v>
      </c>
      <c r="D95" s="827">
        <f t="shared" ref="D95" si="22">D96+D101+D103+D98</f>
        <v>38328.67</v>
      </c>
      <c r="E95" s="827">
        <f>E96+E101+E103+E98</f>
        <v>243599.45</v>
      </c>
      <c r="F95" s="827">
        <f>F96+F98+F102+F103</f>
        <v>40467.699999999997</v>
      </c>
      <c r="G95" s="827">
        <f>G96+G98+G102+G103</f>
        <v>40467.699999999997</v>
      </c>
      <c r="H95" s="822">
        <f t="shared" si="8"/>
        <v>203131.75</v>
      </c>
      <c r="I95" s="829">
        <f t="shared" si="9"/>
        <v>0.1661239382929641</v>
      </c>
    </row>
    <row r="96" spans="1:9" s="830" customFormat="1" ht="17.25" customHeight="1" x14ac:dyDescent="0.2">
      <c r="A96" s="792">
        <v>291</v>
      </c>
      <c r="B96" s="791" t="s">
        <v>1160</v>
      </c>
      <c r="C96" s="832">
        <f>C97</f>
        <v>487.2</v>
      </c>
      <c r="D96" s="832">
        <f t="shared" ref="D96:E96" si="23">D97</f>
        <v>0</v>
      </c>
      <c r="E96" s="832">
        <f t="shared" si="23"/>
        <v>487.2</v>
      </c>
      <c r="F96" s="832">
        <f>F97</f>
        <v>0</v>
      </c>
      <c r="G96" s="832">
        <f>G97</f>
        <v>0</v>
      </c>
      <c r="H96" s="821">
        <f t="shared" si="8"/>
        <v>487.2</v>
      </c>
      <c r="I96" s="828">
        <f t="shared" si="9"/>
        <v>0</v>
      </c>
    </row>
    <row r="97" spans="1:9" s="830" customFormat="1" ht="17.25" customHeight="1" x14ac:dyDescent="0.2">
      <c r="A97" s="793">
        <v>29101</v>
      </c>
      <c r="B97" s="790" t="s">
        <v>1160</v>
      </c>
      <c r="C97" s="832">
        <v>487.2</v>
      </c>
      <c r="D97" s="832"/>
      <c r="E97" s="832">
        <f>SUM(C97:D97)</f>
        <v>487.2</v>
      </c>
      <c r="F97" s="832">
        <v>0</v>
      </c>
      <c r="G97" s="832">
        <v>0</v>
      </c>
      <c r="H97" s="821">
        <f t="shared" si="8"/>
        <v>487.2</v>
      </c>
      <c r="I97" s="828">
        <f t="shared" si="9"/>
        <v>0</v>
      </c>
    </row>
    <row r="98" spans="1:9" s="830" customFormat="1" ht="17.25" customHeight="1" x14ac:dyDescent="0.2">
      <c r="A98" s="792">
        <v>292</v>
      </c>
      <c r="B98" s="789" t="s">
        <v>1161</v>
      </c>
      <c r="C98" s="827">
        <f>C99+C100</f>
        <v>23389.589999999997</v>
      </c>
      <c r="D98" s="827">
        <f t="shared" ref="D98:E98" si="24">D99+D100</f>
        <v>0</v>
      </c>
      <c r="E98" s="827">
        <f t="shared" si="24"/>
        <v>23389.589999999997</v>
      </c>
      <c r="F98" s="827">
        <f t="shared" ref="F98:G98" si="25">F99++F100+F101</f>
        <v>0</v>
      </c>
      <c r="G98" s="827">
        <f t="shared" si="25"/>
        <v>0</v>
      </c>
      <c r="H98" s="821">
        <f t="shared" si="8"/>
        <v>23389.589999999997</v>
      </c>
      <c r="I98" s="828">
        <f t="shared" si="9"/>
        <v>0</v>
      </c>
    </row>
    <row r="99" spans="1:9" s="830" customFormat="1" ht="17.25" customHeight="1" x14ac:dyDescent="0.2">
      <c r="A99" s="793">
        <v>29201</v>
      </c>
      <c r="B99" s="790" t="s">
        <v>1161</v>
      </c>
      <c r="C99" s="832">
        <v>18389.599999999999</v>
      </c>
      <c r="D99" s="832"/>
      <c r="E99" s="832">
        <f>SUM(C99:D99)</f>
        <v>18389.599999999999</v>
      </c>
      <c r="F99" s="832">
        <v>0</v>
      </c>
      <c r="G99" s="832">
        <v>0</v>
      </c>
      <c r="H99" s="821">
        <f t="shared" si="8"/>
        <v>18389.599999999999</v>
      </c>
      <c r="I99" s="828">
        <f t="shared" si="9"/>
        <v>0</v>
      </c>
    </row>
    <row r="100" spans="1:9" s="830" customFormat="1" ht="17.25" customHeight="1" x14ac:dyDescent="0.2">
      <c r="A100" s="793">
        <v>29301</v>
      </c>
      <c r="B100" s="790" t="s">
        <v>1162</v>
      </c>
      <c r="C100" s="832">
        <v>4999.99</v>
      </c>
      <c r="D100" s="832">
        <v>0</v>
      </c>
      <c r="E100" s="832">
        <f>SUM(C100:D100)</f>
        <v>4999.99</v>
      </c>
      <c r="F100" s="832">
        <v>0</v>
      </c>
      <c r="G100" s="832"/>
      <c r="H100" s="821">
        <f t="shared" si="8"/>
        <v>4999.99</v>
      </c>
      <c r="I100" s="828">
        <f t="shared" si="9"/>
        <v>0</v>
      </c>
    </row>
    <row r="101" spans="1:9" s="830" customFormat="1" ht="24.75" customHeight="1" x14ac:dyDescent="0.2">
      <c r="A101" s="792">
        <v>294</v>
      </c>
      <c r="B101" s="795" t="s">
        <v>1163</v>
      </c>
      <c r="C101" s="827">
        <f>C102</f>
        <v>148304</v>
      </c>
      <c r="D101" s="827">
        <f t="shared" ref="D101:E101" si="26">D102</f>
        <v>0</v>
      </c>
      <c r="E101" s="827">
        <f t="shared" si="26"/>
        <v>148304</v>
      </c>
      <c r="F101" s="832"/>
      <c r="G101" s="832"/>
      <c r="H101" s="821">
        <f t="shared" si="8"/>
        <v>148304</v>
      </c>
      <c r="I101" s="828">
        <f t="shared" si="9"/>
        <v>0</v>
      </c>
    </row>
    <row r="102" spans="1:9" s="830" customFormat="1" ht="26.25" customHeight="1" x14ac:dyDescent="0.2">
      <c r="A102" s="793">
        <v>29401</v>
      </c>
      <c r="B102" s="797" t="s">
        <v>1163</v>
      </c>
      <c r="C102" s="832">
        <v>148304</v>
      </c>
      <c r="D102" s="832"/>
      <c r="E102" s="832">
        <f>SUM(C102:D102)</f>
        <v>148304</v>
      </c>
      <c r="F102" s="832">
        <v>0</v>
      </c>
      <c r="G102" s="832">
        <v>0</v>
      </c>
      <c r="H102" s="821">
        <f t="shared" si="8"/>
        <v>148304</v>
      </c>
      <c r="I102" s="828">
        <f t="shared" si="9"/>
        <v>0</v>
      </c>
    </row>
    <row r="103" spans="1:9" s="830" customFormat="1" ht="17.25" customHeight="1" x14ac:dyDescent="0.2">
      <c r="A103" s="792">
        <v>296</v>
      </c>
      <c r="B103" s="795" t="s">
        <v>1164</v>
      </c>
      <c r="C103" s="827">
        <f>C104++C105+C106</f>
        <v>33089.99</v>
      </c>
      <c r="D103" s="827">
        <f t="shared" ref="D103:G103" si="27">D104++D105+D106</f>
        <v>38328.67</v>
      </c>
      <c r="E103" s="827">
        <f t="shared" si="27"/>
        <v>71418.66</v>
      </c>
      <c r="F103" s="827">
        <f t="shared" si="27"/>
        <v>40467.699999999997</v>
      </c>
      <c r="G103" s="827">
        <f t="shared" si="27"/>
        <v>40467.699999999997</v>
      </c>
      <c r="H103" s="822">
        <f>E103-F103</f>
        <v>30950.960000000006</v>
      </c>
      <c r="I103" s="829">
        <f t="shared" si="9"/>
        <v>0.56662642508274441</v>
      </c>
    </row>
    <row r="104" spans="1:9" s="830" customFormat="1" ht="25.5" customHeight="1" x14ac:dyDescent="0.2">
      <c r="A104" s="793">
        <v>29601</v>
      </c>
      <c r="B104" s="797" t="s">
        <v>1165</v>
      </c>
      <c r="C104" s="832">
        <v>33089.99</v>
      </c>
      <c r="D104" s="832"/>
      <c r="E104" s="832">
        <f>SUM(C104:D104)</f>
        <v>33089.99</v>
      </c>
      <c r="F104" s="832">
        <v>13196.1</v>
      </c>
      <c r="G104" s="832">
        <v>13196.1</v>
      </c>
      <c r="H104" s="822">
        <f>E104-F104</f>
        <v>19893.89</v>
      </c>
      <c r="I104" s="828">
        <f t="shared" si="9"/>
        <v>0.39879431816086985</v>
      </c>
    </row>
    <row r="105" spans="1:9" s="830" customFormat="1" ht="24" customHeight="1" x14ac:dyDescent="0.2">
      <c r="A105" s="793">
        <v>29801</v>
      </c>
      <c r="B105" s="797" t="s">
        <v>1166</v>
      </c>
      <c r="C105" s="832">
        <v>0</v>
      </c>
      <c r="D105" s="832">
        <v>27876.880000000001</v>
      </c>
      <c r="E105" s="832">
        <f>SUM(C105:D105)</f>
        <v>27876.880000000001</v>
      </c>
      <c r="F105" s="832">
        <v>16820</v>
      </c>
      <c r="G105" s="832">
        <v>16820</v>
      </c>
      <c r="H105" s="821"/>
      <c r="I105" s="828">
        <f t="shared" si="9"/>
        <v>0.60336737827188691</v>
      </c>
    </row>
    <row r="106" spans="1:9" s="830" customFormat="1" ht="17.25" customHeight="1" thickBot="1" x14ac:dyDescent="0.25">
      <c r="A106" s="798">
        <v>29901</v>
      </c>
      <c r="B106" s="797" t="s">
        <v>1167</v>
      </c>
      <c r="C106" s="832">
        <v>0</v>
      </c>
      <c r="D106" s="832">
        <v>10451.790000000001</v>
      </c>
      <c r="E106" s="832">
        <f>SUM(C106:D106)</f>
        <v>10451.790000000001</v>
      </c>
      <c r="F106" s="832">
        <v>10451.6</v>
      </c>
      <c r="G106" s="832">
        <v>10451.6</v>
      </c>
      <c r="H106" s="821">
        <f t="shared" si="8"/>
        <v>0.19000000000050932</v>
      </c>
      <c r="I106" s="828">
        <f t="shared" si="9"/>
        <v>0.99998182129568236</v>
      </c>
    </row>
    <row r="107" spans="1:9" s="830" customFormat="1" ht="17.25" customHeight="1" thickBot="1" x14ac:dyDescent="0.25">
      <c r="A107" s="799"/>
      <c r="B107" s="800" t="s">
        <v>625</v>
      </c>
      <c r="C107" s="845">
        <f>C58+C71+C77+C83+C88+C91+C95</f>
        <v>2133085.3800000004</v>
      </c>
      <c r="D107" s="845">
        <f>D58+D71+D77+D83+D88+D91+D95</f>
        <v>57986.080000000002</v>
      </c>
      <c r="E107" s="845">
        <f t="shared" ref="E107" si="28">E58+E71+E77+E83+E88+E91+E95</f>
        <v>2191071.4600000004</v>
      </c>
      <c r="F107" s="838">
        <f>F58+F71+F77+F89+F92+F95+F83</f>
        <v>273119.02</v>
      </c>
      <c r="G107" s="838">
        <f>G58+G71+G77+G89+G92+G95+G83</f>
        <v>230415.08999999997</v>
      </c>
      <c r="H107" s="824">
        <f t="shared" si="8"/>
        <v>1917952.4400000004</v>
      </c>
      <c r="I107" s="846">
        <f t="shared" si="9"/>
        <v>0.1246508956855291</v>
      </c>
    </row>
    <row r="108" spans="1:9" s="830" customFormat="1" ht="42" customHeight="1" thickBot="1" x14ac:dyDescent="0.25">
      <c r="A108" s="1262" t="s">
        <v>818</v>
      </c>
      <c r="B108" s="1263"/>
      <c r="C108" s="841" t="s">
        <v>569</v>
      </c>
      <c r="D108" s="841" t="s">
        <v>479</v>
      </c>
      <c r="E108" s="785" t="s">
        <v>570</v>
      </c>
      <c r="F108" s="841" t="s">
        <v>571</v>
      </c>
      <c r="G108" s="841" t="s">
        <v>572</v>
      </c>
      <c r="H108" s="785" t="s">
        <v>573</v>
      </c>
      <c r="I108" s="842" t="s">
        <v>819</v>
      </c>
    </row>
    <row r="109" spans="1:9" s="830" customFormat="1" ht="17.25" customHeight="1" thickBot="1" x14ac:dyDescent="0.25">
      <c r="A109" s="773"/>
      <c r="B109" s="843"/>
      <c r="C109" s="843" t="s">
        <v>444</v>
      </c>
      <c r="D109" s="843" t="s">
        <v>445</v>
      </c>
      <c r="E109" s="786" t="s">
        <v>574</v>
      </c>
      <c r="F109" s="843" t="s">
        <v>447</v>
      </c>
      <c r="G109" s="843" t="s">
        <v>448</v>
      </c>
      <c r="H109" s="786" t="s">
        <v>575</v>
      </c>
      <c r="I109" s="844" t="s">
        <v>820</v>
      </c>
    </row>
    <row r="110" spans="1:9" s="830" customFormat="1" ht="17.25" customHeight="1" x14ac:dyDescent="0.2">
      <c r="A110" s="801">
        <v>3000</v>
      </c>
      <c r="B110" s="802" t="s">
        <v>227</v>
      </c>
      <c r="C110" s="827">
        <f>C111+C127+C132+C143+C149+C165+C178</f>
        <v>6341914.6300000008</v>
      </c>
      <c r="D110" s="827">
        <f>D111+D127+D132+D143+D149+D165+D178+D175</f>
        <v>4727118.37</v>
      </c>
      <c r="E110" s="827">
        <f t="shared" ref="E110" si="29">E111+E127+E132+E143+E149+E165+E178</f>
        <v>11069033</v>
      </c>
      <c r="F110" s="827">
        <f>F111+F127+F132+F143+F149+F165+F178+F175</f>
        <v>1790340.42</v>
      </c>
      <c r="G110" s="827">
        <f>G111+G127+G132+G143+G149+G165+G178+G175</f>
        <v>1323644.9200000002</v>
      </c>
      <c r="H110" s="822">
        <f>E110-F110</f>
        <v>9278692.5800000001</v>
      </c>
      <c r="I110" s="829">
        <f t="shared" ref="I110:I181" si="30">IF(E110=0,"",F110/E110)</f>
        <v>0.16174316401441752</v>
      </c>
    </row>
    <row r="111" spans="1:9" s="830" customFormat="1" ht="17.25" customHeight="1" x14ac:dyDescent="0.2">
      <c r="A111" s="803">
        <v>3100</v>
      </c>
      <c r="B111" s="804" t="s">
        <v>1168</v>
      </c>
      <c r="C111" s="827">
        <f>C112+C114+C116+C118+C120+C122+C124</f>
        <v>1219443.6599999999</v>
      </c>
      <c r="D111" s="827">
        <f>D112+D114+D116+D118+D120+D122+D124</f>
        <v>0</v>
      </c>
      <c r="E111" s="827">
        <f>E112+E114+E116+E118+E120+E122+E124</f>
        <v>1219443.6599999999</v>
      </c>
      <c r="F111" s="827">
        <f>F112+F114+F116+F118+F120+F122+F124</f>
        <v>177534.6</v>
      </c>
      <c r="G111" s="827">
        <f>G112+G114+G116+G118+G120+G122+G124</f>
        <v>177534.6</v>
      </c>
      <c r="H111" s="821">
        <f t="shared" ref="H111:H179" si="31">E111-F111</f>
        <v>1041909.0599999999</v>
      </c>
      <c r="I111" s="828">
        <f t="shared" si="30"/>
        <v>0.14558655378961913</v>
      </c>
    </row>
    <row r="112" spans="1:9" s="830" customFormat="1" ht="17.25" customHeight="1" x14ac:dyDescent="0.2">
      <c r="A112" s="805">
        <v>311</v>
      </c>
      <c r="B112" s="804" t="s">
        <v>1169</v>
      </c>
      <c r="C112" s="827">
        <f>C113</f>
        <v>690713.88</v>
      </c>
      <c r="D112" s="827">
        <f t="shared" ref="D112:E112" si="32">D113</f>
        <v>0</v>
      </c>
      <c r="E112" s="827">
        <f t="shared" si="32"/>
        <v>690713.88</v>
      </c>
      <c r="F112" s="827">
        <f>F113</f>
        <v>86868</v>
      </c>
      <c r="G112" s="827">
        <f>G113</f>
        <v>86868</v>
      </c>
      <c r="H112" s="821">
        <f t="shared" si="31"/>
        <v>603845.88</v>
      </c>
      <c r="I112" s="828">
        <f t="shared" si="30"/>
        <v>0.12576553405876251</v>
      </c>
    </row>
    <row r="113" spans="1:9" s="830" customFormat="1" ht="17.25" customHeight="1" x14ac:dyDescent="0.2">
      <c r="A113" s="806">
        <v>31101</v>
      </c>
      <c r="B113" s="807" t="s">
        <v>1170</v>
      </c>
      <c r="C113" s="832">
        <v>690713.88</v>
      </c>
      <c r="D113" s="832"/>
      <c r="E113" s="832">
        <f>SUM(C113:D113)</f>
        <v>690713.88</v>
      </c>
      <c r="F113" s="832">
        <v>86868</v>
      </c>
      <c r="G113" s="832">
        <v>86868</v>
      </c>
      <c r="H113" s="821">
        <f t="shared" si="31"/>
        <v>603845.88</v>
      </c>
      <c r="I113" s="828">
        <f t="shared" si="30"/>
        <v>0.12576553405876251</v>
      </c>
    </row>
    <row r="114" spans="1:9" s="830" customFormat="1" ht="17.25" customHeight="1" x14ac:dyDescent="0.2">
      <c r="A114" s="805">
        <v>313</v>
      </c>
      <c r="B114" s="808" t="s">
        <v>1171</v>
      </c>
      <c r="C114" s="827">
        <f>C115</f>
        <v>48217.35</v>
      </c>
      <c r="D114" s="827">
        <f t="shared" ref="D114:E114" si="33">D115</f>
        <v>0</v>
      </c>
      <c r="E114" s="827">
        <f t="shared" si="33"/>
        <v>48217.35</v>
      </c>
      <c r="F114" s="827">
        <f>F115</f>
        <v>17666</v>
      </c>
      <c r="G114" s="827">
        <f>G115</f>
        <v>17666</v>
      </c>
      <c r="H114" s="821">
        <f t="shared" si="31"/>
        <v>30551.35</v>
      </c>
      <c r="I114" s="828">
        <f t="shared" si="30"/>
        <v>0.36638264027367745</v>
      </c>
    </row>
    <row r="115" spans="1:9" s="830" customFormat="1" ht="17.25" customHeight="1" x14ac:dyDescent="0.2">
      <c r="A115" s="806">
        <v>31301</v>
      </c>
      <c r="B115" s="807" t="s">
        <v>1171</v>
      </c>
      <c r="C115" s="832">
        <v>48217.35</v>
      </c>
      <c r="D115" s="832"/>
      <c r="E115" s="832">
        <f>SUM(C115:D115)</f>
        <v>48217.35</v>
      </c>
      <c r="F115" s="832">
        <v>17666</v>
      </c>
      <c r="G115" s="832">
        <v>17666</v>
      </c>
      <c r="H115" s="821">
        <f t="shared" si="31"/>
        <v>30551.35</v>
      </c>
      <c r="I115" s="828">
        <f t="shared" si="30"/>
        <v>0.36638264027367745</v>
      </c>
    </row>
    <row r="116" spans="1:9" s="830" customFormat="1" ht="17.25" customHeight="1" x14ac:dyDescent="0.2">
      <c r="A116" s="805">
        <v>314</v>
      </c>
      <c r="B116" s="808" t="s">
        <v>1172</v>
      </c>
      <c r="C116" s="827">
        <f>C117</f>
        <v>50147.64</v>
      </c>
      <c r="D116" s="827">
        <f t="shared" ref="D116:E116" si="34">D117</f>
        <v>0</v>
      </c>
      <c r="E116" s="827">
        <f t="shared" si="34"/>
        <v>50147.64</v>
      </c>
      <c r="F116" s="827">
        <f>F117</f>
        <v>9111.24</v>
      </c>
      <c r="G116" s="827">
        <f>G117</f>
        <v>9111.24</v>
      </c>
      <c r="H116" s="821">
        <f t="shared" si="31"/>
        <v>41036.400000000001</v>
      </c>
      <c r="I116" s="828">
        <f t="shared" si="30"/>
        <v>0.18168831075599967</v>
      </c>
    </row>
    <row r="117" spans="1:9" s="830" customFormat="1" ht="17.25" customHeight="1" x14ac:dyDescent="0.2">
      <c r="A117" s="806">
        <v>31401</v>
      </c>
      <c r="B117" s="807" t="s">
        <v>1172</v>
      </c>
      <c r="C117" s="832">
        <v>50147.64</v>
      </c>
      <c r="D117" s="832"/>
      <c r="E117" s="832">
        <f>SUM(C117:D117)</f>
        <v>50147.64</v>
      </c>
      <c r="F117" s="832">
        <v>9111.24</v>
      </c>
      <c r="G117" s="832">
        <v>9111.24</v>
      </c>
      <c r="H117" s="821">
        <f t="shared" si="31"/>
        <v>41036.400000000001</v>
      </c>
      <c r="I117" s="828">
        <f t="shared" si="30"/>
        <v>0.18168831075599967</v>
      </c>
    </row>
    <row r="118" spans="1:9" s="830" customFormat="1" ht="17.25" customHeight="1" x14ac:dyDescent="0.2">
      <c r="A118" s="805">
        <v>315</v>
      </c>
      <c r="B118" s="808" t="s">
        <v>1173</v>
      </c>
      <c r="C118" s="832"/>
      <c r="D118" s="832"/>
      <c r="E118" s="821"/>
      <c r="F118" s="832"/>
      <c r="G118" s="832"/>
      <c r="H118" s="821">
        <f t="shared" si="31"/>
        <v>0</v>
      </c>
      <c r="I118" s="828" t="str">
        <f t="shared" si="30"/>
        <v/>
      </c>
    </row>
    <row r="119" spans="1:9" s="830" customFormat="1" ht="17.25" customHeight="1" x14ac:dyDescent="0.2">
      <c r="A119" s="806">
        <v>31501</v>
      </c>
      <c r="B119" s="807" t="s">
        <v>1173</v>
      </c>
      <c r="C119" s="832">
        <v>0</v>
      </c>
      <c r="D119" s="832"/>
      <c r="E119" s="821"/>
      <c r="F119" s="832">
        <v>0</v>
      </c>
      <c r="G119" s="832"/>
      <c r="H119" s="821">
        <f t="shared" si="31"/>
        <v>0</v>
      </c>
      <c r="I119" s="828" t="str">
        <f t="shared" si="30"/>
        <v/>
      </c>
    </row>
    <row r="120" spans="1:9" s="830" customFormat="1" ht="17.25" customHeight="1" x14ac:dyDescent="0.2">
      <c r="A120" s="805">
        <v>316</v>
      </c>
      <c r="B120" s="808" t="s">
        <v>1174</v>
      </c>
      <c r="C120" s="827">
        <f>C121</f>
        <v>39851.72</v>
      </c>
      <c r="D120" s="827">
        <f t="shared" ref="D120:E120" si="35">D121</f>
        <v>0</v>
      </c>
      <c r="E120" s="827">
        <f t="shared" si="35"/>
        <v>39851.72</v>
      </c>
      <c r="F120" s="827">
        <f>F121</f>
        <v>0</v>
      </c>
      <c r="G120" s="827">
        <f>G121</f>
        <v>0</v>
      </c>
      <c r="H120" s="821">
        <f>E120-F120</f>
        <v>39851.72</v>
      </c>
      <c r="I120" s="828">
        <f t="shared" si="30"/>
        <v>0</v>
      </c>
    </row>
    <row r="121" spans="1:9" s="830" customFormat="1" ht="17.25" customHeight="1" x14ac:dyDescent="0.2">
      <c r="A121" s="806">
        <v>31601</v>
      </c>
      <c r="B121" s="807" t="s">
        <v>1174</v>
      </c>
      <c r="C121" s="832">
        <v>39851.72</v>
      </c>
      <c r="D121" s="832"/>
      <c r="E121" s="832">
        <f>SUM(C121:D121)</f>
        <v>39851.72</v>
      </c>
      <c r="F121" s="832">
        <v>0</v>
      </c>
      <c r="G121" s="832">
        <v>0</v>
      </c>
      <c r="H121" s="821">
        <f>E121-F121</f>
        <v>39851.72</v>
      </c>
      <c r="I121" s="828">
        <f t="shared" si="30"/>
        <v>0</v>
      </c>
    </row>
    <row r="122" spans="1:9" s="830" customFormat="1" ht="26.25" customHeight="1" x14ac:dyDescent="0.2">
      <c r="A122" s="805">
        <v>317</v>
      </c>
      <c r="B122" s="804" t="s">
        <v>1175</v>
      </c>
      <c r="C122" s="827">
        <f>C123</f>
        <v>177384.79</v>
      </c>
      <c r="D122" s="827">
        <f t="shared" ref="D122:E122" si="36">D123</f>
        <v>0</v>
      </c>
      <c r="E122" s="827">
        <f t="shared" si="36"/>
        <v>177384.79</v>
      </c>
      <c r="F122" s="827">
        <f>F123</f>
        <v>48702.87</v>
      </c>
      <c r="G122" s="827">
        <f>G123</f>
        <v>48702.87</v>
      </c>
      <c r="H122" s="821">
        <f t="shared" si="31"/>
        <v>128681.92000000001</v>
      </c>
      <c r="I122" s="828">
        <f t="shared" si="30"/>
        <v>0.27456057534583433</v>
      </c>
    </row>
    <row r="123" spans="1:9" s="830" customFormat="1" ht="24" customHeight="1" x14ac:dyDescent="0.2">
      <c r="A123" s="806">
        <v>31701</v>
      </c>
      <c r="B123" s="809" t="s">
        <v>1176</v>
      </c>
      <c r="C123" s="832">
        <v>177384.79</v>
      </c>
      <c r="D123" s="832"/>
      <c r="E123" s="832">
        <f>SUM(C123:D123)</f>
        <v>177384.79</v>
      </c>
      <c r="F123" s="832">
        <v>48702.87</v>
      </c>
      <c r="G123" s="832">
        <v>48702.87</v>
      </c>
      <c r="H123" s="821">
        <f t="shared" si="31"/>
        <v>128681.92000000001</v>
      </c>
      <c r="I123" s="828">
        <f t="shared" si="30"/>
        <v>0.27456057534583433</v>
      </c>
    </row>
    <row r="124" spans="1:9" s="830" customFormat="1" ht="17.25" customHeight="1" x14ac:dyDescent="0.2">
      <c r="A124" s="805">
        <v>318</v>
      </c>
      <c r="B124" s="804" t="s">
        <v>1177</v>
      </c>
      <c r="C124" s="827">
        <f>C125+C126</f>
        <v>213128.28</v>
      </c>
      <c r="D124" s="827">
        <f t="shared" ref="D124" si="37">D125</f>
        <v>0</v>
      </c>
      <c r="E124" s="827">
        <f>E125+E126</f>
        <v>213128.28</v>
      </c>
      <c r="F124" s="827">
        <f>F125+F126</f>
        <v>15186.49</v>
      </c>
      <c r="G124" s="827">
        <f>G125+G126</f>
        <v>15186.49</v>
      </c>
      <c r="H124" s="821">
        <f t="shared" si="31"/>
        <v>197941.79</v>
      </c>
      <c r="I124" s="828">
        <f t="shared" si="30"/>
        <v>7.1255161445491891E-2</v>
      </c>
    </row>
    <row r="125" spans="1:9" s="830" customFormat="1" ht="17.25" customHeight="1" x14ac:dyDescent="0.2">
      <c r="A125" s="806">
        <v>31801</v>
      </c>
      <c r="B125" s="807" t="s">
        <v>1178</v>
      </c>
      <c r="C125" s="832">
        <v>184128.28</v>
      </c>
      <c r="D125" s="832"/>
      <c r="E125" s="832">
        <f>SUM(C125:D125)</f>
        <v>184128.28</v>
      </c>
      <c r="F125" s="832"/>
      <c r="G125" s="832"/>
      <c r="H125" s="821">
        <f t="shared" si="31"/>
        <v>184128.28</v>
      </c>
      <c r="I125" s="828">
        <f t="shared" si="30"/>
        <v>0</v>
      </c>
    </row>
    <row r="126" spans="1:9" s="830" customFormat="1" ht="17.25" customHeight="1" x14ac:dyDescent="0.2">
      <c r="A126" s="806">
        <v>31901</v>
      </c>
      <c r="B126" s="807" t="s">
        <v>1256</v>
      </c>
      <c r="C126" s="832">
        <v>29000</v>
      </c>
      <c r="D126" s="832"/>
      <c r="E126" s="832">
        <f>SUM(C126:D126)</f>
        <v>29000</v>
      </c>
      <c r="F126" s="832">
        <v>15186.49</v>
      </c>
      <c r="G126" s="832">
        <v>15186.49</v>
      </c>
      <c r="H126" s="821"/>
      <c r="I126" s="828"/>
    </row>
    <row r="127" spans="1:9" s="830" customFormat="1" ht="17.25" customHeight="1" x14ac:dyDescent="0.2">
      <c r="A127" s="803">
        <v>3200</v>
      </c>
      <c r="B127" s="804" t="s">
        <v>1179</v>
      </c>
      <c r="C127" s="827">
        <f>C128</f>
        <v>113506.02</v>
      </c>
      <c r="D127" s="827">
        <f t="shared" ref="D127:E127" si="38">D128</f>
        <v>0</v>
      </c>
      <c r="E127" s="827">
        <f t="shared" si="38"/>
        <v>113506.02</v>
      </c>
      <c r="F127" s="827">
        <f>F128</f>
        <v>25482.22</v>
      </c>
      <c r="G127" s="827">
        <f>G128</f>
        <v>18468.21</v>
      </c>
      <c r="H127" s="821">
        <f t="shared" si="31"/>
        <v>88023.8</v>
      </c>
      <c r="I127" s="828">
        <f t="shared" si="30"/>
        <v>0.22450104408559124</v>
      </c>
    </row>
    <row r="128" spans="1:9" s="830" customFormat="1" ht="26.25" customHeight="1" x14ac:dyDescent="0.2">
      <c r="A128" s="810">
        <v>323</v>
      </c>
      <c r="B128" s="804" t="s">
        <v>1180</v>
      </c>
      <c r="C128" s="847">
        <f>C129+C130+C131</f>
        <v>113506.02</v>
      </c>
      <c r="D128" s="847">
        <f t="shared" ref="D128" si="39">D129+D130+D131</f>
        <v>0</v>
      </c>
      <c r="E128" s="847">
        <f>E129+E130+E131</f>
        <v>113506.02</v>
      </c>
      <c r="F128" s="827">
        <f>F129+F130+F131</f>
        <v>25482.22</v>
      </c>
      <c r="G128" s="827">
        <f>G129+G130+G131</f>
        <v>18468.21</v>
      </c>
      <c r="H128" s="821">
        <f t="shared" si="31"/>
        <v>88023.8</v>
      </c>
      <c r="I128" s="828">
        <f t="shared" si="30"/>
        <v>0.22450104408559124</v>
      </c>
    </row>
    <row r="129" spans="1:9" s="830" customFormat="1" ht="17.25" customHeight="1" x14ac:dyDescent="0.2">
      <c r="A129" s="806">
        <v>32301</v>
      </c>
      <c r="B129" s="809" t="s">
        <v>1181</v>
      </c>
      <c r="C129" s="832">
        <v>88506.02</v>
      </c>
      <c r="D129" s="832"/>
      <c r="E129" s="832">
        <f>C129+D129</f>
        <v>88506.02</v>
      </c>
      <c r="F129" s="832">
        <v>14568.12</v>
      </c>
      <c r="G129" s="832">
        <v>7554.11</v>
      </c>
      <c r="H129" s="821">
        <f t="shared" si="31"/>
        <v>73937.900000000009</v>
      </c>
      <c r="I129" s="828">
        <f t="shared" si="30"/>
        <v>0.16460032888158344</v>
      </c>
    </row>
    <row r="130" spans="1:9" s="830" customFormat="1" ht="17.25" customHeight="1" x14ac:dyDescent="0.2">
      <c r="A130" s="806">
        <v>32701</v>
      </c>
      <c r="B130" s="809" t="s">
        <v>1182</v>
      </c>
      <c r="C130" s="832">
        <v>10000</v>
      </c>
      <c r="D130" s="832"/>
      <c r="E130" s="832">
        <f>C130+D130</f>
        <v>10000</v>
      </c>
      <c r="F130" s="832">
        <v>0</v>
      </c>
      <c r="G130" s="832">
        <v>0</v>
      </c>
      <c r="H130" s="821">
        <f>E130-F130</f>
        <v>10000</v>
      </c>
      <c r="I130" s="828">
        <f t="shared" si="30"/>
        <v>0</v>
      </c>
    </row>
    <row r="131" spans="1:9" s="830" customFormat="1" ht="17.25" customHeight="1" x14ac:dyDescent="0.2">
      <c r="A131" s="806">
        <v>32901</v>
      </c>
      <c r="B131" s="809" t="s">
        <v>1183</v>
      </c>
      <c r="C131" s="832">
        <v>15000</v>
      </c>
      <c r="D131" s="832"/>
      <c r="E131" s="832">
        <f>SUM(C131:D131)</f>
        <v>15000</v>
      </c>
      <c r="F131" s="832">
        <v>10914.1</v>
      </c>
      <c r="G131" s="832">
        <v>10914.1</v>
      </c>
      <c r="H131" s="821">
        <f t="shared" si="31"/>
        <v>4085.8999999999996</v>
      </c>
      <c r="I131" s="828">
        <f t="shared" si="30"/>
        <v>0.72760666666666673</v>
      </c>
    </row>
    <row r="132" spans="1:9" s="830" customFormat="1" ht="25.5" customHeight="1" x14ac:dyDescent="0.2">
      <c r="A132" s="803">
        <v>3300</v>
      </c>
      <c r="B132" s="804" t="s">
        <v>1184</v>
      </c>
      <c r="C132" s="827">
        <f>C133+C137+C139+C141+C135</f>
        <v>804083.72</v>
      </c>
      <c r="D132" s="827">
        <f t="shared" ref="D132:E132" si="40">D133+D137+D139+D141</f>
        <v>273644</v>
      </c>
      <c r="E132" s="827">
        <f t="shared" si="40"/>
        <v>1077727.72</v>
      </c>
      <c r="F132" s="827">
        <f>F133+F137+F139+F141+F135</f>
        <v>387561.12</v>
      </c>
      <c r="G132" s="827">
        <f>G133+G137+G139+G141+G135</f>
        <v>357401.82</v>
      </c>
      <c r="H132" s="821">
        <f t="shared" si="31"/>
        <v>690166.6</v>
      </c>
      <c r="I132" s="828">
        <f t="shared" si="30"/>
        <v>0.35960949394527963</v>
      </c>
    </row>
    <row r="133" spans="1:9" s="830" customFormat="1" ht="24.75" customHeight="1" x14ac:dyDescent="0.2">
      <c r="A133" s="805">
        <v>331</v>
      </c>
      <c r="B133" s="804" t="s">
        <v>1185</v>
      </c>
      <c r="C133" s="827">
        <f>C134</f>
        <v>362319.99</v>
      </c>
      <c r="D133" s="827">
        <f t="shared" ref="D133:E133" si="41">D134+D135</f>
        <v>1740</v>
      </c>
      <c r="E133" s="827">
        <f t="shared" si="41"/>
        <v>365559.99</v>
      </c>
      <c r="F133" s="827">
        <f>F134</f>
        <v>92341.8</v>
      </c>
      <c r="G133" s="827">
        <f>G134</f>
        <v>69141.8</v>
      </c>
      <c r="H133" s="821">
        <f t="shared" si="31"/>
        <v>273218.19</v>
      </c>
      <c r="I133" s="828">
        <f t="shared" si="30"/>
        <v>0.25260368346109213</v>
      </c>
    </row>
    <row r="134" spans="1:9" s="830" customFormat="1" ht="26.25" customHeight="1" x14ac:dyDescent="0.2">
      <c r="A134" s="806">
        <v>33101</v>
      </c>
      <c r="B134" s="809" t="s">
        <v>1186</v>
      </c>
      <c r="C134" s="848">
        <v>362319.99</v>
      </c>
      <c r="D134" s="848"/>
      <c r="E134" s="848">
        <f>SUM(C134:D134)</f>
        <v>362319.99</v>
      </c>
      <c r="F134" s="832">
        <v>92341.8</v>
      </c>
      <c r="G134" s="832">
        <v>69141.8</v>
      </c>
      <c r="H134" s="821">
        <f t="shared" si="31"/>
        <v>269978.19</v>
      </c>
      <c r="I134" s="828">
        <f t="shared" si="30"/>
        <v>0.25486255947401631</v>
      </c>
    </row>
    <row r="135" spans="1:9" s="830" customFormat="1" ht="21.75" customHeight="1" x14ac:dyDescent="0.2">
      <c r="A135" s="810">
        <v>333</v>
      </c>
      <c r="B135" s="804" t="s">
        <v>1187</v>
      </c>
      <c r="C135" s="847">
        <f>C136</f>
        <v>1500</v>
      </c>
      <c r="D135" s="847">
        <f t="shared" ref="D135:E135" si="42">D136</f>
        <v>1740</v>
      </c>
      <c r="E135" s="847">
        <f t="shared" si="42"/>
        <v>3240</v>
      </c>
      <c r="F135" s="827">
        <f>F136</f>
        <v>1740</v>
      </c>
      <c r="G135" s="827">
        <f>G136</f>
        <v>1740</v>
      </c>
      <c r="H135" s="821">
        <f t="shared" si="31"/>
        <v>1500</v>
      </c>
      <c r="I135" s="828">
        <f t="shared" si="30"/>
        <v>0.53703703703703709</v>
      </c>
    </row>
    <row r="136" spans="1:9" s="830" customFormat="1" ht="17.25" customHeight="1" x14ac:dyDescent="0.2">
      <c r="A136" s="806">
        <v>33301</v>
      </c>
      <c r="B136" s="809" t="s">
        <v>1188</v>
      </c>
      <c r="C136" s="832">
        <v>1500</v>
      </c>
      <c r="D136" s="832">
        <v>1740</v>
      </c>
      <c r="E136" s="832">
        <f>SUM(C136:D136)</f>
        <v>3240</v>
      </c>
      <c r="F136" s="832">
        <v>1740</v>
      </c>
      <c r="G136" s="832">
        <v>1740</v>
      </c>
      <c r="H136" s="821">
        <f t="shared" si="31"/>
        <v>1500</v>
      </c>
      <c r="I136" s="828">
        <f t="shared" si="30"/>
        <v>0.53703703703703709</v>
      </c>
    </row>
    <row r="137" spans="1:9" s="830" customFormat="1" ht="17.25" customHeight="1" x14ac:dyDescent="0.2">
      <c r="A137" s="805">
        <v>334</v>
      </c>
      <c r="B137" s="808" t="s">
        <v>1189</v>
      </c>
      <c r="C137" s="827">
        <f>C138</f>
        <v>0</v>
      </c>
      <c r="D137" s="827">
        <f t="shared" ref="D137:E137" si="43">D138</f>
        <v>271904</v>
      </c>
      <c r="E137" s="827">
        <f t="shared" si="43"/>
        <v>271904</v>
      </c>
      <c r="F137" s="827">
        <f>F138</f>
        <v>226200</v>
      </c>
      <c r="G137" s="827">
        <f>G138</f>
        <v>226200</v>
      </c>
      <c r="H137" s="821">
        <f t="shared" si="31"/>
        <v>45704</v>
      </c>
      <c r="I137" s="828">
        <f t="shared" si="30"/>
        <v>0.83191126279863481</v>
      </c>
    </row>
    <row r="138" spans="1:9" s="830" customFormat="1" ht="17.25" customHeight="1" x14ac:dyDescent="0.2">
      <c r="A138" s="806">
        <v>33401</v>
      </c>
      <c r="B138" s="807" t="s">
        <v>1189</v>
      </c>
      <c r="C138" s="832"/>
      <c r="D138" s="832">
        <v>271904</v>
      </c>
      <c r="E138" s="832">
        <f>SUM(C138:D138)</f>
        <v>271904</v>
      </c>
      <c r="F138" s="832">
        <v>226200</v>
      </c>
      <c r="G138" s="832">
        <v>226200</v>
      </c>
      <c r="H138" s="821">
        <f t="shared" si="31"/>
        <v>45704</v>
      </c>
      <c r="I138" s="828">
        <f t="shared" si="30"/>
        <v>0.83191126279863481</v>
      </c>
    </row>
    <row r="139" spans="1:9" s="830" customFormat="1" ht="24" customHeight="1" x14ac:dyDescent="0.2">
      <c r="A139" s="810">
        <v>336</v>
      </c>
      <c r="B139" s="804" t="s">
        <v>1190</v>
      </c>
      <c r="C139" s="827">
        <f>C140</f>
        <v>20000</v>
      </c>
      <c r="D139" s="827">
        <f t="shared" ref="D139" si="44">D140</f>
        <v>0</v>
      </c>
      <c r="E139" s="827">
        <f>E140</f>
        <v>20000</v>
      </c>
      <c r="F139" s="827">
        <f>F140</f>
        <v>6959.3</v>
      </c>
      <c r="G139" s="827">
        <f>G140</f>
        <v>0</v>
      </c>
      <c r="H139" s="821">
        <f t="shared" si="31"/>
        <v>13040.7</v>
      </c>
      <c r="I139" s="828">
        <f t="shared" si="30"/>
        <v>0.34796500000000002</v>
      </c>
    </row>
    <row r="140" spans="1:9" s="830" customFormat="1" ht="17.25" customHeight="1" x14ac:dyDescent="0.2">
      <c r="A140" s="806">
        <v>33605</v>
      </c>
      <c r="B140" s="807" t="s">
        <v>1191</v>
      </c>
      <c r="C140" s="832">
        <v>20000</v>
      </c>
      <c r="D140" s="832"/>
      <c r="E140" s="832">
        <f>SUM(C140:D140)</f>
        <v>20000</v>
      </c>
      <c r="F140" s="832">
        <v>6959.3</v>
      </c>
      <c r="G140" s="832">
        <v>0</v>
      </c>
      <c r="H140" s="821">
        <f t="shared" si="31"/>
        <v>13040.7</v>
      </c>
      <c r="I140" s="828">
        <f t="shared" si="30"/>
        <v>0.34796500000000002</v>
      </c>
    </row>
    <row r="141" spans="1:9" s="830" customFormat="1" ht="17.25" customHeight="1" x14ac:dyDescent="0.2">
      <c r="A141" s="805">
        <v>338</v>
      </c>
      <c r="B141" s="804" t="s">
        <v>1192</v>
      </c>
      <c r="C141" s="827">
        <f>C142</f>
        <v>420263.73</v>
      </c>
      <c r="D141" s="827">
        <f t="shared" ref="D141:E141" si="45">D142</f>
        <v>0</v>
      </c>
      <c r="E141" s="827">
        <f t="shared" si="45"/>
        <v>420263.73</v>
      </c>
      <c r="F141" s="827">
        <f>F142</f>
        <v>60320.02</v>
      </c>
      <c r="G141" s="827">
        <f>G142</f>
        <v>60320.02</v>
      </c>
      <c r="H141" s="821">
        <f t="shared" si="31"/>
        <v>359943.70999999996</v>
      </c>
      <c r="I141" s="828">
        <f t="shared" si="30"/>
        <v>0.14352896929744569</v>
      </c>
    </row>
    <row r="142" spans="1:9" s="830" customFormat="1" ht="17.25" customHeight="1" x14ac:dyDescent="0.2">
      <c r="A142" s="806">
        <v>33801</v>
      </c>
      <c r="B142" s="807" t="s">
        <v>1193</v>
      </c>
      <c r="C142" s="832">
        <v>420263.73</v>
      </c>
      <c r="D142" s="832"/>
      <c r="E142" s="832">
        <v>420263.73</v>
      </c>
      <c r="F142" s="832">
        <v>60320.02</v>
      </c>
      <c r="G142" s="832">
        <v>60320.02</v>
      </c>
      <c r="H142" s="821">
        <f t="shared" si="31"/>
        <v>359943.70999999996</v>
      </c>
      <c r="I142" s="828">
        <f t="shared" si="30"/>
        <v>0.14352896929744569</v>
      </c>
    </row>
    <row r="143" spans="1:9" s="830" customFormat="1" ht="17.25" customHeight="1" x14ac:dyDescent="0.2">
      <c r="A143" s="803">
        <v>3400</v>
      </c>
      <c r="B143" s="804" t="s">
        <v>1194</v>
      </c>
      <c r="C143" s="827">
        <f>C144+C146</f>
        <v>145126.16</v>
      </c>
      <c r="D143" s="827">
        <f t="shared" ref="D143:E143" si="46">D144+D146</f>
        <v>319999.99</v>
      </c>
      <c r="E143" s="827">
        <f t="shared" si="46"/>
        <v>465126.14999999997</v>
      </c>
      <c r="F143" s="827">
        <f>F144+F146</f>
        <v>102005.95999999999</v>
      </c>
      <c r="G143" s="827">
        <f>G144+G146</f>
        <v>102005.95999999999</v>
      </c>
      <c r="H143" s="821">
        <f t="shared" si="31"/>
        <v>363120.18999999994</v>
      </c>
      <c r="I143" s="828">
        <f t="shared" si="30"/>
        <v>0.21930815973258008</v>
      </c>
    </row>
    <row r="144" spans="1:9" s="830" customFormat="1" ht="17.25" customHeight="1" x14ac:dyDescent="0.2">
      <c r="A144" s="805">
        <v>341</v>
      </c>
      <c r="B144" s="804" t="s">
        <v>1195</v>
      </c>
      <c r="C144" s="827">
        <f>C145</f>
        <v>37191.18</v>
      </c>
      <c r="D144" s="827">
        <f t="shared" ref="D144:E144" si="47">D145</f>
        <v>0</v>
      </c>
      <c r="E144" s="827">
        <f t="shared" si="47"/>
        <v>37191.18</v>
      </c>
      <c r="F144" s="827">
        <f>F145</f>
        <v>7508.87</v>
      </c>
      <c r="G144" s="827">
        <f>G145</f>
        <v>7508.87</v>
      </c>
      <c r="H144" s="821">
        <f t="shared" si="31"/>
        <v>29682.31</v>
      </c>
      <c r="I144" s="828">
        <f t="shared" si="30"/>
        <v>0.20189921373831107</v>
      </c>
    </row>
    <row r="145" spans="1:9" s="830" customFormat="1" ht="17.25" customHeight="1" x14ac:dyDescent="0.2">
      <c r="A145" s="806">
        <v>34101</v>
      </c>
      <c r="B145" s="807" t="s">
        <v>1195</v>
      </c>
      <c r="C145" s="832">
        <v>37191.18</v>
      </c>
      <c r="D145" s="832"/>
      <c r="E145" s="832">
        <f>SUM(C145:D145)</f>
        <v>37191.18</v>
      </c>
      <c r="F145" s="832">
        <v>7508.87</v>
      </c>
      <c r="G145" s="832">
        <v>7508.87</v>
      </c>
      <c r="H145" s="821">
        <f t="shared" si="31"/>
        <v>29682.31</v>
      </c>
      <c r="I145" s="828">
        <f t="shared" si="30"/>
        <v>0.20189921373831107</v>
      </c>
    </row>
    <row r="146" spans="1:9" s="830" customFormat="1" ht="17.25" customHeight="1" x14ac:dyDescent="0.2">
      <c r="A146" s="805">
        <v>345</v>
      </c>
      <c r="B146" s="804" t="s">
        <v>1196</v>
      </c>
      <c r="C146" s="827">
        <f>C148</f>
        <v>107934.98</v>
      </c>
      <c r="D146" s="827">
        <f>D147</f>
        <v>319999.99</v>
      </c>
      <c r="E146" s="827">
        <f>E148+E147</f>
        <v>427934.97</v>
      </c>
      <c r="F146" s="827">
        <f>F148</f>
        <v>94497.09</v>
      </c>
      <c r="G146" s="827">
        <f>G148</f>
        <v>94497.09</v>
      </c>
      <c r="H146" s="821">
        <f t="shared" si="31"/>
        <v>333437.88</v>
      </c>
      <c r="I146" s="828">
        <f t="shared" si="30"/>
        <v>0.22082114485759366</v>
      </c>
    </row>
    <row r="147" spans="1:9" s="830" customFormat="1" ht="17.25" customHeight="1" x14ac:dyDescent="0.2">
      <c r="A147" s="806">
        <v>34401</v>
      </c>
      <c r="B147" s="809" t="s">
        <v>1257</v>
      </c>
      <c r="C147" s="832"/>
      <c r="D147" s="832">
        <v>319999.99</v>
      </c>
      <c r="E147" s="832">
        <f>SUM(C147:D147)</f>
        <v>319999.99</v>
      </c>
      <c r="F147" s="832">
        <v>0</v>
      </c>
      <c r="G147" s="832"/>
      <c r="H147" s="821">
        <f t="shared" si="31"/>
        <v>319999.99</v>
      </c>
      <c r="I147" s="828">
        <f t="shared" si="30"/>
        <v>0</v>
      </c>
    </row>
    <row r="148" spans="1:9" s="830" customFormat="1" ht="17.25" customHeight="1" x14ac:dyDescent="0.2">
      <c r="A148" s="806">
        <v>34501</v>
      </c>
      <c r="B148" s="807" t="s">
        <v>1196</v>
      </c>
      <c r="C148" s="832">
        <v>107934.98</v>
      </c>
      <c r="D148" s="832"/>
      <c r="E148" s="832">
        <f>SUM(C148:D148)</f>
        <v>107934.98</v>
      </c>
      <c r="F148" s="832">
        <v>94497.09</v>
      </c>
      <c r="G148" s="832">
        <v>94497.09</v>
      </c>
      <c r="H148" s="821">
        <f t="shared" si="31"/>
        <v>13437.89</v>
      </c>
      <c r="I148" s="828">
        <f t="shared" si="30"/>
        <v>0.87550013906520385</v>
      </c>
    </row>
    <row r="149" spans="1:9" s="830" customFormat="1" ht="33" customHeight="1" x14ac:dyDescent="0.2">
      <c r="A149" s="803">
        <v>3500</v>
      </c>
      <c r="B149" s="804" t="s">
        <v>1197</v>
      </c>
      <c r="C149" s="827">
        <f>C150+C152+C154+C157+C160+C163</f>
        <v>866744.63000000012</v>
      </c>
      <c r="D149" s="827">
        <f>D150+D152+D154+D157+D160+D163</f>
        <v>2067126.08</v>
      </c>
      <c r="E149" s="827">
        <f t="shared" ref="E149" si="48">E150+E152+E154+E157+E160+E163</f>
        <v>2933870.7100000004</v>
      </c>
      <c r="F149" s="827">
        <f>F150+F152+F154+F157+F160+F163</f>
        <v>569103.30000000005</v>
      </c>
      <c r="G149" s="827">
        <f>G150+G152+G154+G157+G160+G163</f>
        <v>489363.51</v>
      </c>
      <c r="H149" s="821">
        <f t="shared" si="31"/>
        <v>2364767.41</v>
      </c>
      <c r="I149" s="828">
        <f t="shared" si="30"/>
        <v>0.19397695271991039</v>
      </c>
    </row>
    <row r="150" spans="1:9" s="830" customFormat="1" ht="25.5" customHeight="1" x14ac:dyDescent="0.2">
      <c r="A150" s="805">
        <v>351</v>
      </c>
      <c r="B150" s="804" t="s">
        <v>1198</v>
      </c>
      <c r="C150" s="827">
        <f>C151</f>
        <v>0</v>
      </c>
      <c r="D150" s="827">
        <f t="shared" ref="D150:E150" si="49">D151</f>
        <v>952561.85</v>
      </c>
      <c r="E150" s="827">
        <f t="shared" si="49"/>
        <v>952561.85</v>
      </c>
      <c r="F150" s="827">
        <f>F151</f>
        <v>316421.55</v>
      </c>
      <c r="G150" s="827">
        <f>G151</f>
        <v>236681.76</v>
      </c>
      <c r="H150" s="821">
        <f t="shared" si="31"/>
        <v>636140.30000000005</v>
      </c>
      <c r="I150" s="828">
        <f t="shared" si="30"/>
        <v>0.33217953248915016</v>
      </c>
    </row>
    <row r="151" spans="1:9" s="830" customFormat="1" ht="17.25" customHeight="1" x14ac:dyDescent="0.2">
      <c r="A151" s="806">
        <v>35101</v>
      </c>
      <c r="B151" s="807" t="s">
        <v>1199</v>
      </c>
      <c r="C151" s="832"/>
      <c r="D151" s="832">
        <v>952561.85</v>
      </c>
      <c r="E151" s="832">
        <f>SUM(C151:D151)</f>
        <v>952561.85</v>
      </c>
      <c r="F151" s="832">
        <v>316421.55</v>
      </c>
      <c r="G151" s="832">
        <v>236681.76</v>
      </c>
      <c r="H151" s="821">
        <f t="shared" si="31"/>
        <v>636140.30000000005</v>
      </c>
      <c r="I151" s="828">
        <f t="shared" si="30"/>
        <v>0.33217953248915016</v>
      </c>
    </row>
    <row r="152" spans="1:9" s="830" customFormat="1" ht="24.75" customHeight="1" x14ac:dyDescent="0.2">
      <c r="A152" s="805">
        <v>352</v>
      </c>
      <c r="B152" s="804" t="s">
        <v>1200</v>
      </c>
      <c r="C152" s="827">
        <f>C153</f>
        <v>0</v>
      </c>
      <c r="D152" s="827">
        <f t="shared" ref="D152:E152" si="50">D153</f>
        <v>17664.23</v>
      </c>
      <c r="E152" s="827">
        <f t="shared" si="50"/>
        <v>17664.23</v>
      </c>
      <c r="F152" s="827">
        <f>F153</f>
        <v>17664</v>
      </c>
      <c r="G152" s="827">
        <f>G153</f>
        <v>17664</v>
      </c>
      <c r="H152" s="821">
        <f t="shared" si="31"/>
        <v>0.22999999999956344</v>
      </c>
      <c r="I152" s="828">
        <f t="shared" si="30"/>
        <v>0.99998697933620662</v>
      </c>
    </row>
    <row r="153" spans="1:9" s="830" customFormat="1" ht="20.25" customHeight="1" x14ac:dyDescent="0.2">
      <c r="A153" s="806">
        <v>35201</v>
      </c>
      <c r="B153" s="807" t="s">
        <v>1201</v>
      </c>
      <c r="C153" s="832"/>
      <c r="D153" s="832">
        <v>17664.23</v>
      </c>
      <c r="E153" s="832">
        <f>SUM(C153:D153)</f>
        <v>17664.23</v>
      </c>
      <c r="F153" s="832">
        <v>17664</v>
      </c>
      <c r="G153" s="832">
        <v>17664</v>
      </c>
      <c r="H153" s="821">
        <f t="shared" si="31"/>
        <v>0.22999999999956344</v>
      </c>
      <c r="I153" s="828">
        <f t="shared" si="30"/>
        <v>0.99998697933620662</v>
      </c>
    </row>
    <row r="154" spans="1:9" s="830" customFormat="1" ht="26.25" customHeight="1" x14ac:dyDescent="0.2">
      <c r="A154" s="810">
        <v>353</v>
      </c>
      <c r="B154" s="804" t="s">
        <v>1202</v>
      </c>
      <c r="C154" s="827"/>
      <c r="D154" s="827">
        <f t="shared" ref="D154:E154" si="51">D155+D156</f>
        <v>925220</v>
      </c>
      <c r="E154" s="827">
        <f t="shared" si="51"/>
        <v>925220</v>
      </c>
      <c r="F154" s="827">
        <f>F155+F156</f>
        <v>83915.56</v>
      </c>
      <c r="G154" s="827">
        <f>G155+G156</f>
        <v>83915.56</v>
      </c>
      <c r="H154" s="821">
        <f t="shared" si="31"/>
        <v>841304.44</v>
      </c>
      <c r="I154" s="828">
        <f t="shared" si="30"/>
        <v>9.0697952919305672E-2</v>
      </c>
    </row>
    <row r="155" spans="1:9" s="830" customFormat="1" ht="17.25" customHeight="1" x14ac:dyDescent="0.2">
      <c r="A155" s="806">
        <v>35301</v>
      </c>
      <c r="B155" s="807" t="s">
        <v>1203</v>
      </c>
      <c r="C155" s="832">
        <v>0</v>
      </c>
      <c r="D155" s="832"/>
      <c r="E155" s="821">
        <f>SUM(D155)</f>
        <v>0</v>
      </c>
      <c r="F155" s="832"/>
      <c r="G155" s="832"/>
      <c r="H155" s="821">
        <f t="shared" si="31"/>
        <v>0</v>
      </c>
      <c r="I155" s="828" t="str">
        <f t="shared" si="30"/>
        <v/>
      </c>
    </row>
    <row r="156" spans="1:9" s="830" customFormat="1" ht="22.5" customHeight="1" x14ac:dyDescent="0.2">
      <c r="A156" s="806">
        <v>35302</v>
      </c>
      <c r="B156" s="809" t="s">
        <v>1204</v>
      </c>
      <c r="C156" s="832"/>
      <c r="D156" s="832">
        <v>925220</v>
      </c>
      <c r="E156" s="832">
        <f>SUM(C156:D156)</f>
        <v>925220</v>
      </c>
      <c r="F156" s="832">
        <v>83915.56</v>
      </c>
      <c r="G156" s="832">
        <v>83915.56</v>
      </c>
      <c r="H156" s="821">
        <f t="shared" si="31"/>
        <v>841304.44</v>
      </c>
      <c r="I156" s="828">
        <f t="shared" si="30"/>
        <v>9.0697952919305672E-2</v>
      </c>
    </row>
    <row r="157" spans="1:9" s="830" customFormat="1" ht="23.25" customHeight="1" x14ac:dyDescent="0.2">
      <c r="A157" s="805">
        <v>355</v>
      </c>
      <c r="B157" s="804" t="s">
        <v>1205</v>
      </c>
      <c r="C157" s="827">
        <f>C158+C159</f>
        <v>90373.78</v>
      </c>
      <c r="D157" s="827">
        <f t="shared" ref="D157" si="52">D159</f>
        <v>0</v>
      </c>
      <c r="E157" s="827">
        <f>E159+E158</f>
        <v>90373.78</v>
      </c>
      <c r="F157" s="827">
        <f>F159</f>
        <v>8063.23</v>
      </c>
      <c r="G157" s="827">
        <f>G159</f>
        <v>8063.23</v>
      </c>
      <c r="H157" s="821">
        <f t="shared" si="31"/>
        <v>82310.55</v>
      </c>
      <c r="I157" s="828">
        <f t="shared" si="30"/>
        <v>8.922090013275974E-2</v>
      </c>
    </row>
    <row r="158" spans="1:9" s="830" customFormat="1" ht="23.25" customHeight="1" x14ac:dyDescent="0.2">
      <c r="A158" s="993">
        <v>35401</v>
      </c>
      <c r="B158" s="809" t="s">
        <v>1258</v>
      </c>
      <c r="C158" s="832">
        <v>28072</v>
      </c>
      <c r="D158" s="832"/>
      <c r="E158" s="832">
        <f>SUM(C158:D158)</f>
        <v>28072</v>
      </c>
      <c r="F158" s="832">
        <v>0</v>
      </c>
      <c r="G158" s="832">
        <v>0</v>
      </c>
      <c r="H158" s="821"/>
      <c r="I158" s="828"/>
    </row>
    <row r="159" spans="1:9" s="830" customFormat="1" ht="17.25" customHeight="1" x14ac:dyDescent="0.2">
      <c r="A159" s="806">
        <v>35501</v>
      </c>
      <c r="B159" s="809" t="s">
        <v>1206</v>
      </c>
      <c r="C159" s="832">
        <v>62301.78</v>
      </c>
      <c r="D159" s="832"/>
      <c r="E159" s="832">
        <f>SUM(C159:D159)</f>
        <v>62301.78</v>
      </c>
      <c r="F159" s="832">
        <v>8063.23</v>
      </c>
      <c r="G159" s="832">
        <v>8063.23</v>
      </c>
      <c r="H159" s="821">
        <f t="shared" si="31"/>
        <v>54238.55</v>
      </c>
      <c r="I159" s="828">
        <f t="shared" si="30"/>
        <v>0.12942214492106002</v>
      </c>
    </row>
    <row r="160" spans="1:9" s="830" customFormat="1" ht="24.75" customHeight="1" x14ac:dyDescent="0.2">
      <c r="A160" s="805">
        <v>357</v>
      </c>
      <c r="B160" s="804" t="s">
        <v>1207</v>
      </c>
      <c r="C160" s="827">
        <f>C161+C162</f>
        <v>45999.17</v>
      </c>
      <c r="D160" s="827">
        <f t="shared" ref="D160:E160" si="53">D161+D162</f>
        <v>171680</v>
      </c>
      <c r="E160" s="827">
        <f t="shared" si="53"/>
        <v>217679.17</v>
      </c>
      <c r="F160" s="827">
        <f>F161+F162</f>
        <v>32374.959999999999</v>
      </c>
      <c r="G160" s="827">
        <f>G161+G162</f>
        <v>32374.959999999999</v>
      </c>
      <c r="H160" s="821">
        <f t="shared" si="31"/>
        <v>185304.21000000002</v>
      </c>
      <c r="I160" s="828">
        <f t="shared" si="30"/>
        <v>0.14872787322737402</v>
      </c>
    </row>
    <row r="161" spans="1:9" s="830" customFormat="1" ht="17.25" customHeight="1" x14ac:dyDescent="0.2">
      <c r="A161" s="806">
        <v>35701</v>
      </c>
      <c r="B161" s="807" t="s">
        <v>1208</v>
      </c>
      <c r="C161" s="832">
        <v>45999.08</v>
      </c>
      <c r="D161" s="832">
        <v>171680</v>
      </c>
      <c r="E161" s="832">
        <f>SUM(C161:D161)</f>
        <v>217679.08000000002</v>
      </c>
      <c r="F161" s="832">
        <v>32374.959999999999</v>
      </c>
      <c r="G161" s="832">
        <v>32374.959999999999</v>
      </c>
      <c r="H161" s="821">
        <f t="shared" si="31"/>
        <v>185304.12000000002</v>
      </c>
      <c r="I161" s="828">
        <f t="shared" si="30"/>
        <v>0.14872793471931248</v>
      </c>
    </row>
    <row r="162" spans="1:9" s="830" customFormat="1" ht="17.25" customHeight="1" x14ac:dyDescent="0.2">
      <c r="A162" s="806">
        <v>35702</v>
      </c>
      <c r="B162" s="807" t="s">
        <v>1209</v>
      </c>
      <c r="C162" s="832">
        <v>0.09</v>
      </c>
      <c r="D162" s="832"/>
      <c r="E162" s="832">
        <f>SUM(C162:D162)</f>
        <v>0.09</v>
      </c>
      <c r="F162" s="832">
        <v>0</v>
      </c>
      <c r="G162" s="832">
        <v>0</v>
      </c>
      <c r="H162" s="821">
        <f t="shared" si="31"/>
        <v>0.09</v>
      </c>
      <c r="I162" s="828">
        <f t="shared" si="30"/>
        <v>0</v>
      </c>
    </row>
    <row r="163" spans="1:9" s="830" customFormat="1" ht="17.25" customHeight="1" x14ac:dyDescent="0.2">
      <c r="A163" s="805">
        <v>358</v>
      </c>
      <c r="B163" s="804" t="s">
        <v>1210</v>
      </c>
      <c r="C163" s="827">
        <f>C164</f>
        <v>730371.68</v>
      </c>
      <c r="D163" s="827">
        <f t="shared" ref="D163:E163" si="54">D164</f>
        <v>0</v>
      </c>
      <c r="E163" s="827">
        <f t="shared" si="54"/>
        <v>730371.68</v>
      </c>
      <c r="F163" s="827">
        <f>F164</f>
        <v>110664</v>
      </c>
      <c r="G163" s="827">
        <f>G164</f>
        <v>110664</v>
      </c>
      <c r="H163" s="821">
        <f t="shared" si="31"/>
        <v>619707.68000000005</v>
      </c>
      <c r="I163" s="828">
        <f t="shared" si="30"/>
        <v>0.15151737537249527</v>
      </c>
    </row>
    <row r="164" spans="1:9" s="830" customFormat="1" ht="17.25" customHeight="1" x14ac:dyDescent="0.2">
      <c r="A164" s="806">
        <v>35801</v>
      </c>
      <c r="B164" s="807" t="s">
        <v>1210</v>
      </c>
      <c r="C164" s="832">
        <v>730371.68</v>
      </c>
      <c r="D164" s="832"/>
      <c r="E164" s="832">
        <f>SUM(C164:D164)</f>
        <v>730371.68</v>
      </c>
      <c r="F164" s="832">
        <v>110664</v>
      </c>
      <c r="G164" s="832">
        <v>110664</v>
      </c>
      <c r="H164" s="821">
        <f t="shared" si="31"/>
        <v>619707.68000000005</v>
      </c>
      <c r="I164" s="828">
        <f t="shared" si="30"/>
        <v>0.15151737537249527</v>
      </c>
    </row>
    <row r="165" spans="1:9" s="830" customFormat="1" ht="17.25" customHeight="1" x14ac:dyDescent="0.2">
      <c r="A165" s="803">
        <v>3700</v>
      </c>
      <c r="B165" s="804" t="s">
        <v>1211</v>
      </c>
      <c r="C165" s="827">
        <f>C166+C170+C173</f>
        <v>29872.19</v>
      </c>
      <c r="D165" s="827">
        <f>D166+D168+D170</f>
        <v>1297300.42</v>
      </c>
      <c r="E165" s="827">
        <f>E166+E170+E173+E168</f>
        <v>1327172.6099999999</v>
      </c>
      <c r="F165" s="827">
        <f>F166+F170</f>
        <v>132137</v>
      </c>
      <c r="G165" s="827">
        <f>G166+G170+G173+G168</f>
        <v>132137</v>
      </c>
      <c r="H165" s="821">
        <f t="shared" si="31"/>
        <v>1195035.6099999999</v>
      </c>
      <c r="I165" s="828">
        <f t="shared" si="30"/>
        <v>9.956278407523797E-2</v>
      </c>
    </row>
    <row r="166" spans="1:9" s="830" customFormat="1" ht="17.25" customHeight="1" x14ac:dyDescent="0.2">
      <c r="A166" s="805">
        <v>371</v>
      </c>
      <c r="B166" s="804" t="s">
        <v>1212</v>
      </c>
      <c r="C166" s="827">
        <f>C167</f>
        <v>0</v>
      </c>
      <c r="D166" s="827">
        <f t="shared" ref="D166:E166" si="55">D167</f>
        <v>539500.14</v>
      </c>
      <c r="E166" s="827">
        <f t="shared" si="55"/>
        <v>539500.14</v>
      </c>
      <c r="F166" s="827">
        <f>F167</f>
        <v>50887</v>
      </c>
      <c r="G166" s="827">
        <f>G167</f>
        <v>50887</v>
      </c>
      <c r="H166" s="821">
        <f t="shared" si="31"/>
        <v>488613.14</v>
      </c>
      <c r="I166" s="828">
        <f>IF(E166=0,"",F166/E166)</f>
        <v>9.4322496375997225E-2</v>
      </c>
    </row>
    <row r="167" spans="1:9" s="830" customFormat="1" ht="17.25" customHeight="1" x14ac:dyDescent="0.2">
      <c r="A167" s="806">
        <v>37101</v>
      </c>
      <c r="B167" s="807" t="s">
        <v>1213</v>
      </c>
      <c r="C167" s="832"/>
      <c r="D167" s="832">
        <v>539500.14</v>
      </c>
      <c r="E167" s="832">
        <f>C167+D167</f>
        <v>539500.14</v>
      </c>
      <c r="F167" s="832">
        <v>50887</v>
      </c>
      <c r="G167" s="832">
        <v>50887</v>
      </c>
      <c r="H167" s="821">
        <f t="shared" si="31"/>
        <v>488613.14</v>
      </c>
      <c r="I167" s="828">
        <f t="shared" si="30"/>
        <v>9.4322496375997225E-2</v>
      </c>
    </row>
    <row r="168" spans="1:9" s="830" customFormat="1" ht="17.25" customHeight="1" x14ac:dyDescent="0.2">
      <c r="A168" s="805">
        <v>372</v>
      </c>
      <c r="B168" s="808" t="s">
        <v>1241</v>
      </c>
      <c r="C168" s="827"/>
      <c r="D168" s="827">
        <f>D169</f>
        <v>0</v>
      </c>
      <c r="E168" s="827">
        <f>E169</f>
        <v>0</v>
      </c>
      <c r="F168" s="827"/>
      <c r="G168" s="827">
        <f>G169</f>
        <v>0</v>
      </c>
      <c r="H168" s="822">
        <v>0</v>
      </c>
      <c r="I168" s="828">
        <v>0</v>
      </c>
    </row>
    <row r="169" spans="1:9" s="830" customFormat="1" ht="17.25" customHeight="1" x14ac:dyDescent="0.2">
      <c r="A169" s="806">
        <v>37201</v>
      </c>
      <c r="B169" s="807" t="s">
        <v>1241</v>
      </c>
      <c r="C169" s="832">
        <v>0</v>
      </c>
      <c r="D169" s="832"/>
      <c r="E169" s="832"/>
      <c r="F169" s="832">
        <v>0</v>
      </c>
      <c r="G169" s="832">
        <v>0</v>
      </c>
      <c r="H169" s="821">
        <v>0</v>
      </c>
      <c r="I169" s="828">
        <v>0</v>
      </c>
    </row>
    <row r="170" spans="1:9" s="830" customFormat="1" ht="17.25" customHeight="1" x14ac:dyDescent="0.2">
      <c r="A170" s="805">
        <v>375</v>
      </c>
      <c r="B170" s="804" t="s">
        <v>1214</v>
      </c>
      <c r="C170" s="827">
        <f>C171++C172</f>
        <v>25000.19</v>
      </c>
      <c r="D170" s="827">
        <f t="shared" ref="D170:E170" si="56">D171++D172</f>
        <v>757800.28</v>
      </c>
      <c r="E170" s="827">
        <f t="shared" si="56"/>
        <v>782800.47</v>
      </c>
      <c r="F170" s="827">
        <f>F171+F172</f>
        <v>81250</v>
      </c>
      <c r="G170" s="827">
        <f>G171+G172</f>
        <v>81250</v>
      </c>
      <c r="H170" s="821">
        <f>E170-F170</f>
        <v>701550.47</v>
      </c>
      <c r="I170" s="828">
        <f>IF(E170=0,"",F170/E170)</f>
        <v>0.1037940102412049</v>
      </c>
    </row>
    <row r="171" spans="1:9" s="830" customFormat="1" ht="17.25" customHeight="1" x14ac:dyDescent="0.2">
      <c r="A171" s="806">
        <v>37501</v>
      </c>
      <c r="B171" s="807" t="s">
        <v>1215</v>
      </c>
      <c r="C171" s="832"/>
      <c r="D171" s="832">
        <v>757800.28</v>
      </c>
      <c r="E171" s="832">
        <f>SUM(C171:D171)</f>
        <v>757800.28</v>
      </c>
      <c r="F171" s="832">
        <v>80850</v>
      </c>
      <c r="G171" s="832">
        <v>80850</v>
      </c>
      <c r="H171" s="821">
        <f t="shared" si="31"/>
        <v>676950.28</v>
      </c>
      <c r="I171" s="828">
        <f t="shared" si="30"/>
        <v>0.10669038021469192</v>
      </c>
    </row>
    <row r="172" spans="1:9" s="830" customFormat="1" ht="17.25" customHeight="1" x14ac:dyDescent="0.2">
      <c r="A172" s="806">
        <v>37502</v>
      </c>
      <c r="B172" s="807" t="s">
        <v>1216</v>
      </c>
      <c r="C172" s="832">
        <v>25000.19</v>
      </c>
      <c r="D172" s="832"/>
      <c r="E172" s="832">
        <f>SUM(C172:D172)</f>
        <v>25000.19</v>
      </c>
      <c r="F172" s="832">
        <v>400</v>
      </c>
      <c r="G172" s="832">
        <v>400</v>
      </c>
      <c r="H172" s="821">
        <f t="shared" si="31"/>
        <v>24600.19</v>
      </c>
      <c r="I172" s="828">
        <f t="shared" si="30"/>
        <v>1.5999878400924154E-2</v>
      </c>
    </row>
    <row r="173" spans="1:9" s="830" customFormat="1" ht="17.25" customHeight="1" x14ac:dyDescent="0.2">
      <c r="A173" s="805">
        <v>379</v>
      </c>
      <c r="B173" s="804" t="s">
        <v>1217</v>
      </c>
      <c r="C173" s="827">
        <f>C174</f>
        <v>4872</v>
      </c>
      <c r="D173" s="827">
        <f t="shared" ref="D173:E173" si="57">D174</f>
        <v>0</v>
      </c>
      <c r="E173" s="827">
        <f t="shared" si="57"/>
        <v>4872</v>
      </c>
      <c r="F173" s="832">
        <f>F174</f>
        <v>0</v>
      </c>
      <c r="G173" s="832">
        <f>G174</f>
        <v>0</v>
      </c>
      <c r="H173" s="821">
        <f t="shared" si="31"/>
        <v>4872</v>
      </c>
      <c r="I173" s="828">
        <f t="shared" si="30"/>
        <v>0</v>
      </c>
    </row>
    <row r="174" spans="1:9" s="830" customFormat="1" ht="17.25" customHeight="1" x14ac:dyDescent="0.2">
      <c r="A174" s="806">
        <v>37901</v>
      </c>
      <c r="B174" s="807" t="s">
        <v>1218</v>
      </c>
      <c r="C174" s="832">
        <v>4872</v>
      </c>
      <c r="D174" s="832"/>
      <c r="E174" s="832">
        <f>SUM(C174:D174)</f>
        <v>4872</v>
      </c>
      <c r="F174" s="832">
        <v>0</v>
      </c>
      <c r="G174" s="832">
        <v>0</v>
      </c>
      <c r="H174" s="821">
        <f t="shared" si="31"/>
        <v>4872</v>
      </c>
      <c r="I174" s="828">
        <f>IF(E174=0,"",F174/E174)</f>
        <v>0</v>
      </c>
    </row>
    <row r="175" spans="1:9" s="830" customFormat="1" ht="17.25" customHeight="1" x14ac:dyDescent="0.2">
      <c r="A175" s="803">
        <v>3800</v>
      </c>
      <c r="B175" s="808" t="s">
        <v>599</v>
      </c>
      <c r="C175" s="827"/>
      <c r="D175" s="827">
        <f>D176</f>
        <v>0</v>
      </c>
      <c r="E175" s="827">
        <f>C175+D175</f>
        <v>0</v>
      </c>
      <c r="F175" s="827">
        <f>F176</f>
        <v>0</v>
      </c>
      <c r="G175" s="827">
        <f>G176</f>
        <v>0</v>
      </c>
      <c r="H175" s="821">
        <f t="shared" si="31"/>
        <v>0</v>
      </c>
      <c r="I175" s="828" t="str">
        <f t="shared" si="30"/>
        <v/>
      </c>
    </row>
    <row r="176" spans="1:9" s="830" customFormat="1" ht="17.25" customHeight="1" x14ac:dyDescent="0.2">
      <c r="A176" s="805">
        <v>381</v>
      </c>
      <c r="B176" s="808" t="s">
        <v>1242</v>
      </c>
      <c r="C176" s="827"/>
      <c r="D176" s="827">
        <f>D177</f>
        <v>0</v>
      </c>
      <c r="E176" s="827">
        <f>C176+D176</f>
        <v>0</v>
      </c>
      <c r="F176" s="827">
        <f>F177</f>
        <v>0</v>
      </c>
      <c r="G176" s="827">
        <f>G177</f>
        <v>0</v>
      </c>
      <c r="H176" s="821">
        <f t="shared" si="31"/>
        <v>0</v>
      </c>
      <c r="I176" s="828" t="str">
        <f t="shared" si="30"/>
        <v/>
      </c>
    </row>
    <row r="177" spans="1:11" s="830" customFormat="1" ht="17.25" customHeight="1" x14ac:dyDescent="0.2">
      <c r="A177" s="806">
        <v>38101</v>
      </c>
      <c r="B177" s="807" t="s">
        <v>1242</v>
      </c>
      <c r="C177" s="832"/>
      <c r="D177" s="832"/>
      <c r="E177" s="832">
        <f>SUM(C177:D177)</f>
        <v>0</v>
      </c>
      <c r="F177" s="832"/>
      <c r="G177" s="832"/>
      <c r="H177" s="821">
        <f t="shared" si="31"/>
        <v>0</v>
      </c>
      <c r="I177" s="828" t="str">
        <f t="shared" si="30"/>
        <v/>
      </c>
    </row>
    <row r="178" spans="1:11" s="830" customFormat="1" ht="17.25" customHeight="1" x14ac:dyDescent="0.2">
      <c r="A178" s="803">
        <v>3900</v>
      </c>
      <c r="B178" s="804" t="s">
        <v>1219</v>
      </c>
      <c r="C178" s="827">
        <f>C179</f>
        <v>3163138.25</v>
      </c>
      <c r="D178" s="827">
        <f>D179</f>
        <v>769047.88</v>
      </c>
      <c r="E178" s="822">
        <f>SUM(C178:D178)</f>
        <v>3932186.13</v>
      </c>
      <c r="F178" s="827">
        <f>F179</f>
        <v>396516.22</v>
      </c>
      <c r="G178" s="827">
        <f>G179</f>
        <v>46733.82</v>
      </c>
      <c r="H178" s="821">
        <f t="shared" si="31"/>
        <v>3535669.91</v>
      </c>
      <c r="I178" s="828">
        <f t="shared" si="30"/>
        <v>0.10083861925427218</v>
      </c>
    </row>
    <row r="179" spans="1:11" s="830" customFormat="1" ht="17.25" customHeight="1" x14ac:dyDescent="0.2">
      <c r="A179" s="810">
        <v>399</v>
      </c>
      <c r="B179" s="804" t="s">
        <v>1220</v>
      </c>
      <c r="C179" s="832">
        <f>C180</f>
        <v>3163138.25</v>
      </c>
      <c r="D179" s="832">
        <f>D180</f>
        <v>769047.88</v>
      </c>
      <c r="E179" s="821">
        <f>SUM(C179:D179)</f>
        <v>3932186.13</v>
      </c>
      <c r="F179" s="832">
        <f>F180</f>
        <v>396516.22</v>
      </c>
      <c r="G179" s="832">
        <f>G180</f>
        <v>46733.82</v>
      </c>
      <c r="H179" s="821">
        <f t="shared" si="31"/>
        <v>3535669.91</v>
      </c>
      <c r="I179" s="828">
        <f t="shared" si="30"/>
        <v>0.10083861925427218</v>
      </c>
    </row>
    <row r="180" spans="1:11" s="830" customFormat="1" ht="17.25" customHeight="1" thickBot="1" x14ac:dyDescent="0.25">
      <c r="A180" s="811">
        <v>39903</v>
      </c>
      <c r="B180" s="807" t="s">
        <v>1221</v>
      </c>
      <c r="C180" s="832">
        <v>3163138.25</v>
      </c>
      <c r="D180" s="832">
        <v>769047.88</v>
      </c>
      <c r="E180" s="821">
        <f>SUM(C180:D180)</f>
        <v>3932186.13</v>
      </c>
      <c r="F180" s="832">
        <v>396516.22</v>
      </c>
      <c r="G180" s="832">
        <v>46733.82</v>
      </c>
      <c r="H180" s="821"/>
      <c r="I180" s="828">
        <f t="shared" si="30"/>
        <v>0.10083861925427218</v>
      </c>
      <c r="J180" s="834"/>
    </row>
    <row r="181" spans="1:11" s="830" customFormat="1" ht="17.25" customHeight="1" thickBot="1" x14ac:dyDescent="0.25">
      <c r="A181" s="812"/>
      <c r="B181" s="800" t="s">
        <v>625</v>
      </c>
      <c r="C181" s="838">
        <f>C111+C127+C132+C143+C149+C165+C178</f>
        <v>6341914.6300000008</v>
      </c>
      <c r="D181" s="838">
        <f>D127+D132+D143+D149+D165+D175+D178+D111</f>
        <v>4727118.37</v>
      </c>
      <c r="E181" s="838">
        <f>E111+E127+E132+E143+E149+E165+E178+E175</f>
        <v>11069033</v>
      </c>
      <c r="F181" s="838">
        <f>F111+F127+F132+F143+F149+F165+F178+F175</f>
        <v>1790340.42</v>
      </c>
      <c r="G181" s="838">
        <f>G111+G127+G132+G143+G149+G165+G178+G175</f>
        <v>1323644.9200000002</v>
      </c>
      <c r="H181" s="839">
        <f>H111+H127+H132+H143+H149+H165+H178+H175</f>
        <v>9278692.5800000001</v>
      </c>
      <c r="I181" s="849">
        <f t="shared" si="30"/>
        <v>0.16174316401441752</v>
      </c>
      <c r="J181" s="834"/>
      <c r="K181" s="834"/>
    </row>
    <row r="182" spans="1:11" s="830" customFormat="1" ht="48" customHeight="1" thickBot="1" x14ac:dyDescent="0.25">
      <c r="A182" s="1262" t="s">
        <v>818</v>
      </c>
      <c r="B182" s="1263"/>
      <c r="C182" s="841" t="s">
        <v>569</v>
      </c>
      <c r="D182" s="841" t="s">
        <v>479</v>
      </c>
      <c r="E182" s="785" t="s">
        <v>570</v>
      </c>
      <c r="F182" s="841" t="s">
        <v>571</v>
      </c>
      <c r="G182" s="841" t="s">
        <v>572</v>
      </c>
      <c r="H182" s="785" t="s">
        <v>573</v>
      </c>
      <c r="I182" s="842" t="s">
        <v>819</v>
      </c>
      <c r="K182" s="834"/>
    </row>
    <row r="183" spans="1:11" s="830" customFormat="1" ht="17.25" customHeight="1" thickBot="1" x14ac:dyDescent="0.25">
      <c r="A183" s="773"/>
      <c r="B183" s="843"/>
      <c r="C183" s="843" t="s">
        <v>444</v>
      </c>
      <c r="D183" s="843" t="s">
        <v>445</v>
      </c>
      <c r="E183" s="786" t="s">
        <v>574</v>
      </c>
      <c r="F183" s="843" t="s">
        <v>447</v>
      </c>
      <c r="G183" s="843" t="s">
        <v>448</v>
      </c>
      <c r="H183" s="786" t="s">
        <v>575</v>
      </c>
      <c r="I183" s="844" t="s">
        <v>820</v>
      </c>
    </row>
    <row r="184" spans="1:11" s="830" customFormat="1" ht="17.25" customHeight="1" x14ac:dyDescent="0.2">
      <c r="A184" s="801">
        <v>5000</v>
      </c>
      <c r="B184" s="813" t="s">
        <v>1222</v>
      </c>
      <c r="C184" s="850"/>
      <c r="D184" s="827">
        <f>D185+D192+D200+D209+D206</f>
        <v>1992764</v>
      </c>
      <c r="E184" s="827">
        <f>E185+E192+E200+E209</f>
        <v>1992764</v>
      </c>
      <c r="F184" s="827">
        <f>F185+F192+F200+F206+F209+F198</f>
        <v>23877.65</v>
      </c>
      <c r="G184" s="827">
        <f>G185+G192+G200+G206+G209+G198</f>
        <v>23877.65</v>
      </c>
      <c r="H184" s="822">
        <f>E184-F184</f>
        <v>1968886.35</v>
      </c>
      <c r="I184" s="829">
        <f t="shared" ref="I184:I215" si="58">IF(E184=0,"",F184/E184)</f>
        <v>1.1982176514629931E-2</v>
      </c>
    </row>
    <row r="185" spans="1:11" s="830" customFormat="1" ht="17.25" customHeight="1" x14ac:dyDescent="0.2">
      <c r="A185" s="803">
        <v>5100</v>
      </c>
      <c r="B185" s="804" t="s">
        <v>861</v>
      </c>
      <c r="C185" s="850"/>
      <c r="D185" s="827">
        <f>D186+D188+D190</f>
        <v>8098</v>
      </c>
      <c r="E185" s="827">
        <f>E186+E188+E190</f>
        <v>8098</v>
      </c>
      <c r="F185" s="827">
        <f>F186+F188+F190</f>
        <v>8096</v>
      </c>
      <c r="G185" s="827">
        <f>G186+G188+G190</f>
        <v>8096</v>
      </c>
      <c r="H185" s="821">
        <f>E185-F185</f>
        <v>2</v>
      </c>
      <c r="I185" s="828">
        <f t="shared" si="58"/>
        <v>0.99975302543837985</v>
      </c>
    </row>
    <row r="186" spans="1:11" s="830" customFormat="1" ht="17.25" customHeight="1" x14ac:dyDescent="0.2">
      <c r="A186" s="810">
        <v>511</v>
      </c>
      <c r="B186" s="804" t="s">
        <v>1223</v>
      </c>
      <c r="C186" s="850">
        <f>C187</f>
        <v>0</v>
      </c>
      <c r="D186" s="827">
        <f>D187</f>
        <v>8098</v>
      </c>
      <c r="E186" s="827">
        <f>E187</f>
        <v>8098</v>
      </c>
      <c r="F186" s="827">
        <f t="shared" ref="F186:G186" si="59">F187</f>
        <v>8096</v>
      </c>
      <c r="G186" s="832">
        <f t="shared" si="59"/>
        <v>8096</v>
      </c>
      <c r="H186" s="821">
        <f t="shared" ref="H186:H214" si="60">E186-F186</f>
        <v>2</v>
      </c>
      <c r="I186" s="828">
        <f t="shared" si="58"/>
        <v>0.99975302543837985</v>
      </c>
    </row>
    <row r="187" spans="1:11" s="830" customFormat="1" ht="18" customHeight="1" x14ac:dyDescent="0.2">
      <c r="A187" s="806">
        <v>51101</v>
      </c>
      <c r="B187" s="807" t="s">
        <v>1224</v>
      </c>
      <c r="C187" s="850">
        <v>0</v>
      </c>
      <c r="D187" s="832">
        <v>8098</v>
      </c>
      <c r="E187" s="832">
        <f>SUM(D187)</f>
        <v>8098</v>
      </c>
      <c r="F187" s="832">
        <v>8096</v>
      </c>
      <c r="G187" s="832">
        <v>8096</v>
      </c>
      <c r="H187" s="821">
        <f t="shared" si="60"/>
        <v>2</v>
      </c>
      <c r="I187" s="828">
        <f t="shared" si="58"/>
        <v>0.99975302543837985</v>
      </c>
    </row>
    <row r="188" spans="1:11" s="830" customFormat="1" ht="26.25" customHeight="1" x14ac:dyDescent="0.2">
      <c r="A188" s="805">
        <v>515</v>
      </c>
      <c r="B188" s="804" t="s">
        <v>1225</v>
      </c>
      <c r="C188" s="850"/>
      <c r="D188" s="827">
        <f>D189</f>
        <v>0</v>
      </c>
      <c r="E188" s="827">
        <f>E189</f>
        <v>0</v>
      </c>
      <c r="F188" s="827"/>
      <c r="G188" s="827"/>
      <c r="H188" s="821">
        <f t="shared" si="60"/>
        <v>0</v>
      </c>
      <c r="I188" s="828" t="str">
        <f t="shared" si="58"/>
        <v/>
      </c>
    </row>
    <row r="189" spans="1:11" s="830" customFormat="1" ht="17.25" customHeight="1" x14ac:dyDescent="0.2">
      <c r="A189" s="806">
        <v>51501</v>
      </c>
      <c r="B189" s="809" t="s">
        <v>1226</v>
      </c>
      <c r="C189" s="850">
        <v>0</v>
      </c>
      <c r="D189" s="832"/>
      <c r="E189" s="832"/>
      <c r="F189" s="832"/>
      <c r="G189" s="832"/>
      <c r="H189" s="821">
        <f t="shared" si="60"/>
        <v>0</v>
      </c>
      <c r="I189" s="828" t="str">
        <f t="shared" si="58"/>
        <v/>
      </c>
    </row>
    <row r="190" spans="1:11" s="830" customFormat="1" ht="17.25" customHeight="1" x14ac:dyDescent="0.2">
      <c r="A190" s="805">
        <v>519</v>
      </c>
      <c r="B190" s="804" t="s">
        <v>1227</v>
      </c>
      <c r="C190" s="850"/>
      <c r="D190" s="827">
        <f>D191</f>
        <v>0</v>
      </c>
      <c r="E190" s="827">
        <f>E191</f>
        <v>0</v>
      </c>
      <c r="F190" s="827">
        <f>F191</f>
        <v>0</v>
      </c>
      <c r="G190" s="827">
        <f>G191</f>
        <v>0</v>
      </c>
      <c r="H190" s="822">
        <f t="shared" si="60"/>
        <v>0</v>
      </c>
      <c r="I190" s="829" t="str">
        <f t="shared" si="58"/>
        <v/>
      </c>
    </row>
    <row r="191" spans="1:11" s="830" customFormat="1" ht="17.25" customHeight="1" x14ac:dyDescent="0.2">
      <c r="A191" s="806">
        <v>51901</v>
      </c>
      <c r="B191" s="807" t="s">
        <v>1228</v>
      </c>
      <c r="C191" s="850">
        <v>0</v>
      </c>
      <c r="D191" s="832"/>
      <c r="E191" s="832"/>
      <c r="F191" s="832"/>
      <c r="G191" s="832"/>
      <c r="H191" s="821">
        <f t="shared" si="60"/>
        <v>0</v>
      </c>
      <c r="I191" s="828" t="str">
        <f t="shared" si="58"/>
        <v/>
      </c>
    </row>
    <row r="192" spans="1:11" s="830" customFormat="1" ht="17.25" customHeight="1" x14ac:dyDescent="0.2">
      <c r="A192" s="803">
        <v>5200</v>
      </c>
      <c r="B192" s="808" t="s">
        <v>862</v>
      </c>
      <c r="C192" s="850"/>
      <c r="D192" s="827">
        <f>D193+D196+D198</f>
        <v>171564</v>
      </c>
      <c r="E192" s="827">
        <f>E193+E196+E198</f>
        <v>171564</v>
      </c>
      <c r="F192" s="827">
        <f>F193+F196</f>
        <v>15781.65</v>
      </c>
      <c r="G192" s="827">
        <f>G193+G196</f>
        <v>15781.65</v>
      </c>
      <c r="H192" s="821">
        <f t="shared" si="60"/>
        <v>155782.35</v>
      </c>
      <c r="I192" s="828">
        <f t="shared" si="58"/>
        <v>9.1986955305308801E-2</v>
      </c>
    </row>
    <row r="193" spans="1:9" s="830" customFormat="1" ht="17.25" customHeight="1" x14ac:dyDescent="0.2">
      <c r="A193" s="814">
        <v>521</v>
      </c>
      <c r="B193" s="808" t="s">
        <v>1229</v>
      </c>
      <c r="C193" s="850">
        <f>C194</f>
        <v>0</v>
      </c>
      <c r="D193" s="827">
        <f>D194+D195</f>
        <v>15781.65</v>
      </c>
      <c r="E193" s="827">
        <f>E194+E195</f>
        <v>15781.65</v>
      </c>
      <c r="F193" s="827">
        <f>F194+F195</f>
        <v>15781.65</v>
      </c>
      <c r="G193" s="827">
        <f>G194+G195</f>
        <v>15781.65</v>
      </c>
      <c r="H193" s="822">
        <f t="shared" si="60"/>
        <v>0</v>
      </c>
      <c r="I193" s="829">
        <f t="shared" si="58"/>
        <v>1</v>
      </c>
    </row>
    <row r="194" spans="1:9" s="830" customFormat="1" ht="17.25" customHeight="1" x14ac:dyDescent="0.2">
      <c r="A194" s="815">
        <v>52101</v>
      </c>
      <c r="B194" s="807" t="s">
        <v>1229</v>
      </c>
      <c r="C194" s="850">
        <v>0</v>
      </c>
      <c r="D194" s="832"/>
      <c r="E194" s="832"/>
      <c r="F194" s="832"/>
      <c r="G194" s="832"/>
      <c r="H194" s="821">
        <f t="shared" si="60"/>
        <v>0</v>
      </c>
      <c r="I194" s="828" t="str">
        <f t="shared" si="58"/>
        <v/>
      </c>
    </row>
    <row r="195" spans="1:9" s="830" customFormat="1" ht="17.25" customHeight="1" x14ac:dyDescent="0.2">
      <c r="A195" s="815">
        <v>52901</v>
      </c>
      <c r="B195" s="807" t="s">
        <v>1261</v>
      </c>
      <c r="C195" s="850"/>
      <c r="D195" s="832">
        <v>15781.65</v>
      </c>
      <c r="E195" s="832">
        <v>15781.65</v>
      </c>
      <c r="F195" s="832">
        <v>15781.65</v>
      </c>
      <c r="G195" s="832">
        <v>15781.65</v>
      </c>
      <c r="H195" s="821"/>
      <c r="I195" s="828"/>
    </row>
    <row r="196" spans="1:9" s="830" customFormat="1" ht="17.25" customHeight="1" x14ac:dyDescent="0.2">
      <c r="A196" s="814">
        <v>522</v>
      </c>
      <c r="B196" s="808" t="s">
        <v>1230</v>
      </c>
      <c r="C196" s="850">
        <f>C197</f>
        <v>0</v>
      </c>
      <c r="D196" s="827">
        <f>D197</f>
        <v>14500</v>
      </c>
      <c r="E196" s="827">
        <f>E197</f>
        <v>14500</v>
      </c>
      <c r="F196" s="827"/>
      <c r="G196" s="827"/>
      <c r="H196" s="821">
        <f t="shared" si="60"/>
        <v>14500</v>
      </c>
      <c r="I196" s="828">
        <f t="shared" si="58"/>
        <v>0</v>
      </c>
    </row>
    <row r="197" spans="1:9" s="830" customFormat="1" ht="17.25" customHeight="1" x14ac:dyDescent="0.2">
      <c r="A197" s="816">
        <v>52301</v>
      </c>
      <c r="B197" s="807" t="s">
        <v>1230</v>
      </c>
      <c r="C197" s="850">
        <v>0</v>
      </c>
      <c r="D197" s="832">
        <v>14500</v>
      </c>
      <c r="E197" s="832">
        <f>SUM(C197:D197)</f>
        <v>14500</v>
      </c>
      <c r="F197" s="832"/>
      <c r="G197" s="832"/>
      <c r="H197" s="821">
        <f t="shared" si="60"/>
        <v>14500</v>
      </c>
      <c r="I197" s="828">
        <f t="shared" si="58"/>
        <v>0</v>
      </c>
    </row>
    <row r="198" spans="1:9" s="830" customFormat="1" ht="17.25" customHeight="1" x14ac:dyDescent="0.2">
      <c r="A198" s="817">
        <v>523</v>
      </c>
      <c r="B198" s="808" t="s">
        <v>1231</v>
      </c>
      <c r="C198" s="850">
        <f>C199</f>
        <v>0</v>
      </c>
      <c r="D198" s="827">
        <f>D199</f>
        <v>141282.35</v>
      </c>
      <c r="E198" s="827">
        <f>E199</f>
        <v>141282.35</v>
      </c>
      <c r="F198" s="827"/>
      <c r="G198" s="827"/>
      <c r="H198" s="822">
        <f t="shared" si="60"/>
        <v>141282.35</v>
      </c>
      <c r="I198" s="829">
        <f t="shared" si="58"/>
        <v>0</v>
      </c>
    </row>
    <row r="199" spans="1:9" s="830" customFormat="1" ht="17.25" customHeight="1" x14ac:dyDescent="0.2">
      <c r="A199" s="818">
        <v>53201</v>
      </c>
      <c r="B199" s="807" t="s">
        <v>1231</v>
      </c>
      <c r="C199" s="850">
        <v>0</v>
      </c>
      <c r="D199" s="832">
        <v>141282.35</v>
      </c>
      <c r="E199" s="832">
        <f>SUM(C199:D199)</f>
        <v>141282.35</v>
      </c>
      <c r="F199" s="832"/>
      <c r="G199" s="832"/>
      <c r="H199" s="821">
        <f t="shared" si="60"/>
        <v>141282.35</v>
      </c>
      <c r="I199" s="828">
        <f t="shared" si="58"/>
        <v>0</v>
      </c>
    </row>
    <row r="200" spans="1:9" s="830" customFormat="1" ht="17.25" customHeight="1" x14ac:dyDescent="0.2">
      <c r="A200" s="819">
        <v>5600</v>
      </c>
      <c r="B200" s="808" t="s">
        <v>866</v>
      </c>
      <c r="C200" s="850">
        <f>C201</f>
        <v>0</v>
      </c>
      <c r="D200" s="827">
        <f>D203+D201</f>
        <v>0</v>
      </c>
      <c r="E200" s="827">
        <f>E203+E201</f>
        <v>0</v>
      </c>
      <c r="F200" s="827">
        <f t="shared" ref="F200:G200" si="61">F203+F201</f>
        <v>0</v>
      </c>
      <c r="G200" s="827">
        <f t="shared" si="61"/>
        <v>0</v>
      </c>
      <c r="H200" s="821">
        <f t="shared" si="60"/>
        <v>0</v>
      </c>
      <c r="I200" s="828" t="str">
        <f t="shared" si="58"/>
        <v/>
      </c>
    </row>
    <row r="201" spans="1:9" s="830" customFormat="1" ht="32.25" customHeight="1" x14ac:dyDescent="0.2">
      <c r="A201" s="817">
        <v>564</v>
      </c>
      <c r="B201" s="804" t="s">
        <v>1232</v>
      </c>
      <c r="C201" s="850">
        <v>0</v>
      </c>
      <c r="D201" s="832"/>
      <c r="E201" s="832"/>
      <c r="F201" s="832"/>
      <c r="G201" s="832"/>
      <c r="H201" s="821">
        <f t="shared" si="60"/>
        <v>0</v>
      </c>
      <c r="I201" s="828" t="str">
        <f t="shared" si="58"/>
        <v/>
      </c>
    </row>
    <row r="202" spans="1:9" s="830" customFormat="1" ht="30" customHeight="1" x14ac:dyDescent="0.2">
      <c r="A202" s="818">
        <v>56401</v>
      </c>
      <c r="B202" s="809" t="s">
        <v>1232</v>
      </c>
      <c r="C202" s="850">
        <v>0</v>
      </c>
      <c r="D202" s="832"/>
      <c r="E202" s="832"/>
      <c r="F202" s="832"/>
      <c r="G202" s="832"/>
      <c r="H202" s="821">
        <f t="shared" si="60"/>
        <v>0</v>
      </c>
      <c r="I202" s="828" t="str">
        <f t="shared" si="58"/>
        <v/>
      </c>
    </row>
    <row r="203" spans="1:9" s="830" customFormat="1" ht="17.25" customHeight="1" x14ac:dyDescent="0.2">
      <c r="A203" s="817">
        <v>565</v>
      </c>
      <c r="B203" s="808" t="s">
        <v>1233</v>
      </c>
      <c r="C203" s="850">
        <f>C204</f>
        <v>0</v>
      </c>
      <c r="D203" s="827">
        <f>D205+D204</f>
        <v>0</v>
      </c>
      <c r="E203" s="827">
        <f>E205+E204</f>
        <v>0</v>
      </c>
      <c r="F203" s="827">
        <f>F204+F205</f>
        <v>0</v>
      </c>
      <c r="G203" s="827">
        <f>G204+G205</f>
        <v>0</v>
      </c>
      <c r="H203" s="821">
        <f t="shared" si="60"/>
        <v>0</v>
      </c>
      <c r="I203" s="828" t="str">
        <f t="shared" si="58"/>
        <v/>
      </c>
    </row>
    <row r="204" spans="1:9" s="830" customFormat="1" ht="17.25" customHeight="1" x14ac:dyDescent="0.2">
      <c r="A204" s="818">
        <v>56501</v>
      </c>
      <c r="B204" s="807" t="s">
        <v>1233</v>
      </c>
      <c r="C204" s="850">
        <v>0</v>
      </c>
      <c r="D204" s="832"/>
      <c r="E204" s="832"/>
      <c r="F204" s="832">
        <v>0</v>
      </c>
      <c r="G204" s="832">
        <v>0</v>
      </c>
      <c r="H204" s="821">
        <f t="shared" si="60"/>
        <v>0</v>
      </c>
      <c r="I204" s="828" t="str">
        <f t="shared" si="58"/>
        <v/>
      </c>
    </row>
    <row r="205" spans="1:9" s="830" customFormat="1" ht="17.25" customHeight="1" x14ac:dyDescent="0.2">
      <c r="A205" s="818">
        <v>56601</v>
      </c>
      <c r="B205" s="807" t="s">
        <v>1245</v>
      </c>
      <c r="C205" s="850"/>
      <c r="D205" s="832"/>
      <c r="E205" s="832"/>
      <c r="F205" s="832"/>
      <c r="G205" s="832"/>
      <c r="H205" s="821"/>
      <c r="I205" s="828" t="str">
        <f t="shared" si="58"/>
        <v/>
      </c>
    </row>
    <row r="206" spans="1:9" s="830" customFormat="1" ht="17.25" customHeight="1" x14ac:dyDescent="0.2">
      <c r="A206" s="819">
        <v>5800</v>
      </c>
      <c r="B206" s="808" t="s">
        <v>610</v>
      </c>
      <c r="C206" s="850"/>
      <c r="D206" s="827">
        <f>D207</f>
        <v>0</v>
      </c>
      <c r="E206" s="827">
        <f>E207</f>
        <v>0</v>
      </c>
      <c r="F206" s="827"/>
      <c r="G206" s="827"/>
      <c r="H206" s="821"/>
      <c r="I206" s="828" t="str">
        <f t="shared" si="58"/>
        <v/>
      </c>
    </row>
    <row r="207" spans="1:9" s="830" customFormat="1" ht="17.25" customHeight="1" x14ac:dyDescent="0.2">
      <c r="A207" s="819">
        <v>5890</v>
      </c>
      <c r="B207" s="808" t="s">
        <v>1246</v>
      </c>
      <c r="C207" s="850"/>
      <c r="D207" s="832">
        <f>D208</f>
        <v>0</v>
      </c>
      <c r="E207" s="832">
        <f>E208</f>
        <v>0</v>
      </c>
      <c r="F207" s="832"/>
      <c r="G207" s="832"/>
      <c r="H207" s="821"/>
      <c r="I207" s="828" t="str">
        <f>IF(E207=0,"",F207/E207)</f>
        <v/>
      </c>
    </row>
    <row r="208" spans="1:9" s="830" customFormat="1" ht="17.25" customHeight="1" x14ac:dyDescent="0.2">
      <c r="A208" s="818">
        <v>58904</v>
      </c>
      <c r="B208" s="807" t="s">
        <v>1246</v>
      </c>
      <c r="C208" s="850"/>
      <c r="D208" s="832"/>
      <c r="E208" s="832"/>
      <c r="F208" s="832"/>
      <c r="G208" s="832"/>
      <c r="H208" s="821"/>
      <c r="I208" s="828" t="str">
        <f t="shared" si="58"/>
        <v/>
      </c>
    </row>
    <row r="209" spans="1:9" s="830" customFormat="1" ht="17.25" customHeight="1" x14ac:dyDescent="0.2">
      <c r="A209" s="819">
        <v>5900</v>
      </c>
      <c r="B209" s="808" t="s">
        <v>59</v>
      </c>
      <c r="C209" s="850">
        <f>C210</f>
        <v>0</v>
      </c>
      <c r="D209" s="827">
        <f>D210+D212</f>
        <v>1813102</v>
      </c>
      <c r="E209" s="827">
        <f>E210+E212</f>
        <v>1813102</v>
      </c>
      <c r="F209" s="827">
        <f>F210+F212</f>
        <v>0</v>
      </c>
      <c r="G209" s="827">
        <f>G210+G212</f>
        <v>0</v>
      </c>
      <c r="H209" s="821">
        <f t="shared" si="60"/>
        <v>1813102</v>
      </c>
      <c r="I209" s="828">
        <f t="shared" si="58"/>
        <v>0</v>
      </c>
    </row>
    <row r="210" spans="1:9" s="830" customFormat="1" ht="17.25" customHeight="1" x14ac:dyDescent="0.2">
      <c r="A210" s="817">
        <v>591</v>
      </c>
      <c r="B210" s="808" t="s">
        <v>1234</v>
      </c>
      <c r="C210" s="850">
        <f>C211</f>
        <v>0</v>
      </c>
      <c r="D210" s="827">
        <f>D211</f>
        <v>0</v>
      </c>
      <c r="E210" s="827">
        <f>E211</f>
        <v>0</v>
      </c>
      <c r="F210" s="832">
        <v>0</v>
      </c>
      <c r="G210" s="832">
        <v>0</v>
      </c>
      <c r="H210" s="821">
        <f t="shared" si="60"/>
        <v>0</v>
      </c>
      <c r="I210" s="828" t="str">
        <f t="shared" si="58"/>
        <v/>
      </c>
    </row>
    <row r="211" spans="1:9" s="830" customFormat="1" ht="17.25" customHeight="1" x14ac:dyDescent="0.2">
      <c r="A211" s="820">
        <v>59101</v>
      </c>
      <c r="B211" s="808" t="s">
        <v>1234</v>
      </c>
      <c r="C211" s="850">
        <f>C212</f>
        <v>0</v>
      </c>
      <c r="D211" s="832"/>
      <c r="E211" s="832">
        <f>SUM(D211)</f>
        <v>0</v>
      </c>
      <c r="F211" s="832">
        <v>0</v>
      </c>
      <c r="G211" s="832">
        <v>0</v>
      </c>
      <c r="H211" s="821">
        <f t="shared" si="60"/>
        <v>0</v>
      </c>
      <c r="I211" s="828" t="str">
        <f t="shared" si="58"/>
        <v/>
      </c>
    </row>
    <row r="212" spans="1:9" s="830" customFormat="1" ht="17.25" customHeight="1" x14ac:dyDescent="0.2">
      <c r="A212" s="814">
        <v>597</v>
      </c>
      <c r="B212" s="808" t="s">
        <v>1235</v>
      </c>
      <c r="C212" s="850">
        <f>C213</f>
        <v>0</v>
      </c>
      <c r="D212" s="827">
        <f>D213</f>
        <v>1813102</v>
      </c>
      <c r="E212" s="822">
        <f>E213</f>
        <v>1813102</v>
      </c>
      <c r="F212" s="827"/>
      <c r="G212" s="827"/>
      <c r="H212" s="821">
        <f t="shared" si="60"/>
        <v>1813102</v>
      </c>
      <c r="I212" s="828">
        <f t="shared" si="58"/>
        <v>0</v>
      </c>
    </row>
    <row r="213" spans="1:9" s="830" customFormat="1" ht="17.25" customHeight="1" thickBot="1" x14ac:dyDescent="0.25">
      <c r="A213" s="815">
        <v>59101</v>
      </c>
      <c r="B213" s="807" t="s">
        <v>1235</v>
      </c>
      <c r="C213" s="850">
        <v>0</v>
      </c>
      <c r="D213" s="832">
        <v>1813102</v>
      </c>
      <c r="E213" s="832">
        <f>SUM(D213)</f>
        <v>1813102</v>
      </c>
      <c r="F213" s="832"/>
      <c r="G213" s="832"/>
      <c r="H213" s="821">
        <f t="shared" si="60"/>
        <v>1813102</v>
      </c>
      <c r="I213" s="828">
        <f t="shared" si="58"/>
        <v>0</v>
      </c>
    </row>
    <row r="214" spans="1:9" s="830" customFormat="1" ht="17.25" customHeight="1" thickBot="1" x14ac:dyDescent="0.25">
      <c r="A214" s="851"/>
      <c r="B214" s="852"/>
      <c r="C214" s="853">
        <v>0</v>
      </c>
      <c r="D214" s="838">
        <f>D185+D192+D200+D209+D206</f>
        <v>1992764</v>
      </c>
      <c r="E214" s="838">
        <f>E185+E192+E200+E209+E206</f>
        <v>1992764</v>
      </c>
      <c r="F214" s="838">
        <f>F185+F192+F200+F206+F209+F198</f>
        <v>23877.65</v>
      </c>
      <c r="G214" s="838">
        <f>G185+G192+G200+G206+G209+G198</f>
        <v>23877.65</v>
      </c>
      <c r="H214" s="839">
        <f t="shared" si="60"/>
        <v>1968886.35</v>
      </c>
      <c r="I214" s="840">
        <f t="shared" si="58"/>
        <v>1.1982176514629931E-2</v>
      </c>
    </row>
    <row r="215" spans="1:9" s="857" customFormat="1" ht="20.25" customHeight="1" thickBot="1" x14ac:dyDescent="0.35">
      <c r="A215" s="854"/>
      <c r="B215" s="855" t="s">
        <v>625</v>
      </c>
      <c r="C215" s="856">
        <f>C54+C107+C181+C214</f>
        <v>55323720.010000005</v>
      </c>
      <c r="D215" s="856">
        <f>D10+D57+D110+D184</f>
        <v>6777868.4500000002</v>
      </c>
      <c r="E215" s="856">
        <f>E54+E107+E181+E214</f>
        <v>62101588.460000001</v>
      </c>
      <c r="F215" s="856">
        <f>F54+F107+F181+F214</f>
        <v>12515447.07</v>
      </c>
      <c r="G215" s="856">
        <f>G54+G107+G181+G214</f>
        <v>12002988.420000002</v>
      </c>
      <c r="H215" s="856">
        <f>H54+H107+H181+H214</f>
        <v>49586141.390000001</v>
      </c>
      <c r="I215" s="840">
        <f t="shared" si="58"/>
        <v>0.20153183485896298</v>
      </c>
    </row>
    <row r="216" spans="1:9" x14ac:dyDescent="0.3">
      <c r="H216" s="1258"/>
      <c r="I216" s="1258"/>
    </row>
    <row r="217" spans="1:9" x14ac:dyDescent="0.3">
      <c r="D217" s="859"/>
      <c r="E217" s="859"/>
      <c r="F217" s="859"/>
      <c r="G217" s="859"/>
      <c r="I217" s="859"/>
    </row>
  </sheetData>
  <mergeCells count="12">
    <mergeCell ref="A7:B8"/>
    <mergeCell ref="H216:I216"/>
    <mergeCell ref="A1:I1"/>
    <mergeCell ref="A2:I2"/>
    <mergeCell ref="A3:I3"/>
    <mergeCell ref="A4:I4"/>
    <mergeCell ref="A5:I5"/>
    <mergeCell ref="C6:E6"/>
    <mergeCell ref="H6:I6"/>
    <mergeCell ref="A55:B55"/>
    <mergeCell ref="A108:B108"/>
    <mergeCell ref="A182:B182"/>
  </mergeCells>
  <printOptions horizontalCentered="1"/>
  <pageMargins left="0.39370078740157483" right="0.39370078740157483" top="0.51181102362204722" bottom="0.39370078740157483" header="0.31496062992125984" footer="0.15748031496062992"/>
  <pageSetup scale="69" orientation="landscape" r:id="rId1"/>
  <headerFooter>
    <oddFooter>Página &amp;P</oddFooter>
  </headerFooter>
  <rowBreaks count="3" manualBreakCount="3">
    <brk id="107" max="8" man="1"/>
    <brk id="143" max="8" man="1"/>
    <brk id="181" max="8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60" zoomScaleNormal="100" workbookViewId="0">
      <selection activeCell="H16" sqref="H16"/>
    </sheetView>
  </sheetViews>
  <sheetFormatPr baseColWidth="10" defaultColWidth="11.42578125" defaultRowHeight="15" x14ac:dyDescent="0.25"/>
  <cols>
    <col min="1" max="1" width="32.140625" customWidth="1"/>
    <col min="2" max="2" width="13.85546875" customWidth="1"/>
    <col min="3" max="3" width="13" customWidth="1"/>
    <col min="4" max="4" width="13.5703125" customWidth="1"/>
    <col min="5" max="5" width="14.140625" customWidth="1"/>
    <col min="6" max="6" width="14" customWidth="1"/>
    <col min="7" max="7" width="13.7109375" customWidth="1"/>
  </cols>
  <sheetData>
    <row r="1" spans="1:9" ht="15.75" x14ac:dyDescent="0.25">
      <c r="A1" s="1049" t="s">
        <v>25</v>
      </c>
      <c r="B1" s="1049"/>
      <c r="C1" s="1049"/>
      <c r="D1" s="1049"/>
      <c r="E1" s="1049"/>
      <c r="F1" s="1049"/>
      <c r="G1" s="1049"/>
      <c r="H1" s="544"/>
      <c r="I1" s="544"/>
    </row>
    <row r="2" spans="1:9" ht="15.75" customHeight="1" x14ac:dyDescent="0.25">
      <c r="A2" s="1050" t="s">
        <v>843</v>
      </c>
      <c r="B2" s="1050"/>
      <c r="C2" s="1050"/>
      <c r="D2" s="1050"/>
      <c r="E2" s="1050"/>
      <c r="F2" s="1050"/>
      <c r="G2" s="1050"/>
      <c r="H2" s="545"/>
      <c r="I2" s="545"/>
    </row>
    <row r="3" spans="1:9" ht="15.75" customHeight="1" x14ac:dyDescent="0.25">
      <c r="A3" s="1050" t="s">
        <v>844</v>
      </c>
      <c r="B3" s="1050"/>
      <c r="C3" s="1050"/>
      <c r="D3" s="1050"/>
      <c r="E3" s="1050"/>
      <c r="F3" s="1050"/>
      <c r="G3" s="1050"/>
      <c r="H3" s="545"/>
      <c r="I3" s="545"/>
    </row>
    <row r="4" spans="1:9" ht="16.5" customHeight="1" x14ac:dyDescent="0.25">
      <c r="A4" s="1050" t="str">
        <f>'ETCA-I-01'!A3:G3</f>
        <v>Centro de Evaluacion y Control de Confianza del Estado de Sonora</v>
      </c>
      <c r="B4" s="1050"/>
      <c r="C4" s="1050"/>
      <c r="D4" s="1050"/>
      <c r="E4" s="1050"/>
      <c r="F4" s="1050"/>
      <c r="G4" s="1050"/>
      <c r="H4" s="545"/>
      <c r="I4" s="545"/>
    </row>
    <row r="5" spans="1:9" ht="15.75" customHeight="1" x14ac:dyDescent="0.25">
      <c r="A5" s="1271" t="str">
        <f>'ETCA-I-03'!A4:D4</f>
        <v>Del 01 de Enero  al 31 de Marzo de 2018</v>
      </c>
      <c r="B5" s="1271"/>
      <c r="C5" s="1271"/>
      <c r="D5" s="1271"/>
      <c r="E5" s="1271"/>
      <c r="F5" s="1271"/>
      <c r="G5" s="1271"/>
      <c r="H5" s="546"/>
      <c r="I5" s="546"/>
    </row>
    <row r="6" spans="1:9" ht="15.75" customHeight="1" thickBot="1" x14ac:dyDescent="0.3">
      <c r="A6" s="1086" t="s">
        <v>89</v>
      </c>
      <c r="B6" s="1086"/>
      <c r="C6" s="1086"/>
      <c r="D6" s="1086"/>
      <c r="E6" s="1086"/>
      <c r="F6" s="1086"/>
      <c r="G6" s="1086"/>
      <c r="H6" s="547"/>
      <c r="I6" s="547"/>
    </row>
    <row r="7" spans="1:9" ht="15.75" thickBot="1" x14ac:dyDescent="0.3">
      <c r="A7" s="1264" t="s">
        <v>90</v>
      </c>
      <c r="B7" s="1266" t="s">
        <v>628</v>
      </c>
      <c r="C7" s="1267"/>
      <c r="D7" s="1267"/>
      <c r="E7" s="1267"/>
      <c r="F7" s="1268"/>
      <c r="G7" s="1269" t="s">
        <v>629</v>
      </c>
    </row>
    <row r="8" spans="1:9" ht="20.25" thickBot="1" x14ac:dyDescent="0.3">
      <c r="A8" s="1265"/>
      <c r="B8" s="521" t="s">
        <v>630</v>
      </c>
      <c r="C8" s="521" t="s">
        <v>631</v>
      </c>
      <c r="D8" s="521" t="s">
        <v>632</v>
      </c>
      <c r="E8" s="521" t="s">
        <v>845</v>
      </c>
      <c r="F8" s="521" t="s">
        <v>730</v>
      </c>
      <c r="G8" s="1270"/>
    </row>
    <row r="9" spans="1:9" ht="19.5" x14ac:dyDescent="0.25">
      <c r="A9" s="538" t="s">
        <v>846</v>
      </c>
      <c r="B9" s="591">
        <f>B10+B11+B12+B13+B14+B15+B16+B19</f>
        <v>46848720</v>
      </c>
      <c r="C9" s="591">
        <f t="shared" ref="C9:G9" si="0">C10+C11+C12+C13+C14+C15+C16+C19</f>
        <v>0</v>
      </c>
      <c r="D9" s="591">
        <f t="shared" si="0"/>
        <v>46848720</v>
      </c>
      <c r="E9" s="591">
        <f t="shared" si="0"/>
        <v>10428109.98</v>
      </c>
      <c r="F9" s="591">
        <f t="shared" si="0"/>
        <v>10425050.760000002</v>
      </c>
      <c r="G9" s="591">
        <f t="shared" si="0"/>
        <v>36420610.019999996</v>
      </c>
    </row>
    <row r="10" spans="1:9" ht="19.5" x14ac:dyDescent="0.25">
      <c r="A10" s="539" t="s">
        <v>847</v>
      </c>
      <c r="B10" s="593">
        <f>'ETCA-II-13'!C10</f>
        <v>46848720</v>
      </c>
      <c r="C10" s="594">
        <f>'ETCA-II-13'!D10</f>
        <v>0</v>
      </c>
      <c r="D10" s="592">
        <f>B10+C10</f>
        <v>46848720</v>
      </c>
      <c r="E10" s="594">
        <f>'ETCA-II-13'!F10</f>
        <v>10428109.98</v>
      </c>
      <c r="F10" s="594">
        <f>'ETCA-II-13'!G10</f>
        <v>10425050.760000002</v>
      </c>
      <c r="G10" s="592">
        <f>D10-E10</f>
        <v>36420610.019999996</v>
      </c>
    </row>
    <row r="11" spans="1:9" x14ac:dyDescent="0.25">
      <c r="A11" s="539" t="s">
        <v>848</v>
      </c>
      <c r="B11" s="593"/>
      <c r="C11" s="594"/>
      <c r="D11" s="592">
        <f t="shared" ref="D11:D19" si="1">B11+C11</f>
        <v>0</v>
      </c>
      <c r="E11" s="594"/>
      <c r="F11" s="594"/>
      <c r="G11" s="592">
        <f t="shared" ref="G11:G15" si="2">D11-E11</f>
        <v>0</v>
      </c>
    </row>
    <row r="12" spans="1:9" x14ac:dyDescent="0.25">
      <c r="A12" s="539" t="s">
        <v>849</v>
      </c>
      <c r="B12" s="593"/>
      <c r="C12" s="594"/>
      <c r="D12" s="592">
        <f t="shared" si="1"/>
        <v>0</v>
      </c>
      <c r="E12" s="594"/>
      <c r="F12" s="594"/>
      <c r="G12" s="592">
        <f t="shared" si="2"/>
        <v>0</v>
      </c>
    </row>
    <row r="13" spans="1:9" x14ac:dyDescent="0.25">
      <c r="A13" s="539" t="s">
        <v>850</v>
      </c>
      <c r="B13" s="593"/>
      <c r="C13" s="594"/>
      <c r="D13" s="592"/>
      <c r="E13" s="594"/>
      <c r="F13" s="594"/>
      <c r="G13" s="592">
        <f t="shared" ref="G13" si="3">IF(A13="","",D13-E13)</f>
        <v>0</v>
      </c>
    </row>
    <row r="14" spans="1:9" x14ac:dyDescent="0.25">
      <c r="A14" s="539" t="s">
        <v>851</v>
      </c>
      <c r="B14" s="593"/>
      <c r="C14" s="594"/>
      <c r="D14" s="592">
        <f t="shared" si="1"/>
        <v>0</v>
      </c>
      <c r="E14" s="594"/>
      <c r="F14" s="594"/>
      <c r="G14" s="592">
        <f t="shared" si="2"/>
        <v>0</v>
      </c>
    </row>
    <row r="15" spans="1:9" x14ac:dyDescent="0.25">
      <c r="A15" s="539" t="s">
        <v>852</v>
      </c>
      <c r="B15" s="593"/>
      <c r="C15" s="594"/>
      <c r="D15" s="592">
        <f t="shared" si="1"/>
        <v>0</v>
      </c>
      <c r="E15" s="594"/>
      <c r="F15" s="594"/>
      <c r="G15" s="592">
        <f t="shared" si="2"/>
        <v>0</v>
      </c>
    </row>
    <row r="16" spans="1:9" ht="29.25" x14ac:dyDescent="0.25">
      <c r="A16" s="539" t="s">
        <v>853</v>
      </c>
      <c r="B16" s="591">
        <f>B17+B18</f>
        <v>0</v>
      </c>
      <c r="C16" s="591">
        <f t="shared" ref="C16:G16" si="4">C17+C18</f>
        <v>0</v>
      </c>
      <c r="D16" s="591">
        <f t="shared" si="4"/>
        <v>0</v>
      </c>
      <c r="E16" s="591">
        <f t="shared" si="4"/>
        <v>0</v>
      </c>
      <c r="F16" s="591">
        <f t="shared" si="4"/>
        <v>0</v>
      </c>
      <c r="G16" s="591">
        <f t="shared" si="4"/>
        <v>0</v>
      </c>
    </row>
    <row r="17" spans="1:7" x14ac:dyDescent="0.25">
      <c r="A17" s="540" t="s">
        <v>854</v>
      </c>
      <c r="B17" s="593"/>
      <c r="C17" s="594"/>
      <c r="D17" s="592">
        <f t="shared" si="1"/>
        <v>0</v>
      </c>
      <c r="E17" s="594"/>
      <c r="F17" s="594"/>
      <c r="G17" s="592">
        <f t="shared" ref="G17:G19" si="5">D17-E17</f>
        <v>0</v>
      </c>
    </row>
    <row r="18" spans="1:7" x14ac:dyDescent="0.25">
      <c r="A18" s="540" t="s">
        <v>855</v>
      </c>
      <c r="B18" s="593"/>
      <c r="C18" s="594"/>
      <c r="D18" s="592">
        <f t="shared" si="1"/>
        <v>0</v>
      </c>
      <c r="E18" s="594"/>
      <c r="F18" s="594"/>
      <c r="G18" s="592">
        <f t="shared" si="5"/>
        <v>0</v>
      </c>
    </row>
    <row r="19" spans="1:7" x14ac:dyDescent="0.25">
      <c r="A19" s="539" t="s">
        <v>856</v>
      </c>
      <c r="B19" s="593"/>
      <c r="C19" s="594"/>
      <c r="D19" s="592">
        <f t="shared" si="1"/>
        <v>0</v>
      </c>
      <c r="E19" s="594"/>
      <c r="F19" s="594"/>
      <c r="G19" s="592">
        <f t="shared" si="5"/>
        <v>0</v>
      </c>
    </row>
    <row r="20" spans="1:7" x14ac:dyDescent="0.25">
      <c r="A20" s="539"/>
      <c r="B20" s="591"/>
      <c r="C20" s="592"/>
      <c r="D20" s="592"/>
      <c r="E20" s="592"/>
      <c r="F20" s="592"/>
      <c r="G20" s="592"/>
    </row>
    <row r="21" spans="1:7" ht="19.5" x14ac:dyDescent="0.25">
      <c r="A21" s="538" t="s">
        <v>857</v>
      </c>
      <c r="B21" s="591">
        <f>B22+B23+B24+B25+B26+B27+B28+B31</f>
        <v>0</v>
      </c>
      <c r="C21" s="591">
        <f t="shared" ref="C21:G21" si="6">C22+C23+C24+C25+C26+C27+C28+C31</f>
        <v>0</v>
      </c>
      <c r="D21" s="591">
        <f t="shared" si="6"/>
        <v>0</v>
      </c>
      <c r="E21" s="591">
        <f t="shared" si="6"/>
        <v>0</v>
      </c>
      <c r="F21" s="591">
        <f t="shared" si="6"/>
        <v>0</v>
      </c>
      <c r="G21" s="591">
        <f t="shared" si="6"/>
        <v>0</v>
      </c>
    </row>
    <row r="22" spans="1:7" ht="19.5" x14ac:dyDescent="0.25">
      <c r="A22" s="539" t="s">
        <v>847</v>
      </c>
      <c r="B22" s="593"/>
      <c r="C22" s="594"/>
      <c r="D22" s="592">
        <f>B22+C22</f>
        <v>0</v>
      </c>
      <c r="E22" s="594"/>
      <c r="F22" s="594"/>
      <c r="G22" s="592">
        <f t="shared" ref="G22:G27" si="7">D22-E22</f>
        <v>0</v>
      </c>
    </row>
    <row r="23" spans="1:7" x14ac:dyDescent="0.25">
      <c r="A23" s="539" t="s">
        <v>848</v>
      </c>
      <c r="B23" s="593"/>
      <c r="C23" s="594"/>
      <c r="D23" s="592">
        <f t="shared" ref="D23:D27" si="8">B23+C23</f>
        <v>0</v>
      </c>
      <c r="E23" s="594"/>
      <c r="F23" s="594"/>
      <c r="G23" s="592">
        <f t="shared" si="7"/>
        <v>0</v>
      </c>
    </row>
    <row r="24" spans="1:7" x14ac:dyDescent="0.25">
      <c r="A24" s="539" t="s">
        <v>849</v>
      </c>
      <c r="B24" s="593"/>
      <c r="C24" s="594"/>
      <c r="D24" s="592">
        <f t="shared" si="8"/>
        <v>0</v>
      </c>
      <c r="E24" s="594"/>
      <c r="F24" s="594"/>
      <c r="G24" s="592">
        <f t="shared" si="7"/>
        <v>0</v>
      </c>
    </row>
    <row r="25" spans="1:7" x14ac:dyDescent="0.25">
      <c r="A25" s="539" t="s">
        <v>850</v>
      </c>
      <c r="B25" s="593"/>
      <c r="C25" s="594"/>
      <c r="D25" s="592">
        <f t="shared" si="8"/>
        <v>0</v>
      </c>
      <c r="E25" s="594"/>
      <c r="F25" s="594"/>
      <c r="G25" s="592">
        <f t="shared" si="7"/>
        <v>0</v>
      </c>
    </row>
    <row r="26" spans="1:7" x14ac:dyDescent="0.25">
      <c r="A26" s="539" t="s">
        <v>851</v>
      </c>
      <c r="B26" s="593"/>
      <c r="C26" s="594"/>
      <c r="D26" s="592">
        <f t="shared" si="8"/>
        <v>0</v>
      </c>
      <c r="E26" s="594"/>
      <c r="F26" s="594"/>
      <c r="G26" s="592">
        <f t="shared" si="7"/>
        <v>0</v>
      </c>
    </row>
    <row r="27" spans="1:7" x14ac:dyDescent="0.25">
      <c r="A27" s="539" t="s">
        <v>852</v>
      </c>
      <c r="B27" s="593"/>
      <c r="C27" s="594"/>
      <c r="D27" s="592">
        <f t="shared" si="8"/>
        <v>0</v>
      </c>
      <c r="E27" s="594"/>
      <c r="F27" s="594"/>
      <c r="G27" s="592">
        <f t="shared" si="7"/>
        <v>0</v>
      </c>
    </row>
    <row r="28" spans="1:7" ht="29.25" x14ac:dyDescent="0.25">
      <c r="A28" s="539" t="s">
        <v>853</v>
      </c>
      <c r="B28" s="591">
        <f>B29+B30</f>
        <v>0</v>
      </c>
      <c r="C28" s="591">
        <f t="shared" ref="C28:G28" si="9">C29+C30</f>
        <v>0</v>
      </c>
      <c r="D28" s="591">
        <f t="shared" si="9"/>
        <v>0</v>
      </c>
      <c r="E28" s="591">
        <f t="shared" si="9"/>
        <v>0</v>
      </c>
      <c r="F28" s="591">
        <f t="shared" si="9"/>
        <v>0</v>
      </c>
      <c r="G28" s="591">
        <f t="shared" si="9"/>
        <v>0</v>
      </c>
    </row>
    <row r="29" spans="1:7" x14ac:dyDescent="0.25">
      <c r="A29" s="540" t="s">
        <v>854</v>
      </c>
      <c r="B29" s="593"/>
      <c r="C29" s="594"/>
      <c r="D29" s="592">
        <f>B29+C29</f>
        <v>0</v>
      </c>
      <c r="E29" s="594"/>
      <c r="F29" s="594"/>
      <c r="G29" s="592">
        <f t="shared" ref="G29:G31" si="10">D29-E29</f>
        <v>0</v>
      </c>
    </row>
    <row r="30" spans="1:7" x14ac:dyDescent="0.25">
      <c r="A30" s="540" t="s">
        <v>855</v>
      </c>
      <c r="B30" s="593"/>
      <c r="C30" s="594"/>
      <c r="D30" s="592">
        <f>B30+C30</f>
        <v>0</v>
      </c>
      <c r="E30" s="594"/>
      <c r="F30" s="594"/>
      <c r="G30" s="592">
        <f t="shared" si="10"/>
        <v>0</v>
      </c>
    </row>
    <row r="31" spans="1:7" x14ac:dyDescent="0.25">
      <c r="A31" s="539" t="s">
        <v>856</v>
      </c>
      <c r="B31" s="593"/>
      <c r="C31" s="594"/>
      <c r="D31" s="592">
        <f>B31+C31</f>
        <v>0</v>
      </c>
      <c r="E31" s="594"/>
      <c r="F31" s="594"/>
      <c r="G31" s="592">
        <f t="shared" si="10"/>
        <v>0</v>
      </c>
    </row>
    <row r="32" spans="1:7" ht="19.5" x14ac:dyDescent="0.25">
      <c r="A32" s="538" t="s">
        <v>858</v>
      </c>
      <c r="B32" s="591">
        <f>B9+B21</f>
        <v>46848720</v>
      </c>
      <c r="C32" s="591">
        <f t="shared" ref="C32:G32" si="11">C9+C21</f>
        <v>0</v>
      </c>
      <c r="D32" s="591">
        <f t="shared" si="11"/>
        <v>46848720</v>
      </c>
      <c r="E32" s="591">
        <f t="shared" si="11"/>
        <v>10428109.98</v>
      </c>
      <c r="F32" s="591">
        <f t="shared" si="11"/>
        <v>10425050.760000002</v>
      </c>
      <c r="G32" s="591">
        <f t="shared" si="11"/>
        <v>36420610.019999996</v>
      </c>
    </row>
    <row r="33" spans="1:7" ht="15.75" thickBot="1" x14ac:dyDescent="0.3">
      <c r="A33" s="541"/>
      <c r="B33" s="542"/>
      <c r="C33" s="543"/>
      <c r="D33" s="543"/>
      <c r="E33" s="543"/>
      <c r="F33" s="543"/>
      <c r="G33" s="543"/>
    </row>
  </sheetData>
  <sheetProtection insertHyperlink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8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D44"/>
  <sheetViews>
    <sheetView view="pageBreakPreview" zoomScale="110" zoomScaleNormal="100" zoomScaleSheetLayoutView="110" workbookViewId="0">
      <selection activeCell="B36" sqref="B36"/>
    </sheetView>
  </sheetViews>
  <sheetFormatPr baseColWidth="10" defaultColWidth="11.28515625" defaultRowHeight="16.5" x14ac:dyDescent="0.25"/>
  <cols>
    <col min="1" max="1" width="64.5703125" style="258" customWidth="1"/>
    <col min="2" max="2" width="25.7109375" style="258" customWidth="1"/>
    <col min="3" max="3" width="25.7109375" style="377" customWidth="1"/>
    <col min="4" max="4" width="89.140625" style="258" customWidth="1"/>
    <col min="5" max="16384" width="11.28515625" style="258"/>
  </cols>
  <sheetData>
    <row r="1" spans="1:4" x14ac:dyDescent="0.25">
      <c r="A1" s="1067" t="s">
        <v>25</v>
      </c>
      <c r="B1" s="1067"/>
      <c r="C1" s="1067"/>
      <c r="D1" s="397"/>
    </row>
    <row r="2" spans="1:4" s="259" customFormat="1" ht="15.75" x14ac:dyDescent="0.25">
      <c r="A2" s="1067" t="s">
        <v>13</v>
      </c>
      <c r="B2" s="1067"/>
      <c r="C2" s="1067"/>
    </row>
    <row r="3" spans="1:4" s="259" customFormat="1" ht="15.75" x14ac:dyDescent="0.25">
      <c r="A3" s="1068" t="str">
        <f>'ETCA-I-01'!A3:G3</f>
        <v>Centro de Evaluacion y Control de Confianza del Estado de Sonora</v>
      </c>
      <c r="B3" s="1068"/>
      <c r="C3" s="1068"/>
    </row>
    <row r="4" spans="1:4" s="259" customFormat="1" x14ac:dyDescent="0.25">
      <c r="A4" s="1069" t="str">
        <f>'ETCA-I-01'!A4:G4</f>
        <v>Al 31 de Marzo de 2018</v>
      </c>
      <c r="B4" s="1069"/>
      <c r="C4" s="1069"/>
    </row>
    <row r="5" spans="1:4" s="260" customFormat="1" ht="17.25" thickBot="1" x14ac:dyDescent="0.3">
      <c r="A5" s="364"/>
      <c r="B5" s="447"/>
      <c r="C5" s="365"/>
    </row>
    <row r="6" spans="1:4" s="367" customFormat="1" ht="27" customHeight="1" thickBot="1" x14ac:dyDescent="0.3">
      <c r="A6" s="366" t="s">
        <v>859</v>
      </c>
      <c r="B6" s="148"/>
      <c r="C6" s="230">
        <f>'ETCA II-04'!E81</f>
        <v>12515447.07</v>
      </c>
      <c r="D6" s="378" t="str">
        <f>IF((C6-'ETCA II-04'!E81)&gt;0.9,"ERROR!!!!! EL MONTO NO COINCIDE CON LO REPORTADO EN EL FORMATO ETCA-II-04, EN EL TOTAL DE EGRESOS DEVENGADO ANUAL","")</f>
        <v/>
      </c>
    </row>
    <row r="7" spans="1:4" s="367" customFormat="1" ht="9.75" customHeight="1" x14ac:dyDescent="0.25">
      <c r="A7" s="368"/>
      <c r="B7" s="247"/>
      <c r="C7" s="379"/>
      <c r="D7" s="378"/>
    </row>
    <row r="8" spans="1:4" s="367" customFormat="1" ht="17.25" customHeight="1" thickBot="1" x14ac:dyDescent="0.3">
      <c r="A8" s="369" t="s">
        <v>558</v>
      </c>
      <c r="B8" s="250"/>
      <c r="C8" s="380"/>
      <c r="D8" s="378"/>
    </row>
    <row r="9" spans="1:4" ht="20.100000000000001" customHeight="1" x14ac:dyDescent="0.25">
      <c r="A9" s="370" t="s">
        <v>860</v>
      </c>
      <c r="B9" s="681"/>
      <c r="C9" s="381">
        <f>SUM(B10:B26)</f>
        <v>8096</v>
      </c>
      <c r="D9" s="382"/>
    </row>
    <row r="10" spans="1:4" ht="20.100000000000001" customHeight="1" x14ac:dyDescent="0.25">
      <c r="A10" s="371" t="s">
        <v>861</v>
      </c>
      <c r="B10" s="715">
        <f>'ETCA-II-13'!F187</f>
        <v>8096</v>
      </c>
      <c r="C10" s="383"/>
      <c r="D10" s="382"/>
    </row>
    <row r="11" spans="1:4" x14ac:dyDescent="0.25">
      <c r="A11" s="371" t="s">
        <v>862</v>
      </c>
      <c r="B11" s="715">
        <f>'ETCA-II-13'!F191</f>
        <v>0</v>
      </c>
      <c r="C11" s="383"/>
      <c r="D11" s="382"/>
    </row>
    <row r="12" spans="1:4" ht="20.100000000000001" customHeight="1" x14ac:dyDescent="0.25">
      <c r="A12" s="371" t="s">
        <v>863</v>
      </c>
      <c r="B12" s="715"/>
      <c r="C12" s="383"/>
      <c r="D12" s="382"/>
    </row>
    <row r="13" spans="1:4" ht="20.100000000000001" customHeight="1" x14ac:dyDescent="0.25">
      <c r="A13" s="371" t="s">
        <v>864</v>
      </c>
      <c r="B13" s="715"/>
      <c r="C13" s="383"/>
      <c r="D13" s="382"/>
    </row>
    <row r="14" spans="1:4" ht="20.100000000000001" customHeight="1" x14ac:dyDescent="0.25">
      <c r="A14" s="371" t="s">
        <v>865</v>
      </c>
      <c r="B14" s="715"/>
      <c r="C14" s="383"/>
      <c r="D14" s="382"/>
    </row>
    <row r="15" spans="1:4" ht="20.100000000000001" customHeight="1" x14ac:dyDescent="0.25">
      <c r="A15" s="371" t="s">
        <v>866</v>
      </c>
      <c r="B15" s="715"/>
      <c r="C15" s="383"/>
      <c r="D15" s="382"/>
    </row>
    <row r="16" spans="1:4" ht="20.100000000000001" customHeight="1" x14ac:dyDescent="0.25">
      <c r="A16" s="371" t="s">
        <v>867</v>
      </c>
      <c r="B16" s="715"/>
      <c r="C16" s="383"/>
      <c r="D16" s="382"/>
    </row>
    <row r="17" spans="1:4" ht="20.100000000000001" customHeight="1" x14ac:dyDescent="0.25">
      <c r="A17" s="371" t="s">
        <v>868</v>
      </c>
      <c r="B17" s="715"/>
      <c r="C17" s="383"/>
      <c r="D17" s="382"/>
    </row>
    <row r="18" spans="1:4" ht="20.100000000000001" customHeight="1" x14ac:dyDescent="0.25">
      <c r="A18" s="371" t="s">
        <v>869</v>
      </c>
      <c r="B18" s="715"/>
      <c r="C18" s="383"/>
      <c r="D18" s="382"/>
    </row>
    <row r="19" spans="1:4" ht="20.100000000000001" customHeight="1" x14ac:dyDescent="0.25">
      <c r="A19" s="371" t="s">
        <v>870</v>
      </c>
      <c r="B19" s="715"/>
      <c r="C19" s="383"/>
      <c r="D19" s="382"/>
    </row>
    <row r="20" spans="1:4" ht="20.100000000000001" customHeight="1" x14ac:dyDescent="0.25">
      <c r="A20" s="371" t="s">
        <v>871</v>
      </c>
      <c r="B20" s="715"/>
      <c r="C20" s="383"/>
      <c r="D20" s="382"/>
    </row>
    <row r="21" spans="1:4" ht="20.100000000000001" customHeight="1" x14ac:dyDescent="0.25">
      <c r="A21" s="371" t="s">
        <v>872</v>
      </c>
      <c r="B21" s="715"/>
      <c r="C21" s="383"/>
      <c r="D21" s="382"/>
    </row>
    <row r="22" spans="1:4" ht="20.100000000000001" customHeight="1" x14ac:dyDescent="0.25">
      <c r="A22" s="371" t="s">
        <v>873</v>
      </c>
      <c r="B22" s="715"/>
      <c r="C22" s="383"/>
      <c r="D22" s="382"/>
    </row>
    <row r="23" spans="1:4" ht="20.100000000000001" customHeight="1" x14ac:dyDescent="0.25">
      <c r="A23" s="371" t="s">
        <v>874</v>
      </c>
      <c r="B23" s="715"/>
      <c r="C23" s="383"/>
      <c r="D23" s="382"/>
    </row>
    <row r="24" spans="1:4" ht="20.100000000000001" customHeight="1" x14ac:dyDescent="0.25">
      <c r="A24" s="371" t="s">
        <v>875</v>
      </c>
      <c r="B24" s="715"/>
      <c r="C24" s="383"/>
      <c r="D24" s="382"/>
    </row>
    <row r="25" spans="1:4" ht="20.100000000000001" customHeight="1" x14ac:dyDescent="0.25">
      <c r="A25" s="371" t="s">
        <v>876</v>
      </c>
      <c r="B25" s="715"/>
      <c r="C25" s="383"/>
      <c r="D25" s="382"/>
    </row>
    <row r="26" spans="1:4" ht="20.100000000000001" customHeight="1" thickBot="1" x14ac:dyDescent="0.3">
      <c r="A26" s="372" t="s">
        <v>877</v>
      </c>
      <c r="B26" s="716"/>
      <c r="C26" s="384"/>
      <c r="D26" s="382"/>
    </row>
    <row r="27" spans="1:4" ht="7.5" customHeight="1" x14ac:dyDescent="0.25">
      <c r="A27" s="373"/>
      <c r="B27" s="247"/>
      <c r="C27" s="385"/>
      <c r="D27" s="382"/>
    </row>
    <row r="28" spans="1:4" ht="20.100000000000001" customHeight="1" thickBot="1" x14ac:dyDescent="0.3">
      <c r="A28" s="374" t="s">
        <v>551</v>
      </c>
      <c r="B28" s="250"/>
      <c r="C28" s="386"/>
      <c r="D28" s="382"/>
    </row>
    <row r="29" spans="1:4" ht="20.100000000000001" customHeight="1" x14ac:dyDescent="0.25">
      <c r="A29" s="370" t="s">
        <v>878</v>
      </c>
      <c r="B29" s="717"/>
      <c r="C29" s="381">
        <f>SUM(B30:B36)</f>
        <v>99876.69</v>
      </c>
      <c r="D29" s="382"/>
    </row>
    <row r="30" spans="1:4" x14ac:dyDescent="0.25">
      <c r="A30" s="371" t="s">
        <v>879</v>
      </c>
      <c r="B30" s="715"/>
      <c r="C30" s="383"/>
      <c r="D30" s="390" t="str">
        <f>IF(B30&lt;&gt;'ETCA-I-03'!C55,"ERROR!!!!! EL MONTO NO COINCIDE CON LO REPORTADO EN EL FORMATO ETCA-I-02 POR CONCEPTO DE ESTIMACIONES, DEPRECIACIONES, ETC..","")</f>
        <v/>
      </c>
    </row>
    <row r="31" spans="1:4" ht="20.100000000000001" customHeight="1" x14ac:dyDescent="0.25">
      <c r="A31" s="371" t="s">
        <v>248</v>
      </c>
      <c r="B31" s="715"/>
      <c r="C31" s="383"/>
      <c r="D31" s="382"/>
    </row>
    <row r="32" spans="1:4" ht="20.100000000000001" customHeight="1" x14ac:dyDescent="0.25">
      <c r="A32" s="371" t="s">
        <v>880</v>
      </c>
      <c r="B32" s="715"/>
      <c r="C32" s="383"/>
      <c r="D32" s="382"/>
    </row>
    <row r="33" spans="1:4" ht="25.5" customHeight="1" x14ac:dyDescent="0.25">
      <c r="A33" s="371" t="s">
        <v>881</v>
      </c>
      <c r="B33" s="715"/>
      <c r="C33" s="383"/>
      <c r="D33" s="382"/>
    </row>
    <row r="34" spans="1:4" ht="20.100000000000001" customHeight="1" x14ac:dyDescent="0.25">
      <c r="A34" s="371" t="s">
        <v>882</v>
      </c>
      <c r="B34" s="715"/>
      <c r="C34" s="383"/>
      <c r="D34" s="382"/>
    </row>
    <row r="35" spans="1:4" ht="20.100000000000001" customHeight="1" x14ac:dyDescent="0.25">
      <c r="A35" s="371" t="s">
        <v>883</v>
      </c>
      <c r="B35" s="715">
        <f>'ETCA-I-03'!C60</f>
        <v>99876.69</v>
      </c>
      <c r="C35" s="383"/>
      <c r="D35" s="382"/>
    </row>
    <row r="36" spans="1:4" ht="20.100000000000001" customHeight="1" x14ac:dyDescent="0.25">
      <c r="A36" s="375" t="s">
        <v>884</v>
      </c>
      <c r="B36" s="715"/>
      <c r="C36" s="383"/>
      <c r="D36" s="382"/>
    </row>
    <row r="37" spans="1:4" ht="20.100000000000001" customHeight="1" thickBot="1" x14ac:dyDescent="0.3">
      <c r="A37" s="376"/>
      <c r="B37" s="718"/>
      <c r="C37" s="384"/>
      <c r="D37" s="382"/>
    </row>
    <row r="38" spans="1:4" ht="20.100000000000001" customHeight="1" thickBot="1" x14ac:dyDescent="0.3">
      <c r="A38" s="434" t="s">
        <v>885</v>
      </c>
      <c r="B38" s="719"/>
      <c r="C38" s="230">
        <f>C6-C9+C29</f>
        <v>12607227.76</v>
      </c>
      <c r="D38" s="382" t="str">
        <f>IF((C38-'ETCA-I-03'!C64)&gt;0.9,"ERROR!!!!! EL MONTO NO COINCIDE CON LO REPORTADO EN EL FORMATO ETCA-I-03, EN EL MISMO RUBRO","")</f>
        <v>ERROR!!!!! EL MONTO NO COINCIDE CON LO REPORTADO EN EL FORMATO ETCA-I-03, EN EL MISMO RUBRO</v>
      </c>
    </row>
    <row r="39" spans="1:4" ht="20.100000000000001" customHeight="1" x14ac:dyDescent="0.25">
      <c r="A39" s="433"/>
      <c r="B39" s="431"/>
      <c r="C39" s="432"/>
      <c r="D39" s="382"/>
    </row>
    <row r="40" spans="1:4" ht="20.100000000000001" customHeight="1" x14ac:dyDescent="0.25">
      <c r="A40" s="430"/>
      <c r="B40" s="431"/>
      <c r="C40" s="432"/>
      <c r="D40" s="382"/>
    </row>
    <row r="41" spans="1:4" ht="20.100000000000001" customHeight="1" x14ac:dyDescent="0.25">
      <c r="A41" s="430"/>
      <c r="B41" s="431"/>
      <c r="C41" s="432"/>
      <c r="D41" s="382"/>
    </row>
    <row r="42" spans="1:4" ht="20.100000000000001" customHeight="1" x14ac:dyDescent="0.25">
      <c r="A42" s="430"/>
      <c r="B42" s="431"/>
      <c r="C42" s="432"/>
      <c r="D42" s="382"/>
    </row>
    <row r="43" spans="1:4" ht="20.100000000000001" customHeight="1" x14ac:dyDescent="0.25">
      <c r="A43" s="430"/>
      <c r="B43" s="431"/>
      <c r="C43" s="432"/>
      <c r="D43" s="382"/>
    </row>
    <row r="44" spans="1:4" ht="26.25" customHeight="1" x14ac:dyDescent="0.25">
      <c r="A44" s="433"/>
      <c r="B44" s="431"/>
      <c r="C44" s="432"/>
      <c r="D44" s="382"/>
    </row>
  </sheetData>
  <sheetProtection formatColumns="0" formatRows="0" insertHyperlinks="0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61"/>
  <sheetViews>
    <sheetView view="pageBreakPreview" zoomScaleNormal="100" zoomScaleSheetLayoutView="100" workbookViewId="0">
      <selection activeCell="D87" sqref="D87"/>
    </sheetView>
  </sheetViews>
  <sheetFormatPr baseColWidth="10" defaultColWidth="11.28515625" defaultRowHeight="16.5" x14ac:dyDescent="0.3"/>
  <cols>
    <col min="1" max="1" width="51.140625" style="44" customWidth="1"/>
    <col min="2" max="2" width="16" style="44" customWidth="1"/>
    <col min="3" max="3" width="15.7109375" style="44" customWidth="1"/>
    <col min="4" max="4" width="38.7109375" style="44" customWidth="1"/>
    <col min="5" max="5" width="10.28515625" style="44" customWidth="1"/>
    <col min="6" max="6" width="15.28515625" style="44" bestFit="1" customWidth="1"/>
    <col min="7" max="7" width="15.7109375" style="44" customWidth="1"/>
    <col min="8" max="8" width="24.28515625" style="44" customWidth="1"/>
    <col min="9" max="9" width="13.42578125" style="44" bestFit="1" customWidth="1"/>
    <col min="10" max="16384" width="11.28515625" style="44"/>
  </cols>
  <sheetData>
    <row r="1" spans="1:9" x14ac:dyDescent="0.3">
      <c r="A1" s="1049" t="s">
        <v>25</v>
      </c>
      <c r="B1" s="1049"/>
      <c r="C1" s="1049"/>
      <c r="D1" s="1049"/>
      <c r="E1" s="1049"/>
      <c r="F1" s="1049"/>
      <c r="G1" s="1049"/>
    </row>
    <row r="2" spans="1:9" x14ac:dyDescent="0.3">
      <c r="A2" s="1050" t="s">
        <v>26</v>
      </c>
      <c r="B2" s="1050"/>
      <c r="C2" s="1050"/>
      <c r="D2" s="1050"/>
      <c r="E2" s="1050"/>
      <c r="F2" s="1050"/>
      <c r="G2" s="1050"/>
    </row>
    <row r="3" spans="1:9" x14ac:dyDescent="0.3">
      <c r="A3" s="1050" t="s">
        <v>1093</v>
      </c>
      <c r="B3" s="1050"/>
      <c r="C3" s="1050"/>
      <c r="D3" s="1050"/>
      <c r="E3" s="1050"/>
      <c r="F3" s="1050"/>
      <c r="G3" s="1050"/>
    </row>
    <row r="4" spans="1:9" x14ac:dyDescent="0.3">
      <c r="A4" s="1051" t="s">
        <v>1248</v>
      </c>
      <c r="B4" s="1051"/>
      <c r="C4" s="1051"/>
      <c r="D4" s="1051"/>
      <c r="E4" s="1051"/>
      <c r="F4" s="1051"/>
      <c r="G4" s="1051"/>
    </row>
    <row r="5" spans="1:9" ht="17.25" thickBot="1" x14ac:dyDescent="0.35">
      <c r="A5" s="1053" t="s">
        <v>27</v>
      </c>
      <c r="B5" s="1053"/>
      <c r="C5" s="1053"/>
      <c r="D5" s="1053"/>
      <c r="E5" s="83"/>
      <c r="F5" s="1048"/>
      <c r="G5" s="1048"/>
    </row>
    <row r="6" spans="1:9" ht="24" customHeight="1" thickBot="1" x14ac:dyDescent="0.35">
      <c r="A6" s="82" t="s">
        <v>28</v>
      </c>
      <c r="B6" s="713">
        <v>2018</v>
      </c>
      <c r="C6" s="713">
        <v>2017</v>
      </c>
      <c r="D6" s="101" t="s">
        <v>29</v>
      </c>
      <c r="E6" s="101"/>
      <c r="F6" s="713">
        <v>2018</v>
      </c>
      <c r="G6" s="714">
        <v>2017</v>
      </c>
    </row>
    <row r="7" spans="1:9" ht="17.25" thickTop="1" x14ac:dyDescent="0.3">
      <c r="A7" s="47"/>
      <c r="B7" s="48"/>
      <c r="C7" s="48"/>
      <c r="D7" s="48"/>
      <c r="E7" s="48"/>
      <c r="F7" s="48"/>
      <c r="G7" s="49"/>
    </row>
    <row r="8" spans="1:9" x14ac:dyDescent="0.3">
      <c r="A8" s="50" t="s">
        <v>30</v>
      </c>
      <c r="B8" s="51"/>
      <c r="C8" s="51"/>
      <c r="D8" s="53" t="s">
        <v>31</v>
      </c>
      <c r="E8" s="53"/>
      <c r="F8" s="51"/>
      <c r="G8" s="54"/>
    </row>
    <row r="9" spans="1:9" x14ac:dyDescent="0.3">
      <c r="A9" s="55" t="s">
        <v>32</v>
      </c>
      <c r="B9" s="994">
        <v>6405981.4299999997</v>
      </c>
      <c r="C9" s="56">
        <v>7383067.2400000002</v>
      </c>
      <c r="D9" s="1052" t="s">
        <v>33</v>
      </c>
      <c r="E9" s="1052"/>
      <c r="F9" s="994">
        <v>523558.04</v>
      </c>
      <c r="G9" s="56">
        <v>113039.95</v>
      </c>
      <c r="H9" s="724"/>
      <c r="I9" s="724"/>
    </row>
    <row r="10" spans="1:9" x14ac:dyDescent="0.3">
      <c r="A10" s="55" t="s">
        <v>34</v>
      </c>
      <c r="B10" s="994">
        <v>33596074.149999999</v>
      </c>
      <c r="C10" s="56">
        <v>33859225.399999999</v>
      </c>
      <c r="D10" s="1052" t="s">
        <v>35</v>
      </c>
      <c r="E10" s="1052"/>
      <c r="F10" s="994"/>
      <c r="G10" s="56">
        <v>0</v>
      </c>
      <c r="I10" s="724"/>
    </row>
    <row r="11" spans="1:9" x14ac:dyDescent="0.3">
      <c r="A11" s="55" t="s">
        <v>36</v>
      </c>
      <c r="B11" s="994"/>
      <c r="C11" s="56">
        <v>0</v>
      </c>
      <c r="D11" s="1052" t="s">
        <v>37</v>
      </c>
      <c r="E11" s="1052"/>
      <c r="F11" s="994"/>
      <c r="G11" s="56">
        <v>0</v>
      </c>
      <c r="I11" s="724"/>
    </row>
    <row r="12" spans="1:9" x14ac:dyDescent="0.3">
      <c r="A12" s="55" t="s">
        <v>38</v>
      </c>
      <c r="B12" s="994"/>
      <c r="C12" s="56">
        <v>0</v>
      </c>
      <c r="D12" s="1052" t="s">
        <v>39</v>
      </c>
      <c r="E12" s="1052"/>
      <c r="F12" s="994"/>
      <c r="G12" s="56">
        <v>0</v>
      </c>
      <c r="I12" s="724"/>
    </row>
    <row r="13" spans="1:9" x14ac:dyDescent="0.3">
      <c r="A13" s="55" t="s">
        <v>40</v>
      </c>
      <c r="B13" s="994"/>
      <c r="C13" s="56">
        <v>0</v>
      </c>
      <c r="D13" s="1052" t="s">
        <v>41</v>
      </c>
      <c r="E13" s="1052"/>
      <c r="F13" s="994"/>
      <c r="G13" s="56">
        <v>0</v>
      </c>
      <c r="I13" s="724"/>
    </row>
    <row r="14" spans="1:9" ht="33" customHeight="1" x14ac:dyDescent="0.3">
      <c r="A14" s="445" t="s">
        <v>42</v>
      </c>
      <c r="B14" s="56">
        <v>-29829388.969999999</v>
      </c>
      <c r="C14" s="56">
        <v>-29829388.969999999</v>
      </c>
      <c r="D14" s="1052" t="s">
        <v>43</v>
      </c>
      <c r="E14" s="1052"/>
      <c r="F14" s="994"/>
      <c r="G14" s="56">
        <v>0</v>
      </c>
      <c r="I14" s="724"/>
    </row>
    <row r="15" spans="1:9" x14ac:dyDescent="0.3">
      <c r="A15" s="55" t="s">
        <v>44</v>
      </c>
      <c r="B15" s="995"/>
      <c r="C15" s="56"/>
      <c r="D15" s="1052" t="s">
        <v>45</v>
      </c>
      <c r="E15" s="1052"/>
      <c r="F15" s="994"/>
      <c r="G15" s="56">
        <v>0</v>
      </c>
      <c r="I15" s="724"/>
    </row>
    <row r="16" spans="1:9" x14ac:dyDescent="0.3">
      <c r="A16" s="60"/>
      <c r="B16" s="995"/>
      <c r="C16" s="56"/>
      <c r="D16" s="1052" t="s">
        <v>46</v>
      </c>
      <c r="E16" s="1052"/>
      <c r="F16" s="994">
        <v>541936.4</v>
      </c>
      <c r="G16" s="56">
        <v>532420.94999999995</v>
      </c>
      <c r="I16" s="724"/>
    </row>
    <row r="17" spans="1:9" x14ac:dyDescent="0.3">
      <c r="A17" s="60"/>
      <c r="B17" s="61"/>
      <c r="C17" s="61"/>
      <c r="D17" s="52"/>
      <c r="E17" s="52"/>
      <c r="F17" s="56"/>
      <c r="G17" s="58"/>
      <c r="I17" s="724"/>
    </row>
    <row r="18" spans="1:9" x14ac:dyDescent="0.3">
      <c r="A18" s="50" t="s">
        <v>47</v>
      </c>
      <c r="B18" s="909">
        <f>SUM(B9:B17)</f>
        <v>10172666.609999999</v>
      </c>
      <c r="C18" s="909">
        <f>SUM(C9:C17)</f>
        <v>11412903.670000002</v>
      </c>
      <c r="D18" s="910" t="s">
        <v>48</v>
      </c>
      <c r="E18" s="910"/>
      <c r="F18" s="909">
        <f>SUM(F9:F17)</f>
        <v>1065494.44</v>
      </c>
      <c r="G18" s="911">
        <f>SUM(G9:G17)</f>
        <v>645460.89999999991</v>
      </c>
      <c r="H18" s="724"/>
      <c r="I18" s="724"/>
    </row>
    <row r="19" spans="1:9" x14ac:dyDescent="0.3">
      <c r="A19" s="60"/>
      <c r="B19" s="62"/>
      <c r="C19" s="62"/>
      <c r="D19" s="63"/>
      <c r="E19" s="63"/>
      <c r="F19" s="62"/>
      <c r="G19" s="64"/>
      <c r="I19" s="724"/>
    </row>
    <row r="20" spans="1:9" x14ac:dyDescent="0.3">
      <c r="A20" s="50" t="s">
        <v>49</v>
      </c>
      <c r="B20" s="56"/>
      <c r="C20" s="56"/>
      <c r="D20" s="53" t="s">
        <v>50</v>
      </c>
      <c r="E20" s="53"/>
      <c r="F20" s="65"/>
      <c r="G20" s="66"/>
    </row>
    <row r="21" spans="1:9" x14ac:dyDescent="0.3">
      <c r="A21" s="55" t="s">
        <v>51</v>
      </c>
      <c r="B21" s="56">
        <v>0</v>
      </c>
      <c r="C21" s="56">
        <v>0</v>
      </c>
      <c r="D21" s="57" t="s">
        <v>52</v>
      </c>
      <c r="E21" s="57"/>
      <c r="F21" s="56">
        <v>0</v>
      </c>
      <c r="G21" s="58">
        <v>0</v>
      </c>
    </row>
    <row r="22" spans="1:9" x14ac:dyDescent="0.3">
      <c r="A22" s="59" t="s">
        <v>53</v>
      </c>
      <c r="B22" s="56">
        <v>0</v>
      </c>
      <c r="C22" s="56">
        <v>0</v>
      </c>
      <c r="D22" s="908" t="s">
        <v>54</v>
      </c>
      <c r="E22" s="908"/>
      <c r="F22" s="56">
        <v>0</v>
      </c>
      <c r="G22" s="58">
        <v>0</v>
      </c>
    </row>
    <row r="23" spans="1:9" ht="16.5" customHeight="1" x14ac:dyDescent="0.3">
      <c r="A23" s="444" t="s">
        <v>55</v>
      </c>
      <c r="B23" s="996">
        <v>18541158.350000001</v>
      </c>
      <c r="C23" s="56">
        <v>18541158.350000001</v>
      </c>
      <c r="D23" s="57" t="s">
        <v>56</v>
      </c>
      <c r="E23" s="57"/>
      <c r="F23" s="56">
        <v>0</v>
      </c>
      <c r="G23" s="58">
        <v>0</v>
      </c>
    </row>
    <row r="24" spans="1:9" ht="16.5" customHeight="1" x14ac:dyDescent="0.3">
      <c r="A24" s="55" t="s">
        <v>57</v>
      </c>
      <c r="B24" s="996">
        <v>24444045.93</v>
      </c>
      <c r="C24" s="56">
        <v>24420168.280000001</v>
      </c>
      <c r="D24" s="57" t="s">
        <v>58</v>
      </c>
      <c r="E24" s="57"/>
      <c r="F24" s="56">
        <v>0</v>
      </c>
      <c r="G24" s="58">
        <v>0</v>
      </c>
    </row>
    <row r="25" spans="1:9" ht="33" customHeight="1" x14ac:dyDescent="0.3">
      <c r="A25" s="446" t="s">
        <v>59</v>
      </c>
      <c r="B25" s="996">
        <v>1340671.75</v>
      </c>
      <c r="C25" s="56">
        <v>1340671.75</v>
      </c>
      <c r="D25" s="1052" t="s">
        <v>60</v>
      </c>
      <c r="E25" s="1052"/>
      <c r="F25" s="56">
        <v>0</v>
      </c>
      <c r="G25" s="58">
        <v>0</v>
      </c>
    </row>
    <row r="26" spans="1:9" x14ac:dyDescent="0.3">
      <c r="A26" s="59" t="s">
        <v>61</v>
      </c>
      <c r="B26" s="996">
        <v>-13724126.16</v>
      </c>
      <c r="C26" s="56">
        <v>-13724126.16</v>
      </c>
      <c r="D26" s="57" t="s">
        <v>62</v>
      </c>
      <c r="E26" s="57"/>
      <c r="F26" s="56">
        <v>0</v>
      </c>
      <c r="G26" s="58">
        <v>0</v>
      </c>
    </row>
    <row r="27" spans="1:9" x14ac:dyDescent="0.3">
      <c r="A27" s="55" t="s">
        <v>63</v>
      </c>
      <c r="B27" s="56">
        <v>0</v>
      </c>
      <c r="C27" s="56"/>
      <c r="D27" s="57"/>
      <c r="E27" s="57"/>
      <c r="F27" s="56"/>
      <c r="G27" s="58"/>
    </row>
    <row r="28" spans="1:9" x14ac:dyDescent="0.3">
      <c r="A28" s="59" t="s">
        <v>64</v>
      </c>
      <c r="B28" s="56">
        <v>0</v>
      </c>
      <c r="C28" s="56">
        <v>0</v>
      </c>
      <c r="D28" s="67"/>
      <c r="E28" s="67"/>
      <c r="F28" s="56"/>
      <c r="G28" s="58"/>
    </row>
    <row r="29" spans="1:9" x14ac:dyDescent="0.3">
      <c r="A29" s="55" t="s">
        <v>65</v>
      </c>
      <c r="B29" s="56">
        <v>0</v>
      </c>
      <c r="C29" s="56">
        <v>0</v>
      </c>
      <c r="D29" s="67"/>
      <c r="E29" s="67"/>
      <c r="F29" s="65"/>
      <c r="G29" s="66"/>
    </row>
    <row r="30" spans="1:9" x14ac:dyDescent="0.3">
      <c r="A30" s="68"/>
      <c r="B30" s="56"/>
      <c r="C30" s="56"/>
      <c r="D30" s="67"/>
      <c r="E30" s="67"/>
      <c r="F30" s="65"/>
      <c r="G30" s="66"/>
    </row>
    <row r="31" spans="1:9" x14ac:dyDescent="0.3">
      <c r="A31" s="50" t="s">
        <v>66</v>
      </c>
      <c r="B31" s="909">
        <f>SUM(B21:B29)</f>
        <v>30601749.870000001</v>
      </c>
      <c r="C31" s="909">
        <f>SUM(C21:C29)</f>
        <v>30577872.220000003</v>
      </c>
      <c r="D31" s="53" t="s">
        <v>67</v>
      </c>
      <c r="E31" s="53"/>
      <c r="F31" s="909">
        <f>SUM(F21:F29)</f>
        <v>0</v>
      </c>
      <c r="G31" s="911">
        <f>SUM(G21:G29)</f>
        <v>0</v>
      </c>
    </row>
    <row r="32" spans="1:9" x14ac:dyDescent="0.3">
      <c r="A32" s="68"/>
      <c r="B32" s="56"/>
      <c r="C32" s="56"/>
      <c r="D32" s="67"/>
      <c r="E32" s="67"/>
      <c r="F32" s="61"/>
      <c r="G32" s="69"/>
    </row>
    <row r="33" spans="1:9" x14ac:dyDescent="0.3">
      <c r="A33" s="50" t="s">
        <v>68</v>
      </c>
      <c r="B33" s="909">
        <f>B31+B18</f>
        <v>40774416.480000004</v>
      </c>
      <c r="C33" s="909">
        <f>C31+C18</f>
        <v>41990775.890000001</v>
      </c>
      <c r="D33" s="53" t="s">
        <v>69</v>
      </c>
      <c r="E33" s="53"/>
      <c r="F33" s="909">
        <f>F31+F18</f>
        <v>1065494.44</v>
      </c>
      <c r="G33" s="911">
        <f>G31+G18</f>
        <v>645460.89999999991</v>
      </c>
      <c r="H33" s="724"/>
    </row>
    <row r="34" spans="1:9" x14ac:dyDescent="0.3">
      <c r="A34" s="60"/>
      <c r="B34" s="70"/>
      <c r="C34" s="70"/>
      <c r="D34" s="67"/>
      <c r="E34" s="67"/>
      <c r="F34" s="65"/>
      <c r="G34" s="66"/>
    </row>
    <row r="35" spans="1:9" x14ac:dyDescent="0.3">
      <c r="A35" s="60"/>
      <c r="B35" s="56"/>
      <c r="C35" s="56"/>
      <c r="D35" s="71" t="s">
        <v>70</v>
      </c>
      <c r="E35" s="71"/>
      <c r="F35" s="61"/>
      <c r="G35" s="69"/>
      <c r="H35" s="724"/>
    </row>
    <row r="36" spans="1:9" x14ac:dyDescent="0.3">
      <c r="A36" s="60"/>
      <c r="B36" s="61"/>
      <c r="C36" s="61"/>
      <c r="D36" s="53" t="s">
        <v>71</v>
      </c>
      <c r="E36" s="53"/>
      <c r="F36" s="912">
        <f>SUM(F37:F39)</f>
        <v>4749917.68</v>
      </c>
      <c r="G36" s="913">
        <f>SUM(G37:G39)</f>
        <v>4749917.68</v>
      </c>
      <c r="H36" s="724"/>
    </row>
    <row r="37" spans="1:9" x14ac:dyDescent="0.3">
      <c r="A37" s="60"/>
      <c r="B37" s="61"/>
      <c r="C37" s="61"/>
      <c r="D37" s="57" t="s">
        <v>72</v>
      </c>
      <c r="E37" s="57"/>
      <c r="F37" s="56">
        <v>4749917.68</v>
      </c>
      <c r="G37" s="58">
        <v>4749917.68</v>
      </c>
      <c r="H37" s="724"/>
    </row>
    <row r="38" spans="1:9" x14ac:dyDescent="0.3">
      <c r="A38" s="60"/>
      <c r="B38" s="61"/>
      <c r="C38" s="61"/>
      <c r="D38" s="57" t="s">
        <v>73</v>
      </c>
      <c r="E38" s="57"/>
      <c r="F38" s="56">
        <v>0</v>
      </c>
      <c r="G38" s="58">
        <v>0</v>
      </c>
      <c r="H38" s="724"/>
    </row>
    <row r="39" spans="1:9" ht="33" x14ac:dyDescent="0.3">
      <c r="A39" s="60"/>
      <c r="B39" s="61"/>
      <c r="C39" s="61"/>
      <c r="D39" s="57" t="s">
        <v>74</v>
      </c>
      <c r="E39" s="57"/>
      <c r="F39" s="56">
        <v>0</v>
      </c>
      <c r="G39" s="58">
        <v>0</v>
      </c>
      <c r="H39" s="724"/>
    </row>
    <row r="40" spans="1:9" x14ac:dyDescent="0.3">
      <c r="A40" s="68"/>
      <c r="B40" s="62"/>
      <c r="C40" s="62"/>
      <c r="D40" s="53" t="s">
        <v>75</v>
      </c>
      <c r="E40" s="53"/>
      <c r="F40" s="912">
        <f>SUM(F41:F45)</f>
        <v>34959004.360000007</v>
      </c>
      <c r="G40" s="913">
        <f>SUM(G41:G45)</f>
        <v>36595397.340000004</v>
      </c>
      <c r="H40" s="724"/>
    </row>
    <row r="41" spans="1:9" x14ac:dyDescent="0.3">
      <c r="A41" s="68"/>
      <c r="B41" s="62"/>
      <c r="C41" s="62"/>
      <c r="D41" s="57" t="s">
        <v>76</v>
      </c>
      <c r="E41" s="57"/>
      <c r="F41" s="997">
        <v>-1612752.4</v>
      </c>
      <c r="G41" s="56">
        <v>3476299.32</v>
      </c>
      <c r="H41" s="724"/>
      <c r="I41" s="724"/>
    </row>
    <row r="42" spans="1:9" x14ac:dyDescent="0.3">
      <c r="A42" s="68"/>
      <c r="B42" s="62"/>
      <c r="C42" s="62"/>
      <c r="D42" s="57" t="s">
        <v>77</v>
      </c>
      <c r="E42" s="57"/>
      <c r="F42" s="997">
        <v>42058398.310000002</v>
      </c>
      <c r="G42" s="56">
        <v>38596099.020000003</v>
      </c>
      <c r="H42" s="724"/>
      <c r="I42" s="724"/>
    </row>
    <row r="43" spans="1:9" x14ac:dyDescent="0.3">
      <c r="A43" s="60"/>
      <c r="B43" s="61"/>
      <c r="C43" s="61"/>
      <c r="D43" s="57" t="s">
        <v>78</v>
      </c>
      <c r="E43" s="57"/>
      <c r="F43" s="997">
        <v>0</v>
      </c>
      <c r="G43" s="56">
        <v>0</v>
      </c>
      <c r="H43" s="724"/>
      <c r="I43" s="724"/>
    </row>
    <row r="44" spans="1:9" x14ac:dyDescent="0.3">
      <c r="A44" s="60"/>
      <c r="B44" s="61"/>
      <c r="C44" s="61"/>
      <c r="D44" s="57" t="s">
        <v>79</v>
      </c>
      <c r="E44" s="57"/>
      <c r="F44" s="997">
        <v>0</v>
      </c>
      <c r="G44" s="56">
        <v>0</v>
      </c>
      <c r="H44" s="724"/>
      <c r="I44" s="724"/>
    </row>
    <row r="45" spans="1:9" ht="33" x14ac:dyDescent="0.3">
      <c r="A45" s="60"/>
      <c r="B45" s="61"/>
      <c r="C45" s="61"/>
      <c r="D45" s="57" t="s">
        <v>80</v>
      </c>
      <c r="E45" s="57"/>
      <c r="F45" s="997">
        <v>-5486641.5499999998</v>
      </c>
      <c r="G45" s="56">
        <v>-5477001</v>
      </c>
      <c r="H45" s="724"/>
      <c r="I45" s="724"/>
    </row>
    <row r="46" spans="1:9" ht="33" x14ac:dyDescent="0.3">
      <c r="A46" s="60"/>
      <c r="B46" s="61"/>
      <c r="C46" s="61"/>
      <c r="D46" s="914" t="s">
        <v>81</v>
      </c>
      <c r="E46" s="914"/>
      <c r="F46" s="915">
        <f>SUM(F47:F48)</f>
        <v>0</v>
      </c>
      <c r="G46" s="916">
        <f>SUM(G47:G48)</f>
        <v>0</v>
      </c>
      <c r="I46" s="724"/>
    </row>
    <row r="47" spans="1:9" x14ac:dyDescent="0.3">
      <c r="A47" s="55"/>
      <c r="B47" s="61"/>
      <c r="C47" s="61"/>
      <c r="D47" s="57" t="s">
        <v>82</v>
      </c>
      <c r="E47" s="57"/>
      <c r="F47" s="56">
        <v>0</v>
      </c>
      <c r="G47" s="58">
        <v>0</v>
      </c>
    </row>
    <row r="48" spans="1:9" ht="33" x14ac:dyDescent="0.3">
      <c r="A48" s="72"/>
      <c r="B48" s="73"/>
      <c r="C48" s="73"/>
      <c r="D48" s="57" t="s">
        <v>83</v>
      </c>
      <c r="E48" s="57"/>
      <c r="F48" s="56">
        <v>0</v>
      </c>
      <c r="G48" s="58">
        <v>0</v>
      </c>
    </row>
    <row r="49" spans="1:8" x14ac:dyDescent="0.3">
      <c r="A49" s="60"/>
      <c r="B49" s="73"/>
      <c r="C49" s="73"/>
      <c r="D49" s="74"/>
      <c r="E49" s="74"/>
      <c r="F49" s="73"/>
      <c r="G49" s="917"/>
    </row>
    <row r="50" spans="1:8" x14ac:dyDescent="0.3">
      <c r="A50" s="55"/>
      <c r="B50" s="73"/>
      <c r="C50" s="73"/>
      <c r="D50" s="53" t="s">
        <v>84</v>
      </c>
      <c r="E50" s="53"/>
      <c r="F50" s="918">
        <f>F46+F40+F36</f>
        <v>39708922.040000007</v>
      </c>
      <c r="G50" s="919">
        <f>G46+G40+G36</f>
        <v>41345315.020000003</v>
      </c>
    </row>
    <row r="51" spans="1:8" x14ac:dyDescent="0.3">
      <c r="A51" s="72"/>
      <c r="B51" s="73"/>
      <c r="C51" s="73"/>
      <c r="D51" s="63"/>
      <c r="E51" s="63"/>
      <c r="F51" s="75"/>
      <c r="G51" s="76"/>
    </row>
    <row r="52" spans="1:8" ht="33" x14ac:dyDescent="0.3">
      <c r="A52" s="60"/>
      <c r="D52" s="53" t="s">
        <v>85</v>
      </c>
      <c r="E52" s="53"/>
      <c r="F52" s="918">
        <f>F50+F33</f>
        <v>40774416.480000004</v>
      </c>
      <c r="G52" s="919">
        <f>G50+G33</f>
        <v>41990775.920000002</v>
      </c>
      <c r="H52" s="620"/>
    </row>
    <row r="53" spans="1:8" ht="17.25" thickBot="1" x14ac:dyDescent="0.35">
      <c r="A53" s="77"/>
      <c r="B53" s="78"/>
      <c r="C53" s="78"/>
      <c r="D53" s="79"/>
      <c r="E53" s="79"/>
      <c r="F53" s="80"/>
      <c r="G53" s="81"/>
      <c r="H53" s="620"/>
    </row>
    <row r="54" spans="1:8" x14ac:dyDescent="0.3">
      <c r="A54" s="44" t="s">
        <v>86</v>
      </c>
      <c r="B54" s="419"/>
      <c r="C54" s="419"/>
      <c r="D54" s="46"/>
      <c r="E54" s="46"/>
      <c r="F54" s="420"/>
      <c r="G54" s="420"/>
      <c r="H54" s="620"/>
    </row>
    <row r="55" spans="1:8" x14ac:dyDescent="0.3">
      <c r="B55" s="419"/>
      <c r="C55" s="419"/>
      <c r="D55" s="46"/>
      <c r="E55" s="46"/>
      <c r="F55" s="420"/>
      <c r="G55" s="420"/>
      <c r="H55" s="620"/>
    </row>
    <row r="56" spans="1:8" x14ac:dyDescent="0.3">
      <c r="A56" s="46"/>
      <c r="B56" s="419"/>
      <c r="C56" s="419"/>
      <c r="D56" s="46"/>
      <c r="E56" s="46"/>
      <c r="F56" s="420"/>
      <c r="G56" s="420"/>
      <c r="H56" s="620"/>
    </row>
    <row r="57" spans="1:8" x14ac:dyDescent="0.3">
      <c r="A57" s="46"/>
      <c r="B57" s="419"/>
      <c r="C57" s="419"/>
      <c r="D57" s="46"/>
      <c r="E57" s="46"/>
      <c r="F57" s="420"/>
      <c r="G57" s="420"/>
      <c r="H57" s="620"/>
    </row>
    <row r="58" spans="1:8" x14ac:dyDescent="0.3">
      <c r="A58" s="46"/>
      <c r="B58" s="419"/>
      <c r="C58" s="419"/>
      <c r="D58" s="46"/>
      <c r="E58" s="46"/>
      <c r="F58" s="420"/>
      <c r="G58" s="420"/>
      <c r="H58" s="620"/>
    </row>
    <row r="61" spans="1:8" x14ac:dyDescent="0.3">
      <c r="C61" s="85" t="s">
        <v>87</v>
      </c>
    </row>
  </sheetData>
  <sheetProtection formatColumns="0" formatRows="0" insertHyperlinks="0"/>
  <mergeCells count="15"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8"/>
  <sheetViews>
    <sheetView view="pageBreakPreview" zoomScaleNormal="100" zoomScaleSheetLayoutView="100" workbookViewId="0">
      <selection activeCell="A2" sqref="A2:E2"/>
    </sheetView>
  </sheetViews>
  <sheetFormatPr baseColWidth="10" defaultColWidth="11.28515625" defaultRowHeight="16.5" x14ac:dyDescent="0.3"/>
  <cols>
    <col min="1" max="1" width="4.28515625" style="104" customWidth="1"/>
    <col min="2" max="2" width="41.7109375" style="86" customWidth="1"/>
    <col min="3" max="5" width="16.7109375" style="86" customWidth="1"/>
    <col min="6" max="16384" width="11.28515625" style="86"/>
  </cols>
  <sheetData>
    <row r="1" spans="1:7" x14ac:dyDescent="0.3">
      <c r="A1" s="1272" t="s">
        <v>25</v>
      </c>
      <c r="B1" s="1272"/>
      <c r="C1" s="1272"/>
      <c r="D1" s="1272"/>
      <c r="E1" s="1272"/>
    </row>
    <row r="2" spans="1:7" x14ac:dyDescent="0.3">
      <c r="A2" s="1276" t="s">
        <v>289</v>
      </c>
      <c r="B2" s="1276"/>
      <c r="C2" s="1276"/>
      <c r="D2" s="1276"/>
      <c r="E2" s="1276"/>
    </row>
    <row r="3" spans="1:7" x14ac:dyDescent="0.3">
      <c r="A3" s="1058" t="str">
        <f>'ETCA-I-01'!A3:G3</f>
        <v>Centro de Evaluacion y Control de Confianza del Estado de Sonora</v>
      </c>
      <c r="B3" s="1058"/>
      <c r="C3" s="1058"/>
      <c r="D3" s="1058"/>
      <c r="E3" s="1058"/>
      <c r="G3" s="297"/>
    </row>
    <row r="4" spans="1:7" x14ac:dyDescent="0.3">
      <c r="A4" s="1060" t="str">
        <f>'ETCA-I-03'!A4:D4</f>
        <v>Del 01 de Enero  al 31 de Marzo de 2018</v>
      </c>
      <c r="B4" s="1060"/>
      <c r="C4" s="1060"/>
      <c r="D4" s="1060"/>
      <c r="E4" s="1060"/>
    </row>
    <row r="5" spans="1:7" ht="17.25" thickBot="1" x14ac:dyDescent="0.35">
      <c r="A5" s="298"/>
      <c r="B5" s="1276" t="s">
        <v>886</v>
      </c>
      <c r="C5" s="1276"/>
      <c r="D5" s="45"/>
      <c r="E5" s="298"/>
    </row>
    <row r="6" spans="1:7" s="177" customFormat="1" ht="30" customHeight="1" x14ac:dyDescent="0.25">
      <c r="A6" s="1277" t="s">
        <v>887</v>
      </c>
      <c r="B6" s="1278"/>
      <c r="C6" s="299" t="s">
        <v>888</v>
      </c>
      <c r="D6" s="300" t="s">
        <v>889</v>
      </c>
      <c r="E6" s="301" t="s">
        <v>289</v>
      </c>
    </row>
    <row r="7" spans="1:7" s="177" customFormat="1" ht="30" customHeight="1" thickBot="1" x14ac:dyDescent="0.3">
      <c r="A7" s="1279"/>
      <c r="B7" s="1280"/>
      <c r="C7" s="302" t="s">
        <v>890</v>
      </c>
      <c r="D7" s="302" t="s">
        <v>891</v>
      </c>
      <c r="E7" s="303" t="s">
        <v>892</v>
      </c>
    </row>
    <row r="8" spans="1:7" s="177" customFormat="1" ht="21" customHeight="1" x14ac:dyDescent="0.25">
      <c r="A8" s="1281" t="s">
        <v>893</v>
      </c>
      <c r="B8" s="1282"/>
      <c r="C8" s="1282"/>
      <c r="D8" s="1282"/>
      <c r="E8" s="1283"/>
    </row>
    <row r="9" spans="1:7" s="177" customFormat="1" ht="20.25" customHeight="1" x14ac:dyDescent="0.25">
      <c r="A9" s="304">
        <v>1</v>
      </c>
      <c r="B9" s="305"/>
      <c r="C9" s="306"/>
      <c r="D9" s="307"/>
      <c r="E9" s="317" t="str">
        <f>IF(B9="","",C9-D9)</f>
        <v/>
      </c>
    </row>
    <row r="10" spans="1:7" s="177" customFormat="1" ht="20.25" customHeight="1" x14ac:dyDescent="0.25">
      <c r="A10" s="304">
        <v>2</v>
      </c>
      <c r="B10" s="305"/>
      <c r="C10" s="306"/>
      <c r="D10" s="307"/>
      <c r="E10" s="317" t="str">
        <f t="shared" ref="E10:E18" si="0">IF(B10="","",C10-D10)</f>
        <v/>
      </c>
    </row>
    <row r="11" spans="1:7" s="177" customFormat="1" ht="20.25" customHeight="1" x14ac:dyDescent="0.25">
      <c r="A11" s="304">
        <v>3</v>
      </c>
      <c r="B11" s="305"/>
      <c r="C11" s="306"/>
      <c r="D11" s="307"/>
      <c r="E11" s="317" t="str">
        <f t="shared" si="0"/>
        <v/>
      </c>
    </row>
    <row r="12" spans="1:7" s="177" customFormat="1" ht="20.25" customHeight="1" x14ac:dyDescent="0.25">
      <c r="A12" s="304">
        <v>4</v>
      </c>
      <c r="B12" s="305" t="s">
        <v>1237</v>
      </c>
      <c r="C12" s="306"/>
      <c r="D12" s="307"/>
      <c r="E12" s="317">
        <f t="shared" si="0"/>
        <v>0</v>
      </c>
    </row>
    <row r="13" spans="1:7" s="177" customFormat="1" ht="20.25" customHeight="1" x14ac:dyDescent="0.25">
      <c r="A13" s="304">
        <v>5</v>
      </c>
      <c r="B13" s="305"/>
      <c r="C13" s="306"/>
      <c r="D13" s="307"/>
      <c r="E13" s="317" t="str">
        <f t="shared" si="0"/>
        <v/>
      </c>
    </row>
    <row r="14" spans="1:7" s="177" customFormat="1" ht="20.25" customHeight="1" x14ac:dyDescent="0.25">
      <c r="A14" s="304">
        <v>6</v>
      </c>
      <c r="B14" s="305"/>
      <c r="C14" s="306"/>
      <c r="D14" s="307"/>
      <c r="E14" s="317" t="str">
        <f t="shared" si="0"/>
        <v/>
      </c>
    </row>
    <row r="15" spans="1:7" s="177" customFormat="1" ht="20.25" customHeight="1" x14ac:dyDescent="0.25">
      <c r="A15" s="304">
        <v>7</v>
      </c>
      <c r="B15" s="305"/>
      <c r="C15" s="306"/>
      <c r="D15" s="307" t="s">
        <v>1237</v>
      </c>
      <c r="E15" s="317" t="str">
        <f t="shared" si="0"/>
        <v/>
      </c>
    </row>
    <row r="16" spans="1:7" s="177" customFormat="1" ht="20.25" customHeight="1" x14ac:dyDescent="0.25">
      <c r="A16" s="304">
        <v>8</v>
      </c>
      <c r="B16" s="305"/>
      <c r="C16" s="306"/>
      <c r="D16" s="307"/>
      <c r="E16" s="317" t="str">
        <f t="shared" si="0"/>
        <v/>
      </c>
    </row>
    <row r="17" spans="1:5" s="177" customFormat="1" ht="20.25" customHeight="1" x14ac:dyDescent="0.25">
      <c r="A17" s="304">
        <v>9</v>
      </c>
      <c r="B17" s="305"/>
      <c r="C17" s="306"/>
      <c r="D17" s="307"/>
      <c r="E17" s="317" t="str">
        <f t="shared" si="0"/>
        <v/>
      </c>
    </row>
    <row r="18" spans="1:5" s="177" customFormat="1" ht="20.25" customHeight="1" x14ac:dyDescent="0.25">
      <c r="A18" s="304">
        <v>10</v>
      </c>
      <c r="B18" s="305"/>
      <c r="C18" s="306"/>
      <c r="D18" s="307"/>
      <c r="E18" s="317" t="str">
        <f t="shared" si="0"/>
        <v/>
      </c>
    </row>
    <row r="19" spans="1:5" s="177" customFormat="1" ht="20.25" customHeight="1" x14ac:dyDescent="0.25">
      <c r="A19" s="304"/>
      <c r="B19" s="309" t="s">
        <v>894</v>
      </c>
      <c r="C19" s="315">
        <f>SUM(C9:C18)</f>
        <v>0</v>
      </c>
      <c r="D19" s="316">
        <f>SUM(D9:D18)</f>
        <v>0</v>
      </c>
      <c r="E19" s="317">
        <f>SUM(E9:E18)</f>
        <v>0</v>
      </c>
    </row>
    <row r="20" spans="1:5" s="177" customFormat="1" ht="21" customHeight="1" x14ac:dyDescent="0.25">
      <c r="A20" s="1273" t="s">
        <v>895</v>
      </c>
      <c r="B20" s="1274"/>
      <c r="C20" s="1274"/>
      <c r="D20" s="1274"/>
      <c r="E20" s="1275"/>
    </row>
    <row r="21" spans="1:5" s="177" customFormat="1" ht="20.25" customHeight="1" x14ac:dyDescent="0.25">
      <c r="A21" s="304">
        <v>1</v>
      </c>
      <c r="B21" s="305"/>
      <c r="C21" s="306"/>
      <c r="D21" s="307"/>
      <c r="E21" s="317" t="str">
        <f>IF(B21="","",C21-D21)</f>
        <v/>
      </c>
    </row>
    <row r="22" spans="1:5" s="177" customFormat="1" ht="20.25" customHeight="1" x14ac:dyDescent="0.25">
      <c r="A22" s="304">
        <v>2</v>
      </c>
      <c r="B22" s="305"/>
      <c r="C22" s="306"/>
      <c r="D22" s="307"/>
      <c r="E22" s="317" t="str">
        <f t="shared" ref="E22:E30" si="1">IF(B22="","",C22-D22)</f>
        <v/>
      </c>
    </row>
    <row r="23" spans="1:5" s="177" customFormat="1" ht="20.25" customHeight="1" x14ac:dyDescent="0.25">
      <c r="A23" s="304">
        <v>3</v>
      </c>
      <c r="B23" s="305"/>
      <c r="C23" s="306"/>
      <c r="D23" s="307"/>
      <c r="E23" s="317" t="str">
        <f t="shared" si="1"/>
        <v/>
      </c>
    </row>
    <row r="24" spans="1:5" s="177" customFormat="1" ht="20.25" customHeight="1" x14ac:dyDescent="0.25">
      <c r="A24" s="304">
        <v>4</v>
      </c>
      <c r="B24" s="305"/>
      <c r="C24" s="306"/>
      <c r="D24" s="307"/>
      <c r="E24" s="317" t="str">
        <f t="shared" si="1"/>
        <v/>
      </c>
    </row>
    <row r="25" spans="1:5" s="177" customFormat="1" ht="20.25" customHeight="1" x14ac:dyDescent="0.25">
      <c r="A25" s="304">
        <v>5</v>
      </c>
      <c r="B25" s="305"/>
      <c r="C25" s="306"/>
      <c r="D25" s="307"/>
      <c r="E25" s="317" t="str">
        <f t="shared" si="1"/>
        <v/>
      </c>
    </row>
    <row r="26" spans="1:5" s="177" customFormat="1" ht="20.25" customHeight="1" x14ac:dyDescent="0.25">
      <c r="A26" s="304">
        <v>6</v>
      </c>
      <c r="B26" s="357" t="s">
        <v>1237</v>
      </c>
      <c r="C26" s="306"/>
      <c r="D26" s="307"/>
      <c r="E26" s="317">
        <f t="shared" si="1"/>
        <v>0</v>
      </c>
    </row>
    <row r="27" spans="1:5" s="177" customFormat="1" ht="20.25" customHeight="1" x14ac:dyDescent="0.25">
      <c r="A27" s="304">
        <v>7</v>
      </c>
      <c r="B27" s="305"/>
      <c r="C27" s="306"/>
      <c r="D27" s="357" t="s">
        <v>1237</v>
      </c>
      <c r="E27" s="317" t="str">
        <f t="shared" si="1"/>
        <v/>
      </c>
    </row>
    <row r="28" spans="1:5" s="177" customFormat="1" ht="20.25" customHeight="1" x14ac:dyDescent="0.25">
      <c r="A28" s="304">
        <v>8</v>
      </c>
      <c r="B28" s="305"/>
      <c r="C28" s="306"/>
      <c r="D28" s="307"/>
      <c r="E28" s="317" t="str">
        <f>IF(B28="","",C28-D29)</f>
        <v/>
      </c>
    </row>
    <row r="29" spans="1:5" s="177" customFormat="1" ht="20.25" customHeight="1" x14ac:dyDescent="0.25">
      <c r="A29" s="304">
        <v>9</v>
      </c>
      <c r="B29" s="305"/>
      <c r="C29" s="306"/>
      <c r="D29" s="307"/>
      <c r="E29" s="317" t="str">
        <f>IF(B29="","",C29-#REF!)</f>
        <v/>
      </c>
    </row>
    <row r="30" spans="1:5" s="177" customFormat="1" ht="20.25" customHeight="1" x14ac:dyDescent="0.25">
      <c r="A30" s="304">
        <v>10</v>
      </c>
      <c r="B30" s="305"/>
      <c r="C30" s="306"/>
      <c r="D30" s="307"/>
      <c r="E30" s="317" t="str">
        <f t="shared" si="1"/>
        <v/>
      </c>
    </row>
    <row r="31" spans="1:5" s="311" customFormat="1" ht="39.950000000000003" customHeight="1" thickBot="1" x14ac:dyDescent="0.35">
      <c r="A31" s="304"/>
      <c r="B31" s="310" t="s">
        <v>896</v>
      </c>
      <c r="C31" s="315">
        <f>SUM(C21:C30)</f>
        <v>0</v>
      </c>
      <c r="D31" s="316">
        <f>SUM(D21:D30)</f>
        <v>0</v>
      </c>
      <c r="E31" s="317">
        <f>SUM(E21:E30)</f>
        <v>0</v>
      </c>
    </row>
    <row r="32" spans="1:5" ht="30" customHeight="1" thickBot="1" x14ac:dyDescent="0.35">
      <c r="A32" s="312"/>
      <c r="B32" s="313" t="s">
        <v>897</v>
      </c>
      <c r="C32" s="318">
        <f>SUM(C19,C31)</f>
        <v>0</v>
      </c>
      <c r="D32" s="318">
        <f>SUM(D19,D31)</f>
        <v>0</v>
      </c>
      <c r="E32" s="319">
        <f>SUM(E19,E31)</f>
        <v>0</v>
      </c>
    </row>
    <row r="33" spans="1:10" ht="17.100000000000001" customHeight="1" x14ac:dyDescent="0.3">
      <c r="A33" s="410" t="s">
        <v>86</v>
      </c>
    </row>
    <row r="34" spans="1:10" ht="17.100000000000001" customHeight="1" x14ac:dyDescent="0.3">
      <c r="A34" s="435"/>
      <c r="B34" s="436"/>
      <c r="C34" s="437"/>
      <c r="D34" s="437"/>
      <c r="E34" s="437"/>
    </row>
    <row r="35" spans="1:10" ht="17.100000000000001" customHeight="1" x14ac:dyDescent="0.3">
      <c r="A35" s="435"/>
      <c r="B35" s="436"/>
      <c r="C35" s="437"/>
      <c r="D35" s="437"/>
      <c r="E35" s="437"/>
    </row>
    <row r="36" spans="1:10" ht="17.100000000000001" customHeight="1" x14ac:dyDescent="0.3">
      <c r="A36" s="435"/>
      <c r="B36" s="436"/>
      <c r="C36" s="437"/>
      <c r="D36" s="437"/>
      <c r="E36" s="437"/>
    </row>
    <row r="37" spans="1:10" ht="17.100000000000001" customHeight="1" x14ac:dyDescent="0.3">
      <c r="A37" s="435"/>
      <c r="B37" s="436"/>
      <c r="C37" s="437"/>
      <c r="D37" s="437"/>
      <c r="E37" s="437"/>
    </row>
    <row r="38" spans="1:10" ht="17.100000000000001" customHeight="1" x14ac:dyDescent="0.3">
      <c r="A38" s="44" t="s">
        <v>258</v>
      </c>
      <c r="J38" s="314"/>
    </row>
  </sheetData>
  <sheetProtection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8"/>
  <sheetViews>
    <sheetView view="pageBreakPreview" topLeftCell="A9" zoomScale="90" zoomScaleNormal="100" zoomScaleSheetLayoutView="90" workbookViewId="0">
      <selection activeCell="F15" sqref="F15"/>
    </sheetView>
  </sheetViews>
  <sheetFormatPr baseColWidth="10" defaultColWidth="11.28515625" defaultRowHeight="16.5" x14ac:dyDescent="0.3"/>
  <cols>
    <col min="1" max="1" width="4.85546875" style="104" customWidth="1"/>
    <col min="2" max="2" width="41" style="86" customWidth="1"/>
    <col min="3" max="4" width="25.7109375" style="86" customWidth="1"/>
    <col min="5" max="16384" width="11.28515625" style="86"/>
  </cols>
  <sheetData>
    <row r="1" spans="1:6" x14ac:dyDescent="0.3">
      <c r="A1" s="320"/>
      <c r="B1" s="1272" t="s">
        <v>25</v>
      </c>
      <c r="C1" s="1272"/>
      <c r="D1" s="1272"/>
    </row>
    <row r="2" spans="1:6" x14ac:dyDescent="0.3">
      <c r="A2" s="86"/>
      <c r="B2" s="1276" t="s">
        <v>898</v>
      </c>
      <c r="C2" s="1276"/>
      <c r="D2" s="1276"/>
      <c r="F2" s="297"/>
    </row>
    <row r="3" spans="1:6" x14ac:dyDescent="0.3">
      <c r="B3" s="1058" t="str">
        <f>'ETCA-I-01'!A3</f>
        <v>Centro de Evaluacion y Control de Confianza del Estado de Sonora</v>
      </c>
      <c r="C3" s="1058"/>
      <c r="D3" s="1058"/>
    </row>
    <row r="4" spans="1:6" x14ac:dyDescent="0.3">
      <c r="B4" s="1060" t="str">
        <f>'ETCA-I-03'!A4</f>
        <v>Del 01 de Enero  al 31 de Marzo de 2018</v>
      </c>
      <c r="C4" s="1060"/>
      <c r="D4" s="1060"/>
    </row>
    <row r="5" spans="1:6" x14ac:dyDescent="0.3">
      <c r="A5" s="664"/>
      <c r="B5" s="1284" t="s">
        <v>899</v>
      </c>
      <c r="C5" s="1284"/>
      <c r="D5" s="220"/>
    </row>
    <row r="6" spans="1:6" ht="6.75" customHeight="1" thickBot="1" x14ac:dyDescent="0.35"/>
    <row r="7" spans="1:6" s="177" customFormat="1" ht="27.95" customHeight="1" x14ac:dyDescent="0.25">
      <c r="A7" s="1277" t="s">
        <v>887</v>
      </c>
      <c r="B7" s="1278"/>
      <c r="C7" s="1285" t="s">
        <v>481</v>
      </c>
      <c r="D7" s="1287" t="s">
        <v>730</v>
      </c>
    </row>
    <row r="8" spans="1:6" s="177" customFormat="1" ht="4.5" customHeight="1" thickBot="1" x14ac:dyDescent="0.3">
      <c r="A8" s="1279"/>
      <c r="B8" s="1280"/>
      <c r="C8" s="1286"/>
      <c r="D8" s="1288"/>
    </row>
    <row r="9" spans="1:6" s="177" customFormat="1" ht="21" customHeight="1" x14ac:dyDescent="0.25">
      <c r="A9" s="1281" t="s">
        <v>893</v>
      </c>
      <c r="B9" s="1282"/>
      <c r="C9" s="1282"/>
      <c r="D9" s="1283"/>
    </row>
    <row r="10" spans="1:6" s="177" customFormat="1" ht="18" customHeight="1" x14ac:dyDescent="0.25">
      <c r="A10" s="304">
        <v>1</v>
      </c>
      <c r="B10" s="305"/>
      <c r="C10" s="321"/>
      <c r="D10" s="322"/>
    </row>
    <row r="11" spans="1:6" s="177" customFormat="1" ht="18" customHeight="1" x14ac:dyDescent="0.25">
      <c r="A11" s="304">
        <v>2</v>
      </c>
      <c r="B11" s="305"/>
      <c r="C11" s="321"/>
      <c r="D11" s="322"/>
    </row>
    <row r="12" spans="1:6" s="177" customFormat="1" ht="18" customHeight="1" x14ac:dyDescent="0.25">
      <c r="A12" s="304">
        <v>3</v>
      </c>
      <c r="B12" s="305"/>
      <c r="C12" s="321"/>
      <c r="D12" s="322"/>
    </row>
    <row r="13" spans="1:6" s="177" customFormat="1" ht="18" customHeight="1" x14ac:dyDescent="0.25">
      <c r="A13" s="304">
        <v>4</v>
      </c>
      <c r="B13" s="305" t="s">
        <v>1237</v>
      </c>
      <c r="C13" s="321"/>
      <c r="D13" s="322"/>
    </row>
    <row r="14" spans="1:6" s="177" customFormat="1" ht="18" customHeight="1" x14ac:dyDescent="0.25">
      <c r="A14" s="304">
        <v>5</v>
      </c>
      <c r="B14" s="305"/>
      <c r="C14" s="321"/>
      <c r="D14" s="322"/>
    </row>
    <row r="15" spans="1:6" s="177" customFormat="1" ht="18" customHeight="1" x14ac:dyDescent="0.25">
      <c r="A15" s="304">
        <v>6</v>
      </c>
      <c r="B15" s="305"/>
      <c r="C15" s="321"/>
      <c r="D15" s="322"/>
    </row>
    <row r="16" spans="1:6" s="177" customFormat="1" ht="18" customHeight="1" x14ac:dyDescent="0.25">
      <c r="A16" s="304">
        <v>7</v>
      </c>
      <c r="B16" s="305"/>
      <c r="C16" s="321" t="s">
        <v>1237</v>
      </c>
      <c r="D16" s="322"/>
    </row>
    <row r="17" spans="1:4" s="177" customFormat="1" ht="18" customHeight="1" x14ac:dyDescent="0.25">
      <c r="A17" s="304">
        <v>8</v>
      </c>
      <c r="B17" s="305"/>
      <c r="C17" s="321"/>
      <c r="D17" s="322"/>
    </row>
    <row r="18" spans="1:4" s="177" customFormat="1" ht="18" customHeight="1" x14ac:dyDescent="0.25">
      <c r="A18" s="304">
        <v>9</v>
      </c>
      <c r="B18" s="305"/>
      <c r="C18" s="321"/>
      <c r="D18" s="322"/>
    </row>
    <row r="19" spans="1:4" s="177" customFormat="1" ht="18" customHeight="1" x14ac:dyDescent="0.25">
      <c r="A19" s="304">
        <v>10</v>
      </c>
      <c r="B19" s="305"/>
      <c r="C19" s="321"/>
      <c r="D19" s="322"/>
    </row>
    <row r="20" spans="1:4" s="177" customFormat="1" ht="18" customHeight="1" x14ac:dyDescent="0.25">
      <c r="A20" s="304"/>
      <c r="B20" s="309" t="s">
        <v>900</v>
      </c>
      <c r="C20" s="315">
        <f>SUM(C10:C19)</f>
        <v>0</v>
      </c>
      <c r="D20" s="317">
        <f>SUM(D10:D19)</f>
        <v>0</v>
      </c>
    </row>
    <row r="21" spans="1:4" s="177" customFormat="1" ht="21" customHeight="1" x14ac:dyDescent="0.25">
      <c r="A21" s="1273" t="s">
        <v>895</v>
      </c>
      <c r="B21" s="1274"/>
      <c r="C21" s="1274"/>
      <c r="D21" s="1275"/>
    </row>
    <row r="22" spans="1:4" s="177" customFormat="1" ht="18" customHeight="1" x14ac:dyDescent="0.25">
      <c r="A22" s="304">
        <v>1</v>
      </c>
      <c r="B22" s="305"/>
      <c r="C22" s="321"/>
      <c r="D22" s="322"/>
    </row>
    <row r="23" spans="1:4" s="177" customFormat="1" ht="18" customHeight="1" x14ac:dyDescent="0.25">
      <c r="A23" s="304">
        <v>2</v>
      </c>
      <c r="B23" s="305"/>
      <c r="C23" s="321"/>
      <c r="D23" s="322"/>
    </row>
    <row r="24" spans="1:4" s="177" customFormat="1" ht="18" customHeight="1" x14ac:dyDescent="0.25">
      <c r="A24" s="304">
        <v>3</v>
      </c>
      <c r="B24" s="305"/>
      <c r="C24" s="321"/>
      <c r="D24" s="322"/>
    </row>
    <row r="25" spans="1:4" s="177" customFormat="1" ht="18" customHeight="1" x14ac:dyDescent="0.25">
      <c r="A25" s="304">
        <v>4</v>
      </c>
      <c r="B25" s="305"/>
      <c r="C25" s="321"/>
      <c r="D25" s="322"/>
    </row>
    <row r="26" spans="1:4" s="177" customFormat="1" ht="18" customHeight="1" x14ac:dyDescent="0.25">
      <c r="A26" s="304">
        <v>5</v>
      </c>
      <c r="B26" s="305"/>
      <c r="C26" s="321"/>
      <c r="D26" s="322"/>
    </row>
    <row r="27" spans="1:4" s="177" customFormat="1" ht="18" customHeight="1" x14ac:dyDescent="0.25">
      <c r="A27" s="304">
        <v>6</v>
      </c>
      <c r="B27" s="305" t="s">
        <v>1237</v>
      </c>
      <c r="C27" s="321"/>
      <c r="D27" s="322" t="s">
        <v>1237</v>
      </c>
    </row>
    <row r="28" spans="1:4" s="177" customFormat="1" ht="18" customHeight="1" x14ac:dyDescent="0.25">
      <c r="A28" s="304">
        <v>7</v>
      </c>
      <c r="B28" s="305"/>
      <c r="C28" s="321"/>
      <c r="D28" s="322"/>
    </row>
    <row r="29" spans="1:4" s="177" customFormat="1" ht="18" customHeight="1" x14ac:dyDescent="0.25">
      <c r="A29" s="304">
        <v>8</v>
      </c>
      <c r="B29" s="305"/>
      <c r="C29" s="321"/>
      <c r="D29" s="322"/>
    </row>
    <row r="30" spans="1:4" s="177" customFormat="1" ht="18" customHeight="1" x14ac:dyDescent="0.25">
      <c r="A30" s="304">
        <v>9</v>
      </c>
      <c r="B30" s="305"/>
      <c r="C30" s="321"/>
      <c r="D30" s="322"/>
    </row>
    <row r="31" spans="1:4" s="177" customFormat="1" ht="18" customHeight="1" x14ac:dyDescent="0.25">
      <c r="A31" s="304">
        <v>10</v>
      </c>
      <c r="B31" s="305"/>
      <c r="C31" s="321" t="s">
        <v>258</v>
      </c>
      <c r="D31" s="322"/>
    </row>
    <row r="32" spans="1:4" s="311" customFormat="1" ht="18" customHeight="1" thickBot="1" x14ac:dyDescent="0.35">
      <c r="A32" s="304"/>
      <c r="B32" s="310" t="s">
        <v>901</v>
      </c>
      <c r="C32" s="315">
        <f>SUM(C22:C31)</f>
        <v>0</v>
      </c>
      <c r="D32" s="317">
        <f>SUM(D22:D31)</f>
        <v>0</v>
      </c>
    </row>
    <row r="33" spans="1:9" ht="27.95" customHeight="1" thickBot="1" x14ac:dyDescent="0.35">
      <c r="A33" s="312"/>
      <c r="B33" s="313" t="s">
        <v>897</v>
      </c>
      <c r="C33" s="318">
        <f>SUM(C32,C20)</f>
        <v>0</v>
      </c>
      <c r="D33" s="323">
        <f>SUM(D32,D20)</f>
        <v>0</v>
      </c>
    </row>
    <row r="34" spans="1:9" s="438" customFormat="1" ht="18" customHeight="1" x14ac:dyDescent="0.3">
      <c r="A34" s="410" t="s">
        <v>86</v>
      </c>
      <c r="B34" s="86"/>
      <c r="C34" s="86"/>
      <c r="D34" s="86"/>
      <c r="E34" s="86"/>
    </row>
    <row r="35" spans="1:9" s="438" customFormat="1" ht="18" customHeight="1" x14ac:dyDescent="0.3">
      <c r="A35" s="44"/>
      <c r="B35" s="86"/>
      <c r="C35" s="86"/>
      <c r="D35" s="86"/>
      <c r="E35" s="86"/>
    </row>
    <row r="36" spans="1:9" s="438" customFormat="1" ht="18" customHeight="1" x14ac:dyDescent="0.3">
      <c r="A36" s="44"/>
      <c r="B36" s="86"/>
      <c r="C36" s="86"/>
      <c r="D36" s="86"/>
      <c r="E36" s="86"/>
    </row>
    <row r="37" spans="1:9" s="439" customFormat="1" ht="17.100000000000001" customHeight="1" x14ac:dyDescent="0.3">
      <c r="A37" s="435"/>
      <c r="B37" s="436"/>
      <c r="C37" s="437"/>
      <c r="D37" s="437"/>
    </row>
    <row r="38" spans="1:9" ht="17.100000000000001" customHeight="1" x14ac:dyDescent="0.3">
      <c r="A38" s="44"/>
      <c r="I38" s="314"/>
    </row>
  </sheetData>
  <sheetProtection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5"/>
  <sheetViews>
    <sheetView view="pageBreakPreview" topLeftCell="A4" zoomScaleNormal="100" zoomScaleSheetLayoutView="100" workbookViewId="0">
      <selection activeCell="N29" sqref="N29"/>
    </sheetView>
  </sheetViews>
  <sheetFormatPr baseColWidth="10" defaultColWidth="11.28515625" defaultRowHeight="15" x14ac:dyDescent="0.25"/>
  <cols>
    <col min="1" max="1" width="47.7109375" style="873" bestFit="1" customWidth="1"/>
    <col min="2" max="2" width="11.28515625" style="874"/>
    <col min="3" max="3" width="12.28515625" style="874" customWidth="1"/>
    <col min="4" max="7" width="11.28515625" style="874"/>
    <col min="8" max="16384" width="11.28515625" style="324"/>
  </cols>
  <sheetData>
    <row r="1" spans="1:7" ht="16.5" customHeight="1" x14ac:dyDescent="0.25">
      <c r="A1" s="1289" t="s">
        <v>25</v>
      </c>
      <c r="B1" s="1289"/>
      <c r="C1" s="1289"/>
      <c r="D1" s="1289"/>
      <c r="E1" s="1289"/>
      <c r="F1" s="1289"/>
      <c r="G1" s="1289"/>
    </row>
    <row r="2" spans="1:7" ht="16.5" customHeight="1" x14ac:dyDescent="0.25">
      <c r="A2" s="1289" t="s">
        <v>902</v>
      </c>
      <c r="B2" s="1289"/>
      <c r="C2" s="1289"/>
      <c r="D2" s="1289"/>
      <c r="E2" s="1289"/>
      <c r="F2" s="1289"/>
      <c r="G2" s="1289"/>
    </row>
    <row r="3" spans="1:7" ht="15.75" x14ac:dyDescent="0.25">
      <c r="A3" s="1291" t="str">
        <f>'ETCA-I-01'!A3:G3</f>
        <v>Centro de Evaluacion y Control de Confianza del Estado de Sonora</v>
      </c>
      <c r="B3" s="1291"/>
      <c r="C3" s="1291"/>
      <c r="D3" s="1291"/>
      <c r="E3" s="1291"/>
      <c r="F3" s="1291"/>
      <c r="G3" s="1291"/>
    </row>
    <row r="4" spans="1:7" ht="16.5" x14ac:dyDescent="0.25">
      <c r="A4" s="1290" t="str">
        <f>'ETCA-I-03'!A4:D4</f>
        <v>Del 01 de Enero  al 31 de Marzo de 2018</v>
      </c>
      <c r="B4" s="1290"/>
      <c r="C4" s="1290"/>
      <c r="D4" s="1290"/>
      <c r="E4" s="1290"/>
      <c r="F4" s="1290"/>
      <c r="G4" s="1290"/>
    </row>
    <row r="5" spans="1:7" ht="17.25" thickBot="1" x14ac:dyDescent="0.3">
      <c r="A5" s="325"/>
      <c r="B5" s="1292" t="s">
        <v>903</v>
      </c>
      <c r="C5" s="1292"/>
      <c r="D5" s="1292"/>
      <c r="E5" s="143"/>
      <c r="F5" s="45"/>
      <c r="G5" s="861"/>
    </row>
    <row r="6" spans="1:7" ht="38.25" x14ac:dyDescent="0.25">
      <c r="A6" s="1214" t="s">
        <v>261</v>
      </c>
      <c r="B6" s="175" t="s">
        <v>569</v>
      </c>
      <c r="C6" s="175" t="s">
        <v>479</v>
      </c>
      <c r="D6" s="175" t="s">
        <v>570</v>
      </c>
      <c r="E6" s="175" t="s">
        <v>904</v>
      </c>
      <c r="F6" s="175" t="s">
        <v>905</v>
      </c>
      <c r="G6" s="175" t="s">
        <v>573</v>
      </c>
    </row>
    <row r="7" spans="1:7" ht="15.75" thickBot="1" x14ac:dyDescent="0.3">
      <c r="A7" s="1215"/>
      <c r="B7" s="270" t="s">
        <v>444</v>
      </c>
      <c r="C7" s="270" t="s">
        <v>445</v>
      </c>
      <c r="D7" s="270" t="s">
        <v>574</v>
      </c>
      <c r="E7" s="270" t="s">
        <v>447</v>
      </c>
      <c r="F7" s="270" t="s">
        <v>448</v>
      </c>
      <c r="G7" s="270" t="s">
        <v>575</v>
      </c>
    </row>
    <row r="8" spans="1:7" ht="16.5" x14ac:dyDescent="0.25">
      <c r="A8" s="292"/>
      <c r="B8" s="862"/>
      <c r="C8" s="862"/>
      <c r="D8" s="862"/>
      <c r="E8" s="862"/>
      <c r="F8" s="862"/>
      <c r="G8" s="862"/>
    </row>
    <row r="9" spans="1:7" s="326" customFormat="1" x14ac:dyDescent="0.25">
      <c r="A9" s="863" t="s">
        <v>906</v>
      </c>
      <c r="B9" s="864"/>
      <c r="C9" s="864"/>
      <c r="D9" s="864"/>
      <c r="E9" s="864"/>
      <c r="F9" s="864"/>
      <c r="G9" s="864"/>
    </row>
    <row r="10" spans="1:7" s="327" customFormat="1" x14ac:dyDescent="0.25">
      <c r="A10" s="865" t="s">
        <v>907</v>
      </c>
      <c r="B10" s="870">
        <f>B11+B12+B13</f>
        <v>0</v>
      </c>
      <c r="C10" s="870">
        <f>C11+C12+C13</f>
        <v>0</v>
      </c>
      <c r="D10" s="870">
        <f>SUM(D11:D13)</f>
        <v>0</v>
      </c>
      <c r="E10" s="870">
        <f>E11+E12+E13</f>
        <v>0</v>
      </c>
      <c r="F10" s="870">
        <f>F11+F12+F13</f>
        <v>0</v>
      </c>
      <c r="G10" s="870">
        <f>SUM(G11:G13)</f>
        <v>0</v>
      </c>
    </row>
    <row r="11" spans="1:7" s="328" customFormat="1" x14ac:dyDescent="0.25">
      <c r="A11" s="867" t="s">
        <v>908</v>
      </c>
      <c r="B11" s="737"/>
      <c r="C11" s="737"/>
      <c r="D11" s="738"/>
      <c r="E11" s="737"/>
      <c r="F11" s="737"/>
      <c r="G11" s="738">
        <f>D11-E11</f>
        <v>0</v>
      </c>
    </row>
    <row r="12" spans="1:7" s="328" customFormat="1" x14ac:dyDescent="0.25">
      <c r="A12" s="867" t="s">
        <v>909</v>
      </c>
      <c r="B12" s="868"/>
      <c r="C12" s="868"/>
      <c r="D12" s="869">
        <f>B12+C12</f>
        <v>0</v>
      </c>
      <c r="E12" s="868"/>
      <c r="F12" s="868"/>
      <c r="G12" s="869">
        <f>D12-E12</f>
        <v>0</v>
      </c>
    </row>
    <row r="13" spans="1:7" s="328" customFormat="1" x14ac:dyDescent="0.25">
      <c r="A13" s="867" t="s">
        <v>910</v>
      </c>
      <c r="B13" s="868"/>
      <c r="C13" s="868"/>
      <c r="D13" s="869">
        <f>B13+C13</f>
        <v>0</v>
      </c>
      <c r="E13" s="868"/>
      <c r="F13" s="868"/>
      <c r="G13" s="869">
        <f>D13-E13</f>
        <v>0</v>
      </c>
    </row>
    <row r="14" spans="1:7" s="327" customFormat="1" x14ac:dyDescent="0.25">
      <c r="A14" s="865" t="s">
        <v>911</v>
      </c>
      <c r="B14" s="870">
        <f>B15</f>
        <v>55323720.010000005</v>
      </c>
      <c r="C14" s="870">
        <f>C15</f>
        <v>6777868.4500000002</v>
      </c>
      <c r="D14" s="870">
        <f>SUM(B14:C14)</f>
        <v>62101588.460000008</v>
      </c>
      <c r="E14" s="870">
        <f>E15</f>
        <v>12515447.07</v>
      </c>
      <c r="F14" s="870">
        <f t="shared" ref="F14:G14" si="0">SUM(F15:F22)</f>
        <v>12002988.420000002</v>
      </c>
      <c r="G14" s="870">
        <f t="shared" si="0"/>
        <v>-49586141.390000008</v>
      </c>
    </row>
    <row r="15" spans="1:7" s="328" customFormat="1" x14ac:dyDescent="0.25">
      <c r="A15" s="867" t="s">
        <v>912</v>
      </c>
      <c r="B15" s="737">
        <f>'ETCA-II-13'!C215</f>
        <v>55323720.010000005</v>
      </c>
      <c r="C15" s="737">
        <f>'ETCA-II-13'!D215</f>
        <v>6777868.4500000002</v>
      </c>
      <c r="D15" s="738">
        <f>SUM(B15:C15)</f>
        <v>62101588.460000008</v>
      </c>
      <c r="E15" s="737">
        <f>'ETCA-II-13'!F215</f>
        <v>12515447.07</v>
      </c>
      <c r="F15" s="737">
        <f>'ETCA-II-13'!G215</f>
        <v>12002988.420000002</v>
      </c>
      <c r="G15" s="738">
        <f>E15-D15</f>
        <v>-49586141.390000008</v>
      </c>
    </row>
    <row r="16" spans="1:7" s="328" customFormat="1" x14ac:dyDescent="0.25">
      <c r="A16" s="867" t="s">
        <v>913</v>
      </c>
      <c r="B16" s="868"/>
      <c r="C16" s="868"/>
      <c r="D16" s="869">
        <f t="shared" ref="D16:D22" si="1">B16+C16</f>
        <v>0</v>
      </c>
      <c r="E16" s="868"/>
      <c r="F16" s="868"/>
      <c r="G16" s="869">
        <f t="shared" ref="G16:G39" si="2">D16-E16</f>
        <v>0</v>
      </c>
    </row>
    <row r="17" spans="1:7" s="328" customFormat="1" x14ac:dyDescent="0.25">
      <c r="A17" s="867" t="s">
        <v>914</v>
      </c>
      <c r="B17" s="868"/>
      <c r="C17" s="868"/>
      <c r="D17" s="869">
        <f t="shared" si="1"/>
        <v>0</v>
      </c>
      <c r="E17" s="868"/>
      <c r="F17" s="868"/>
      <c r="G17" s="869">
        <f t="shared" si="2"/>
        <v>0</v>
      </c>
    </row>
    <row r="18" spans="1:7" s="328" customFormat="1" x14ac:dyDescent="0.25">
      <c r="A18" s="867" t="s">
        <v>915</v>
      </c>
      <c r="B18" s="868"/>
      <c r="C18" s="868"/>
      <c r="D18" s="869">
        <f t="shared" si="1"/>
        <v>0</v>
      </c>
      <c r="E18" s="868"/>
      <c r="F18" s="868"/>
      <c r="G18" s="869">
        <f t="shared" si="2"/>
        <v>0</v>
      </c>
    </row>
    <row r="19" spans="1:7" s="328" customFormat="1" x14ac:dyDescent="0.25">
      <c r="A19" s="867" t="s">
        <v>916</v>
      </c>
      <c r="B19" s="868"/>
      <c r="C19" s="868"/>
      <c r="D19" s="869">
        <f t="shared" si="1"/>
        <v>0</v>
      </c>
      <c r="E19" s="868"/>
      <c r="F19" s="868"/>
      <c r="G19" s="869">
        <f t="shared" si="2"/>
        <v>0</v>
      </c>
    </row>
    <row r="20" spans="1:7" s="328" customFormat="1" ht="27" x14ac:dyDescent="0.25">
      <c r="A20" s="867" t="s">
        <v>917</v>
      </c>
      <c r="B20" s="868"/>
      <c r="C20" s="868"/>
      <c r="D20" s="869">
        <f t="shared" si="1"/>
        <v>0</v>
      </c>
      <c r="E20" s="868"/>
      <c r="F20" s="868"/>
      <c r="G20" s="869">
        <f t="shared" si="2"/>
        <v>0</v>
      </c>
    </row>
    <row r="21" spans="1:7" s="328" customFormat="1" x14ac:dyDescent="0.25">
      <c r="A21" s="867" t="s">
        <v>918</v>
      </c>
      <c r="B21" s="868"/>
      <c r="C21" s="868"/>
      <c r="D21" s="869">
        <f t="shared" si="1"/>
        <v>0</v>
      </c>
      <c r="E21" s="868"/>
      <c r="F21" s="868"/>
      <c r="G21" s="869">
        <f t="shared" si="2"/>
        <v>0</v>
      </c>
    </row>
    <row r="22" spans="1:7" s="328" customFormat="1" x14ac:dyDescent="0.25">
      <c r="A22" s="867" t="s">
        <v>919</v>
      </c>
      <c r="B22" s="868"/>
      <c r="C22" s="868"/>
      <c r="D22" s="869">
        <f t="shared" si="1"/>
        <v>0</v>
      </c>
      <c r="E22" s="868"/>
      <c r="F22" s="868"/>
      <c r="G22" s="869">
        <f t="shared" si="2"/>
        <v>0</v>
      </c>
    </row>
    <row r="23" spans="1:7" s="327" customFormat="1" x14ac:dyDescent="0.25">
      <c r="A23" s="865" t="s">
        <v>920</v>
      </c>
      <c r="B23" s="866">
        <f t="shared" ref="B23:G23" si="3">SUM(B24:B26)</f>
        <v>0</v>
      </c>
      <c r="C23" s="866">
        <f t="shared" si="3"/>
        <v>0</v>
      </c>
      <c r="D23" s="866">
        <f t="shared" si="3"/>
        <v>0</v>
      </c>
      <c r="E23" s="866">
        <f t="shared" si="3"/>
        <v>0</v>
      </c>
      <c r="F23" s="866">
        <f t="shared" si="3"/>
        <v>0</v>
      </c>
      <c r="G23" s="866">
        <f t="shared" si="3"/>
        <v>0</v>
      </c>
    </row>
    <row r="24" spans="1:7" s="328" customFormat="1" ht="27" x14ac:dyDescent="0.25">
      <c r="A24" s="867" t="s">
        <v>921</v>
      </c>
      <c r="B24" s="868"/>
      <c r="C24" s="868"/>
      <c r="D24" s="869">
        <f>B24+C24</f>
        <v>0</v>
      </c>
      <c r="E24" s="868"/>
      <c r="F24" s="868"/>
      <c r="G24" s="869">
        <f t="shared" si="2"/>
        <v>0</v>
      </c>
    </row>
    <row r="25" spans="1:7" s="328" customFormat="1" x14ac:dyDescent="0.25">
      <c r="A25" s="867" t="s">
        <v>922</v>
      </c>
      <c r="B25" s="868"/>
      <c r="C25" s="868"/>
      <c r="D25" s="869">
        <f>B25+C25</f>
        <v>0</v>
      </c>
      <c r="E25" s="868"/>
      <c r="F25" s="868"/>
      <c r="G25" s="869">
        <f t="shared" si="2"/>
        <v>0</v>
      </c>
    </row>
    <row r="26" spans="1:7" s="328" customFormat="1" x14ac:dyDescent="0.25">
      <c r="A26" s="867" t="s">
        <v>923</v>
      </c>
      <c r="B26" s="868"/>
      <c r="C26" s="868"/>
      <c r="D26" s="869">
        <f>B26+C26</f>
        <v>0</v>
      </c>
      <c r="E26" s="868"/>
      <c r="F26" s="868"/>
      <c r="G26" s="869">
        <f t="shared" si="2"/>
        <v>0</v>
      </c>
    </row>
    <row r="27" spans="1:7" s="327" customFormat="1" x14ac:dyDescent="0.25">
      <c r="A27" s="865" t="s">
        <v>924</v>
      </c>
      <c r="B27" s="866">
        <f>B28+B29</f>
        <v>0</v>
      </c>
      <c r="C27" s="866">
        <f>C28+C29</f>
        <v>0</v>
      </c>
      <c r="D27" s="866">
        <f>SUM(D28:D29)</f>
        <v>0</v>
      </c>
      <c r="E27" s="866">
        <f>E28+E29</f>
        <v>0</v>
      </c>
      <c r="F27" s="866">
        <f>F28+F29</f>
        <v>0</v>
      </c>
      <c r="G27" s="866">
        <f>SUM(G28:G29)</f>
        <v>0</v>
      </c>
    </row>
    <row r="28" spans="1:7" s="328" customFormat="1" x14ac:dyDescent="0.25">
      <c r="A28" s="867" t="s">
        <v>925</v>
      </c>
      <c r="B28" s="868"/>
      <c r="C28" s="868"/>
      <c r="D28" s="869">
        <f>B28+C28</f>
        <v>0</v>
      </c>
      <c r="E28" s="868"/>
      <c r="F28" s="868"/>
      <c r="G28" s="869">
        <f t="shared" si="2"/>
        <v>0</v>
      </c>
    </row>
    <row r="29" spans="1:7" s="328" customFormat="1" x14ac:dyDescent="0.25">
      <c r="A29" s="867" t="s">
        <v>926</v>
      </c>
      <c r="B29" s="868"/>
      <c r="C29" s="868"/>
      <c r="D29" s="869">
        <f>B29+C29</f>
        <v>0</v>
      </c>
      <c r="E29" s="868"/>
      <c r="F29" s="868"/>
      <c r="G29" s="869">
        <f t="shared" si="2"/>
        <v>0</v>
      </c>
    </row>
    <row r="30" spans="1:7" s="327" customFormat="1" x14ac:dyDescent="0.25">
      <c r="A30" s="865" t="s">
        <v>927</v>
      </c>
      <c r="B30" s="866">
        <f>B31+B32+B33+B34</f>
        <v>0</v>
      </c>
      <c r="C30" s="866">
        <f>C31+C32+C33+C34</f>
        <v>0</v>
      </c>
      <c r="D30" s="866">
        <f>SUM(D31:D34)</f>
        <v>0</v>
      </c>
      <c r="E30" s="866">
        <f>E31+E32+E33+E34</f>
        <v>0</v>
      </c>
      <c r="F30" s="866">
        <f>F31+F32+F33+F34</f>
        <v>0</v>
      </c>
      <c r="G30" s="866">
        <f>SUM(G31:G34)</f>
        <v>0</v>
      </c>
    </row>
    <row r="31" spans="1:7" s="328" customFormat="1" x14ac:dyDescent="0.25">
      <c r="A31" s="867" t="s">
        <v>232</v>
      </c>
      <c r="B31" s="868"/>
      <c r="C31" s="868"/>
      <c r="D31" s="869">
        <f>B31+C31</f>
        <v>0</v>
      </c>
      <c r="E31" s="868"/>
      <c r="F31" s="868"/>
      <c r="G31" s="869">
        <f t="shared" si="2"/>
        <v>0</v>
      </c>
    </row>
    <row r="32" spans="1:7" s="328" customFormat="1" x14ac:dyDescent="0.25">
      <c r="A32" s="867" t="s">
        <v>928</v>
      </c>
      <c r="B32" s="868"/>
      <c r="C32" s="868"/>
      <c r="D32" s="869">
        <f>B32+C32</f>
        <v>0</v>
      </c>
      <c r="E32" s="868"/>
      <c r="F32" s="868"/>
      <c r="G32" s="869">
        <f t="shared" si="2"/>
        <v>0</v>
      </c>
    </row>
    <row r="33" spans="1:8" s="328" customFormat="1" x14ac:dyDescent="0.25">
      <c r="A33" s="867" t="s">
        <v>929</v>
      </c>
      <c r="B33" s="868"/>
      <c r="C33" s="868"/>
      <c r="D33" s="869">
        <f>B33+C33</f>
        <v>0</v>
      </c>
      <c r="E33" s="868"/>
      <c r="F33" s="868"/>
      <c r="G33" s="869">
        <f t="shared" si="2"/>
        <v>0</v>
      </c>
    </row>
    <row r="34" spans="1:8" s="328" customFormat="1" x14ac:dyDescent="0.25">
      <c r="A34" s="867" t="s">
        <v>930</v>
      </c>
      <c r="B34" s="868"/>
      <c r="C34" s="868"/>
      <c r="D34" s="869">
        <f>B34+C34</f>
        <v>0</v>
      </c>
      <c r="E34" s="868"/>
      <c r="F34" s="868"/>
      <c r="G34" s="869">
        <f t="shared" si="2"/>
        <v>0</v>
      </c>
    </row>
    <row r="35" spans="1:8" s="327" customFormat="1" x14ac:dyDescent="0.25">
      <c r="A35" s="865" t="s">
        <v>931</v>
      </c>
      <c r="B35" s="866">
        <f t="shared" ref="B35:G35" si="4">B36</f>
        <v>0</v>
      </c>
      <c r="C35" s="866">
        <f t="shared" si="4"/>
        <v>0</v>
      </c>
      <c r="D35" s="866">
        <f t="shared" si="4"/>
        <v>0</v>
      </c>
      <c r="E35" s="866">
        <f t="shared" si="4"/>
        <v>0</v>
      </c>
      <c r="F35" s="866">
        <f t="shared" si="4"/>
        <v>0</v>
      </c>
      <c r="G35" s="866">
        <f t="shared" si="4"/>
        <v>0</v>
      </c>
    </row>
    <row r="36" spans="1:8" s="328" customFormat="1" x14ac:dyDescent="0.25">
      <c r="A36" s="867" t="s">
        <v>932</v>
      </c>
      <c r="B36" s="868"/>
      <c r="C36" s="868"/>
      <c r="D36" s="869">
        <f>B36+C36</f>
        <v>0</v>
      </c>
      <c r="E36" s="868"/>
      <c r="F36" s="868"/>
      <c r="G36" s="869">
        <f t="shared" si="2"/>
        <v>0</v>
      </c>
    </row>
    <row r="37" spans="1:8" s="327" customFormat="1" x14ac:dyDescent="0.25">
      <c r="A37" s="865" t="s">
        <v>933</v>
      </c>
      <c r="B37" s="871"/>
      <c r="C37" s="871"/>
      <c r="D37" s="866">
        <f>B37+C37</f>
        <v>0</v>
      </c>
      <c r="E37" s="871"/>
      <c r="F37" s="871"/>
      <c r="G37" s="866">
        <f t="shared" si="2"/>
        <v>0</v>
      </c>
    </row>
    <row r="38" spans="1:8" s="327" customFormat="1" ht="27" x14ac:dyDescent="0.25">
      <c r="A38" s="865" t="s">
        <v>934</v>
      </c>
      <c r="B38" s="871"/>
      <c r="C38" s="871"/>
      <c r="D38" s="866">
        <f>B38+C38</f>
        <v>0</v>
      </c>
      <c r="E38" s="871"/>
      <c r="F38" s="871"/>
      <c r="G38" s="866">
        <f t="shared" si="2"/>
        <v>0</v>
      </c>
    </row>
    <row r="39" spans="1:8" s="327" customFormat="1" ht="15.75" thickBot="1" x14ac:dyDescent="0.3">
      <c r="A39" s="865" t="s">
        <v>935</v>
      </c>
      <c r="B39" s="871"/>
      <c r="C39" s="871"/>
      <c r="D39" s="866">
        <f>B39+C39</f>
        <v>0</v>
      </c>
      <c r="E39" s="871"/>
      <c r="F39" s="871"/>
      <c r="G39" s="866">
        <f t="shared" si="2"/>
        <v>0</v>
      </c>
    </row>
    <row r="40" spans="1:8" ht="32.25" customHeight="1" thickBot="1" x14ac:dyDescent="0.3">
      <c r="A40" s="274" t="s">
        <v>625</v>
      </c>
      <c r="B40" s="747">
        <f t="shared" ref="B40:G40" si="5">SUM(B$10,B$14,B$23,B$27,B$30,B$35,B$37,B$38,B$39)</f>
        <v>55323720.010000005</v>
      </c>
      <c r="C40" s="747">
        <f t="shared" si="5"/>
        <v>6777868.4500000002</v>
      </c>
      <c r="D40" s="747">
        <f t="shared" si="5"/>
        <v>62101588.460000008</v>
      </c>
      <c r="E40" s="747">
        <f t="shared" si="5"/>
        <v>12515447.07</v>
      </c>
      <c r="F40" s="747">
        <f t="shared" si="5"/>
        <v>12002988.420000002</v>
      </c>
      <c r="G40" s="747">
        <f t="shared" si="5"/>
        <v>-49586141.390000008</v>
      </c>
      <c r="H40" s="441" t="str">
        <f>IF((B40-'ETCA II-04'!B81)&gt;0.9,"ERROR!!!!! EL MONTO NO COINCIDE CON LO REPORTADO EN EL FORMATO ETCA-II-04 EN EL TOTAL APROBADO ANUAL DEL ANALÍTICO DE EGRESOS","")</f>
        <v/>
      </c>
    </row>
    <row r="41" spans="1:8" ht="18" customHeight="1" x14ac:dyDescent="0.25">
      <c r="A41" s="426"/>
      <c r="B41" s="872"/>
      <c r="C41" s="872"/>
      <c r="D41" s="872"/>
      <c r="E41" s="872"/>
      <c r="F41" s="872"/>
      <c r="G41" s="872"/>
      <c r="H41" s="441" t="str">
        <f>IF((C40-'ETCA II-04'!C81)&gt;0.9,"ERROR!!!!! EL MONTO NO COINCIDE CON LO REPORTADO EN EL FORMATO ETCA-II-04 EN EL TOTAL DE AMPLIACIONES/REDUCCIONES PRESENTADO EN EL ANALÍTICO DE EGRESOS","")</f>
        <v/>
      </c>
    </row>
    <row r="42" spans="1:8" ht="18" customHeight="1" x14ac:dyDescent="0.25">
      <c r="A42" s="426"/>
      <c r="B42" s="872"/>
      <c r="C42" s="872"/>
      <c r="D42" s="872"/>
      <c r="E42" s="872"/>
      <c r="F42" s="872"/>
      <c r="G42" s="872"/>
      <c r="H42" s="441" t="str">
        <f>IF((D40-'ETCA II-04'!D81)&gt;0.9,"ERROR!!!!! EL MONTO NO COINCIDE CON LO REPORTADO EN EL FORMATO ETCA-II-04 EN EL TOTAL MODIFICADO ANUAL PRESENTADO EN EL ANALÍTICO DE EGRESOS","")</f>
        <v/>
      </c>
    </row>
    <row r="43" spans="1:8" ht="18" customHeight="1" x14ac:dyDescent="0.25">
      <c r="A43" s="426"/>
      <c r="B43" s="872"/>
      <c r="C43" s="872"/>
      <c r="D43" s="872"/>
      <c r="E43" s="872"/>
      <c r="F43" s="872"/>
      <c r="G43" s="872"/>
      <c r="H43" s="441" t="str">
        <f>IF((E40-'ETCA II-04'!E81)&gt;0.9,"ERROR!!!!! EL MONTO NO COINCIDE CON LO REPORTADO EN EL FORMATO ETCA-II-04 EN EL TOTAL DEVENGADO ANUAL PRESENTADO EN EL ANALÍTICO DE EGRESOS","")</f>
        <v/>
      </c>
    </row>
    <row r="44" spans="1:8" ht="18" customHeight="1" x14ac:dyDescent="0.25">
      <c r="A44" s="426"/>
      <c r="B44" s="872"/>
      <c r="C44" s="872"/>
      <c r="D44" s="872"/>
      <c r="E44" s="872"/>
      <c r="F44" s="872"/>
      <c r="G44" s="872"/>
      <c r="H44" s="441" t="str">
        <f>IF((F40-'ETCA II-04'!F81)&gt;0.9,"ERROR!!!!! EL MONTO NO COINCIDE CON LO REPORTADO EN EL FORMATO ETCA-II-04 EN EL TOTAL PAGADO ANUAL PRESENTADO EN EL ANALÍTICO DE EGRESOS","")</f>
        <v/>
      </c>
    </row>
    <row r="45" spans="1:8" ht="18" customHeight="1" x14ac:dyDescent="0.25">
      <c r="H45" s="441" t="str">
        <f>IF((G40-'ETCA II-04'!G81)&gt;0.9,"ERROR!!!!!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ignoredErrors>
    <ignoredError sqref="C15" unlockedFormula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view="pageBreakPreview" zoomScale="60" zoomScaleNormal="100" zoomScalePageLayoutView="120" workbookViewId="0">
      <selection activeCell="B13" sqref="B13"/>
    </sheetView>
  </sheetViews>
  <sheetFormatPr baseColWidth="10" defaultRowHeight="15" x14ac:dyDescent="0.25"/>
  <cols>
    <col min="1" max="1" width="35.28515625" style="569" customWidth="1"/>
    <col min="2" max="2" width="11.28515625" style="569" customWidth="1"/>
    <col min="3" max="3" width="10.85546875" style="569" customWidth="1"/>
    <col min="4" max="4" width="11.28515625" style="569" customWidth="1"/>
    <col min="5" max="5" width="11.140625" style="569" customWidth="1"/>
    <col min="6" max="6" width="11" style="569" customWidth="1"/>
    <col min="7" max="7" width="11.28515625" style="569" customWidth="1"/>
    <col min="8" max="16384" width="11.42578125" style="569"/>
  </cols>
  <sheetData>
    <row r="1" spans="1:8" ht="15.75" x14ac:dyDescent="0.25">
      <c r="A1" s="1289" t="s">
        <v>25</v>
      </c>
      <c r="B1" s="1289"/>
      <c r="C1" s="1289"/>
      <c r="D1" s="1289"/>
      <c r="E1" s="1289"/>
      <c r="F1" s="1289"/>
      <c r="G1" s="1289"/>
    </row>
    <row r="2" spans="1:8" ht="15.75" x14ac:dyDescent="0.25">
      <c r="A2" s="1289" t="s">
        <v>1092</v>
      </c>
      <c r="B2" s="1289"/>
      <c r="C2" s="1289"/>
      <c r="D2" s="1289"/>
      <c r="E2" s="1289"/>
      <c r="F2" s="1289"/>
      <c r="G2" s="1289"/>
    </row>
    <row r="3" spans="1:8" s="937" customFormat="1" ht="18.75" customHeight="1" x14ac:dyDescent="0.25">
      <c r="A3" s="1067" t="s">
        <v>1243</v>
      </c>
      <c r="B3" s="1067"/>
      <c r="C3" s="1067"/>
      <c r="D3" s="1067"/>
      <c r="E3" s="1067"/>
      <c r="F3" s="1067"/>
      <c r="G3" s="1067"/>
      <c r="H3" s="1067"/>
    </row>
    <row r="4" spans="1:8" ht="12" customHeight="1" x14ac:dyDescent="0.25">
      <c r="A4" s="1291" t="s">
        <v>1247</v>
      </c>
      <c r="B4" s="1291"/>
      <c r="C4" s="1291"/>
      <c r="D4" s="1291"/>
      <c r="E4" s="1291"/>
      <c r="F4" s="1291"/>
      <c r="G4" s="1291"/>
    </row>
    <row r="5" spans="1:8" ht="12" customHeight="1" x14ac:dyDescent="0.25">
      <c r="A5" s="1290"/>
      <c r="B5" s="1290"/>
      <c r="C5" s="1290"/>
      <c r="D5" s="1290"/>
      <c r="E5" s="1290"/>
      <c r="F5" s="1290"/>
      <c r="G5" s="1290"/>
    </row>
    <row r="6" spans="1:8" ht="17.25" thickBot="1" x14ac:dyDescent="0.35">
      <c r="A6" s="325"/>
      <c r="B6" s="1292" t="s">
        <v>903</v>
      </c>
      <c r="C6" s="1292"/>
      <c r="D6" s="1292"/>
      <c r="E6" s="143"/>
      <c r="F6" s="1293" t="s">
        <v>1251</v>
      </c>
      <c r="G6" s="1293"/>
    </row>
    <row r="7" spans="1:8" ht="40.5" x14ac:dyDescent="0.25">
      <c r="A7" s="1214" t="s">
        <v>261</v>
      </c>
      <c r="B7" s="283" t="s">
        <v>569</v>
      </c>
      <c r="C7" s="283" t="s">
        <v>479</v>
      </c>
      <c r="D7" s="283" t="s">
        <v>570</v>
      </c>
      <c r="E7" s="283" t="s">
        <v>904</v>
      </c>
      <c r="F7" s="283" t="s">
        <v>905</v>
      </c>
      <c r="G7" s="283" t="s">
        <v>573</v>
      </c>
    </row>
    <row r="8" spans="1:8" ht="15.75" thickBot="1" x14ac:dyDescent="0.3">
      <c r="A8" s="1215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0" t="s">
        <v>575</v>
      </c>
    </row>
    <row r="9" spans="1:8" ht="16.5" x14ac:dyDescent="0.25">
      <c r="A9" s="292"/>
      <c r="B9" s="862"/>
      <c r="C9" s="862"/>
      <c r="D9" s="862"/>
      <c r="E9" s="862"/>
      <c r="F9" s="862"/>
      <c r="G9" s="862"/>
    </row>
    <row r="10" spans="1:8" x14ac:dyDescent="0.25">
      <c r="A10" s="863" t="s">
        <v>906</v>
      </c>
      <c r="B10" s="864"/>
      <c r="C10" s="864"/>
      <c r="D10" s="864"/>
      <c r="E10" s="864"/>
      <c r="F10" s="864"/>
      <c r="G10" s="864"/>
    </row>
    <row r="11" spans="1:8" ht="14.25" customHeight="1" x14ac:dyDescent="0.25">
      <c r="A11" s="865" t="s">
        <v>1091</v>
      </c>
      <c r="B11" s="870">
        <f>SUM(B12:B20)</f>
        <v>55323720.010000005</v>
      </c>
      <c r="C11" s="870">
        <f>SUM(C12:C20)</f>
        <v>6777868.4500000002</v>
      </c>
      <c r="D11" s="870">
        <f>SUM(D12:D13)</f>
        <v>62101588.460000008</v>
      </c>
      <c r="E11" s="870">
        <f>SUM(E12:E20)</f>
        <v>12515447.07</v>
      </c>
      <c r="F11" s="870">
        <f>SUM(F12:F20)</f>
        <v>12002988.420000002</v>
      </c>
      <c r="G11" s="870">
        <f>SUM(G12:G13)</f>
        <v>49586141.390000008</v>
      </c>
    </row>
    <row r="12" spans="1:8" ht="14.25" customHeight="1" x14ac:dyDescent="0.25">
      <c r="A12" s="749" t="s">
        <v>1085</v>
      </c>
      <c r="B12" s="737">
        <f>'ETCA-II-13'!C215</f>
        <v>55323720.010000005</v>
      </c>
      <c r="C12" s="737">
        <f>'ETCA-II-13'!D215</f>
        <v>6777868.4500000002</v>
      </c>
      <c r="D12" s="992">
        <f>SUM(B12:C12)</f>
        <v>62101588.460000008</v>
      </c>
      <c r="E12" s="737">
        <f>'ETCA-II-13'!F215</f>
        <v>12515447.07</v>
      </c>
      <c r="F12" s="737">
        <f>'ETCA-II-13'!G215</f>
        <v>12002988.420000002</v>
      </c>
      <c r="G12" s="992">
        <f>D12-E12</f>
        <v>49586141.390000008</v>
      </c>
    </row>
    <row r="13" spans="1:8" ht="14.25" customHeight="1" x14ac:dyDescent="0.25">
      <c r="A13" s="749" t="s">
        <v>1085</v>
      </c>
      <c r="B13" s="868"/>
      <c r="C13" s="868"/>
      <c r="D13" s="869">
        <f t="shared" ref="D13:D20" si="0">B13+C13</f>
        <v>0</v>
      </c>
      <c r="E13" s="868"/>
      <c r="F13" s="868"/>
      <c r="G13" s="869">
        <f t="shared" ref="G13:G20" si="1">D13-E13</f>
        <v>0</v>
      </c>
    </row>
    <row r="14" spans="1:8" ht="14.25" customHeight="1" x14ac:dyDescent="0.25">
      <c r="A14" s="749" t="s">
        <v>1085</v>
      </c>
      <c r="B14" s="868"/>
      <c r="C14" s="868"/>
      <c r="D14" s="869">
        <f t="shared" si="0"/>
        <v>0</v>
      </c>
      <c r="E14" s="868"/>
      <c r="F14" s="868"/>
      <c r="G14" s="869">
        <f t="shared" si="1"/>
        <v>0</v>
      </c>
    </row>
    <row r="15" spans="1:8" ht="14.25" customHeight="1" x14ac:dyDescent="0.25">
      <c r="A15" s="749" t="s">
        <v>1085</v>
      </c>
      <c r="B15" s="868"/>
      <c r="C15" s="868"/>
      <c r="D15" s="869">
        <f t="shared" si="0"/>
        <v>0</v>
      </c>
      <c r="E15" s="868"/>
      <c r="F15" s="868"/>
      <c r="G15" s="869">
        <f t="shared" si="1"/>
        <v>0</v>
      </c>
    </row>
    <row r="16" spans="1:8" ht="14.25" customHeight="1" x14ac:dyDescent="0.25">
      <c r="A16" s="749" t="s">
        <v>1085</v>
      </c>
      <c r="B16" s="868"/>
      <c r="C16" s="868"/>
      <c r="D16" s="869">
        <f t="shared" si="0"/>
        <v>0</v>
      </c>
      <c r="E16" s="868"/>
      <c r="F16" s="868"/>
      <c r="G16" s="869">
        <f t="shared" si="1"/>
        <v>0</v>
      </c>
    </row>
    <row r="17" spans="1:7" ht="14.25" customHeight="1" x14ac:dyDescent="0.25">
      <c r="A17" s="749" t="s">
        <v>1085</v>
      </c>
      <c r="B17" s="868"/>
      <c r="C17" s="868"/>
      <c r="D17" s="869">
        <f t="shared" si="0"/>
        <v>0</v>
      </c>
      <c r="E17" s="868"/>
      <c r="F17" s="868"/>
      <c r="G17" s="869">
        <f t="shared" si="1"/>
        <v>0</v>
      </c>
    </row>
    <row r="18" spans="1:7" ht="14.25" customHeight="1" x14ac:dyDescent="0.25">
      <c r="A18" s="749" t="s">
        <v>1085</v>
      </c>
      <c r="B18" s="868"/>
      <c r="C18" s="868"/>
      <c r="D18" s="869">
        <f t="shared" si="0"/>
        <v>0</v>
      </c>
      <c r="E18" s="868"/>
      <c r="F18" s="868"/>
      <c r="G18" s="869">
        <f t="shared" si="1"/>
        <v>0</v>
      </c>
    </row>
    <row r="19" spans="1:7" ht="14.25" customHeight="1" x14ac:dyDescent="0.25">
      <c r="A19" s="749"/>
      <c r="B19" s="868"/>
      <c r="C19" s="868"/>
      <c r="D19" s="869">
        <f t="shared" si="0"/>
        <v>0</v>
      </c>
      <c r="E19" s="868"/>
      <c r="F19" s="868"/>
      <c r="G19" s="869">
        <f t="shared" si="1"/>
        <v>0</v>
      </c>
    </row>
    <row r="20" spans="1:7" ht="14.25" customHeight="1" x14ac:dyDescent="0.25">
      <c r="A20" s="749"/>
      <c r="B20" s="868"/>
      <c r="C20" s="868"/>
      <c r="D20" s="869">
        <f t="shared" si="0"/>
        <v>0</v>
      </c>
      <c r="E20" s="868"/>
      <c r="F20" s="868"/>
      <c r="G20" s="869">
        <f t="shared" si="1"/>
        <v>0</v>
      </c>
    </row>
    <row r="21" spans="1:7" ht="14.25" customHeight="1" x14ac:dyDescent="0.25">
      <c r="A21" s="865" t="s">
        <v>1090</v>
      </c>
      <c r="B21" s="866">
        <f t="shared" ref="B21:G21" si="2">SUM(B22:B24)</f>
        <v>0</v>
      </c>
      <c r="C21" s="866">
        <f t="shared" si="2"/>
        <v>0</v>
      </c>
      <c r="D21" s="866">
        <f t="shared" si="2"/>
        <v>0</v>
      </c>
      <c r="E21" s="866">
        <f t="shared" si="2"/>
        <v>0</v>
      </c>
      <c r="F21" s="866">
        <f t="shared" si="2"/>
        <v>0</v>
      </c>
      <c r="G21" s="866">
        <f t="shared" si="2"/>
        <v>0</v>
      </c>
    </row>
    <row r="22" spans="1:7" ht="14.25" customHeight="1" x14ac:dyDescent="0.25">
      <c r="A22" s="749" t="s">
        <v>1085</v>
      </c>
      <c r="B22" s="868"/>
      <c r="C22" s="868"/>
      <c r="D22" s="869">
        <f>B22+C22</f>
        <v>0</v>
      </c>
      <c r="E22" s="868"/>
      <c r="F22" s="868"/>
      <c r="G22" s="869">
        <f>D22-E22</f>
        <v>0</v>
      </c>
    </row>
    <row r="23" spans="1:7" ht="14.25" customHeight="1" x14ac:dyDescent="0.25">
      <c r="A23" s="749" t="s">
        <v>1085</v>
      </c>
      <c r="B23" s="868"/>
      <c r="C23" s="868"/>
      <c r="D23" s="869">
        <f>B23+C23</f>
        <v>0</v>
      </c>
      <c r="E23" s="868"/>
      <c r="F23" s="868"/>
      <c r="G23" s="869">
        <f>D23-E23</f>
        <v>0</v>
      </c>
    </row>
    <row r="24" spans="1:7" ht="14.25" customHeight="1" x14ac:dyDescent="0.25">
      <c r="A24" s="749"/>
      <c r="B24" s="868"/>
      <c r="C24" s="868"/>
      <c r="D24" s="869">
        <f>B24+C24</f>
        <v>0</v>
      </c>
      <c r="E24" s="868"/>
      <c r="F24" s="868"/>
      <c r="G24" s="869">
        <f>D24-E24</f>
        <v>0</v>
      </c>
    </row>
    <row r="25" spans="1:7" ht="14.25" customHeight="1" x14ac:dyDescent="0.25">
      <c r="A25" s="865" t="s">
        <v>1089</v>
      </c>
      <c r="B25" s="866">
        <f t="shared" ref="B25:G25" si="3">SUM(B26:B28)</f>
        <v>0</v>
      </c>
      <c r="C25" s="866">
        <f t="shared" si="3"/>
        <v>0</v>
      </c>
      <c r="D25" s="866">
        <f t="shared" si="3"/>
        <v>0</v>
      </c>
      <c r="E25" s="866">
        <f t="shared" si="3"/>
        <v>0</v>
      </c>
      <c r="F25" s="866">
        <f t="shared" si="3"/>
        <v>0</v>
      </c>
      <c r="G25" s="866">
        <f t="shared" si="3"/>
        <v>0</v>
      </c>
    </row>
    <row r="26" spans="1:7" ht="14.25" customHeight="1" x14ac:dyDescent="0.25">
      <c r="A26" s="749" t="s">
        <v>1085</v>
      </c>
      <c r="B26" s="868"/>
      <c r="C26" s="868"/>
      <c r="D26" s="869">
        <f>B26+C26</f>
        <v>0</v>
      </c>
      <c r="E26" s="868"/>
      <c r="F26" s="868"/>
      <c r="G26" s="869">
        <f>D26-E26</f>
        <v>0</v>
      </c>
    </row>
    <row r="27" spans="1:7" ht="14.25" customHeight="1" x14ac:dyDescent="0.25">
      <c r="A27" s="749" t="s">
        <v>1085</v>
      </c>
      <c r="B27" s="868"/>
      <c r="C27" s="868"/>
      <c r="D27" s="869"/>
      <c r="E27" s="868"/>
      <c r="F27" s="868"/>
      <c r="G27" s="869"/>
    </row>
    <row r="28" spans="1:7" ht="14.25" customHeight="1" x14ac:dyDescent="0.25">
      <c r="A28" s="749"/>
      <c r="B28" s="868"/>
      <c r="C28" s="868"/>
      <c r="D28" s="869">
        <f>B28+C28</f>
        <v>0</v>
      </c>
      <c r="E28" s="868"/>
      <c r="F28" s="868"/>
      <c r="G28" s="869">
        <f>D28-E28</f>
        <v>0</v>
      </c>
    </row>
    <row r="29" spans="1:7" ht="14.25" customHeight="1" x14ac:dyDescent="0.25">
      <c r="A29" s="865" t="s">
        <v>1088</v>
      </c>
      <c r="B29" s="866">
        <f t="shared" ref="B29:G29" si="4">SUM(B30:B33)</f>
        <v>0</v>
      </c>
      <c r="C29" s="866">
        <f t="shared" si="4"/>
        <v>0</v>
      </c>
      <c r="D29" s="866">
        <f t="shared" si="4"/>
        <v>0</v>
      </c>
      <c r="E29" s="866">
        <f t="shared" si="4"/>
        <v>0</v>
      </c>
      <c r="F29" s="866">
        <f t="shared" si="4"/>
        <v>0</v>
      </c>
      <c r="G29" s="866">
        <f t="shared" si="4"/>
        <v>0</v>
      </c>
    </row>
    <row r="30" spans="1:7" ht="14.25" customHeight="1" x14ac:dyDescent="0.25">
      <c r="A30" s="749" t="s">
        <v>1085</v>
      </c>
      <c r="B30" s="868"/>
      <c r="C30" s="868"/>
      <c r="D30" s="869">
        <f>B30+C30</f>
        <v>0</v>
      </c>
      <c r="E30" s="868"/>
      <c r="F30" s="868"/>
      <c r="G30" s="869">
        <f>D30-E30</f>
        <v>0</v>
      </c>
    </row>
    <row r="31" spans="1:7" ht="14.25" customHeight="1" x14ac:dyDescent="0.25">
      <c r="A31" s="749" t="s">
        <v>1085</v>
      </c>
      <c r="B31" s="868"/>
      <c r="C31" s="868"/>
      <c r="D31" s="869">
        <f>B31+C31</f>
        <v>0</v>
      </c>
      <c r="E31" s="868"/>
      <c r="F31" s="868"/>
      <c r="G31" s="869">
        <f>D31-E31</f>
        <v>0</v>
      </c>
    </row>
    <row r="32" spans="1:7" ht="14.25" customHeight="1" x14ac:dyDescent="0.25">
      <c r="A32" s="749"/>
      <c r="B32" s="868"/>
      <c r="C32" s="868"/>
      <c r="D32" s="869">
        <f>B32+C32</f>
        <v>0</v>
      </c>
      <c r="E32" s="868"/>
      <c r="F32" s="868"/>
      <c r="G32" s="869">
        <f>D32-E32</f>
        <v>0</v>
      </c>
    </row>
    <row r="33" spans="1:7" ht="14.25" customHeight="1" x14ac:dyDescent="0.25">
      <c r="A33" s="749"/>
      <c r="B33" s="868"/>
      <c r="C33" s="868"/>
      <c r="D33" s="869">
        <f>B33+C33</f>
        <v>0</v>
      </c>
      <c r="E33" s="868"/>
      <c r="F33" s="868"/>
      <c r="G33" s="869">
        <f>D33-E33</f>
        <v>0</v>
      </c>
    </row>
    <row r="34" spans="1:7" ht="14.25" customHeight="1" x14ac:dyDescent="0.25">
      <c r="A34" s="865" t="s">
        <v>1087</v>
      </c>
      <c r="B34" s="866">
        <f t="shared" ref="B34:G34" si="5">SUM(B35:B38)</f>
        <v>0</v>
      </c>
      <c r="C34" s="866">
        <f t="shared" si="5"/>
        <v>0</v>
      </c>
      <c r="D34" s="866">
        <f t="shared" si="5"/>
        <v>0</v>
      </c>
      <c r="E34" s="866">
        <f t="shared" si="5"/>
        <v>0</v>
      </c>
      <c r="F34" s="866">
        <f t="shared" si="5"/>
        <v>0</v>
      </c>
      <c r="G34" s="866">
        <f t="shared" si="5"/>
        <v>0</v>
      </c>
    </row>
    <row r="35" spans="1:7" ht="14.25" customHeight="1" x14ac:dyDescent="0.25">
      <c r="A35" s="749" t="s">
        <v>1085</v>
      </c>
      <c r="B35" s="868"/>
      <c r="C35" s="868"/>
      <c r="D35" s="869">
        <f>B35+C35</f>
        <v>0</v>
      </c>
      <c r="E35" s="868"/>
      <c r="F35" s="868"/>
      <c r="G35" s="869">
        <f>D35-E35</f>
        <v>0</v>
      </c>
    </row>
    <row r="36" spans="1:7" ht="14.25" customHeight="1" x14ac:dyDescent="0.25">
      <c r="A36" s="749" t="s">
        <v>1085</v>
      </c>
      <c r="B36" s="868"/>
      <c r="C36" s="868"/>
      <c r="D36" s="869">
        <f>B36+C36</f>
        <v>0</v>
      </c>
      <c r="E36" s="868"/>
      <c r="F36" s="868"/>
      <c r="G36" s="869">
        <f>D36-E36</f>
        <v>0</v>
      </c>
    </row>
    <row r="37" spans="1:7" ht="14.25" customHeight="1" x14ac:dyDescent="0.25">
      <c r="A37" s="749"/>
      <c r="B37" s="868"/>
      <c r="C37" s="868"/>
      <c r="D37" s="869">
        <f>B37+C37</f>
        <v>0</v>
      </c>
      <c r="E37" s="868"/>
      <c r="F37" s="868"/>
      <c r="G37" s="869">
        <f>D37-E37</f>
        <v>0</v>
      </c>
    </row>
    <row r="38" spans="1:7" ht="14.25" customHeight="1" x14ac:dyDescent="0.25">
      <c r="A38" s="749"/>
      <c r="B38" s="868"/>
      <c r="C38" s="868"/>
      <c r="D38" s="869">
        <f>B38+C38</f>
        <v>0</v>
      </c>
      <c r="E38" s="868"/>
      <c r="F38" s="868"/>
      <c r="G38" s="869">
        <f>D38-E38</f>
        <v>0</v>
      </c>
    </row>
    <row r="39" spans="1:7" ht="14.25" customHeight="1" x14ac:dyDescent="0.25">
      <c r="A39" s="865" t="s">
        <v>1086</v>
      </c>
      <c r="B39" s="871">
        <f t="shared" ref="B39:G39" si="6">SUM(B40:B42)</f>
        <v>0</v>
      </c>
      <c r="C39" s="871">
        <f t="shared" si="6"/>
        <v>0</v>
      </c>
      <c r="D39" s="871">
        <f t="shared" si="6"/>
        <v>0</v>
      </c>
      <c r="E39" s="871">
        <f t="shared" si="6"/>
        <v>0</v>
      </c>
      <c r="F39" s="871">
        <f t="shared" si="6"/>
        <v>0</v>
      </c>
      <c r="G39" s="871">
        <f t="shared" si="6"/>
        <v>0</v>
      </c>
    </row>
    <row r="40" spans="1:7" ht="14.25" customHeight="1" x14ac:dyDescent="0.25">
      <c r="A40" s="749" t="s">
        <v>1085</v>
      </c>
      <c r="B40" s="868"/>
      <c r="C40" s="868"/>
      <c r="D40" s="869">
        <f>B40+C40</f>
        <v>0</v>
      </c>
      <c r="E40" s="868"/>
      <c r="F40" s="868"/>
      <c r="G40" s="869">
        <f>D40-E40</f>
        <v>0</v>
      </c>
    </row>
    <row r="41" spans="1:7" ht="14.25" customHeight="1" x14ac:dyDescent="0.25">
      <c r="A41" s="749" t="s">
        <v>1085</v>
      </c>
      <c r="B41" s="868"/>
      <c r="C41" s="868"/>
      <c r="D41" s="869">
        <f>B41+C41</f>
        <v>0</v>
      </c>
      <c r="E41" s="868"/>
      <c r="F41" s="868"/>
      <c r="G41" s="869">
        <f>D41-E41</f>
        <v>0</v>
      </c>
    </row>
    <row r="42" spans="1:7" ht="15.75" thickBot="1" x14ac:dyDescent="0.3">
      <c r="A42" s="865"/>
      <c r="B42" s="871"/>
      <c r="C42" s="871"/>
      <c r="D42" s="866">
        <f>B42+C42</f>
        <v>0</v>
      </c>
      <c r="E42" s="871"/>
      <c r="F42" s="871"/>
      <c r="G42" s="866">
        <f>D42-E42</f>
        <v>0</v>
      </c>
    </row>
    <row r="43" spans="1:7" ht="15.75" thickBot="1" x14ac:dyDescent="0.3">
      <c r="A43" s="274" t="s">
        <v>625</v>
      </c>
      <c r="B43" s="747">
        <f t="shared" ref="B43:G43" si="7">B11+B21+B25+B29+B34+B39</f>
        <v>55323720.010000005</v>
      </c>
      <c r="C43" s="747">
        <f t="shared" si="7"/>
        <v>6777868.4500000002</v>
      </c>
      <c r="D43" s="747">
        <f t="shared" si="7"/>
        <v>62101588.460000008</v>
      </c>
      <c r="E43" s="747">
        <f t="shared" si="7"/>
        <v>12515447.07</v>
      </c>
      <c r="F43" s="747">
        <f t="shared" si="7"/>
        <v>12002988.420000002</v>
      </c>
      <c r="G43" s="747">
        <f t="shared" si="7"/>
        <v>49586141.390000008</v>
      </c>
    </row>
    <row r="44" spans="1:7" x14ac:dyDescent="0.25">
      <c r="A44" s="426"/>
      <c r="B44" s="872"/>
      <c r="C44" s="872"/>
      <c r="D44" s="872"/>
      <c r="E44" s="872"/>
      <c r="F44" s="872"/>
      <c r="G44" s="872"/>
    </row>
    <row r="45" spans="1:7" x14ac:dyDescent="0.25">
      <c r="A45" s="426"/>
      <c r="B45" s="872"/>
      <c r="C45" s="872"/>
      <c r="D45" s="872"/>
      <c r="E45" s="872"/>
      <c r="F45" s="872"/>
      <c r="G45" s="872"/>
    </row>
    <row r="46" spans="1:7" x14ac:dyDescent="0.25">
      <c r="A46" s="426"/>
      <c r="B46" s="872"/>
      <c r="C46" s="872"/>
      <c r="D46" s="872"/>
      <c r="E46" s="872"/>
      <c r="F46" s="872"/>
      <c r="G46" s="872"/>
    </row>
    <row r="47" spans="1:7" x14ac:dyDescent="0.25">
      <c r="A47" s="426"/>
      <c r="B47" s="872"/>
      <c r="C47" s="872"/>
      <c r="D47" s="872"/>
      <c r="E47" s="872"/>
      <c r="F47" s="872"/>
      <c r="G47" s="872"/>
    </row>
    <row r="48" spans="1:7" x14ac:dyDescent="0.25">
      <c r="A48" s="873"/>
      <c r="B48" s="874"/>
      <c r="C48" s="874"/>
      <c r="D48" s="874"/>
      <c r="E48" s="874"/>
      <c r="F48" s="874"/>
      <c r="G48" s="874"/>
    </row>
  </sheetData>
  <mergeCells count="8">
    <mergeCell ref="A7:A8"/>
    <mergeCell ref="A1:G1"/>
    <mergeCell ref="A2:G2"/>
    <mergeCell ref="A4:G4"/>
    <mergeCell ref="A5:G5"/>
    <mergeCell ref="B6:D6"/>
    <mergeCell ref="F6:G6"/>
    <mergeCell ref="A3:H3"/>
  </mergeCells>
  <pageMargins left="0.70866141732283472" right="0.31496062992125984" top="0.55118110236220474" bottom="0.74803149606299213" header="0.31496062992125984" footer="0.31496062992125984"/>
  <pageSetup scale="92" orientation="portrait" horizontalDpi="1200" verticalDpi="12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90" zoomScaleNormal="100" zoomScaleSheetLayoutView="90" workbookViewId="0">
      <selection activeCell="K29" sqref="K29"/>
    </sheetView>
  </sheetViews>
  <sheetFormatPr baseColWidth="10" defaultColWidth="11.28515625" defaultRowHeight="16.5" x14ac:dyDescent="0.3"/>
  <cols>
    <col min="1" max="1" width="1.85546875" style="331" customWidth="1"/>
    <col min="2" max="2" width="34.7109375" style="41" customWidth="1"/>
    <col min="3" max="3" width="20.85546875" style="41" customWidth="1"/>
    <col min="4" max="4" width="25.7109375" style="41" customWidth="1"/>
    <col min="5" max="5" width="19.85546875" style="41" customWidth="1"/>
    <col min="6" max="16384" width="11.28515625" style="41"/>
  </cols>
  <sheetData>
    <row r="1" spans="1:7" ht="16.5" customHeight="1" x14ac:dyDescent="0.3">
      <c r="A1" s="1294" t="s">
        <v>936</v>
      </c>
      <c r="B1" s="1294"/>
      <c r="C1" s="1294"/>
      <c r="D1" s="1294"/>
      <c r="E1" s="1294"/>
    </row>
    <row r="2" spans="1:7" x14ac:dyDescent="0.3">
      <c r="A2" s="1295" t="s">
        <v>937</v>
      </c>
      <c r="B2" s="1295"/>
      <c r="C2" s="1295"/>
      <c r="D2" s="1295"/>
      <c r="E2" s="1295"/>
    </row>
    <row r="3" spans="1:7" x14ac:dyDescent="0.3">
      <c r="A3" s="1117" t="str">
        <f>'ETCA-I-01'!A3:G3</f>
        <v>Centro de Evaluacion y Control de Confianza del Estado de Sonora</v>
      </c>
      <c r="B3" s="1117"/>
      <c r="C3" s="1117"/>
      <c r="D3" s="1117"/>
      <c r="E3" s="1117"/>
      <c r="G3" s="329"/>
    </row>
    <row r="4" spans="1:7" x14ac:dyDescent="0.3">
      <c r="A4" s="1295" t="str">
        <f>'ETCA-I-03'!A4:D4</f>
        <v>Del 01 de Enero  al 31 de Marzo de 2018</v>
      </c>
      <c r="B4" s="1295"/>
      <c r="C4" s="1295"/>
      <c r="D4" s="1295"/>
      <c r="E4" s="1295"/>
    </row>
    <row r="5" spans="1:7" x14ac:dyDescent="0.3">
      <c r="A5" s="672"/>
      <c r="B5" s="672"/>
      <c r="C5" s="672" t="s">
        <v>938</v>
      </c>
      <c r="D5" s="4"/>
      <c r="E5" s="330"/>
    </row>
    <row r="6" spans="1:7" ht="6.75" customHeight="1" thickBot="1" x14ac:dyDescent="0.35"/>
    <row r="7" spans="1:7" s="332" customFormat="1" ht="17.25" customHeight="1" x14ac:dyDescent="0.25">
      <c r="A7" s="1296"/>
      <c r="B7" s="1297"/>
      <c r="C7" s="673"/>
      <c r="D7" s="673"/>
      <c r="E7" s="345"/>
    </row>
    <row r="8" spans="1:7" s="332" customFormat="1" ht="20.25" customHeight="1" x14ac:dyDescent="0.25">
      <c r="A8" s="334"/>
      <c r="B8" s="344" t="s">
        <v>939</v>
      </c>
      <c r="C8" s="333"/>
      <c r="D8" s="333"/>
      <c r="E8" s="335"/>
      <c r="F8" s="336"/>
    </row>
    <row r="9" spans="1:7" s="332" customFormat="1" ht="20.25" customHeight="1" x14ac:dyDescent="0.25">
      <c r="A9" s="337"/>
      <c r="C9" s="333"/>
      <c r="D9" s="333"/>
      <c r="E9" s="335"/>
      <c r="F9" s="336"/>
    </row>
    <row r="10" spans="1:7" s="332" customFormat="1" ht="27.75" customHeight="1" x14ac:dyDescent="0.25">
      <c r="A10" s="490"/>
      <c r="B10" s="497" t="s">
        <v>940</v>
      </c>
      <c r="C10" s="494"/>
      <c r="D10" s="489" t="s">
        <v>941</v>
      </c>
      <c r="E10" s="491" t="s">
        <v>942</v>
      </c>
      <c r="F10" s="336"/>
    </row>
    <row r="11" spans="1:7" s="332" customFormat="1" ht="20.25" customHeight="1" x14ac:dyDescent="0.25">
      <c r="A11" s="334"/>
      <c r="C11" s="495"/>
      <c r="D11" s="492"/>
      <c r="E11" s="335"/>
      <c r="F11" s="336"/>
    </row>
    <row r="12" spans="1:7" s="332" customFormat="1" ht="20.25" customHeight="1" x14ac:dyDescent="0.25">
      <c r="A12" s="337"/>
      <c r="C12" s="495"/>
      <c r="D12" s="492"/>
      <c r="E12" s="335"/>
      <c r="F12" s="336"/>
    </row>
    <row r="13" spans="1:7" x14ac:dyDescent="0.3">
      <c r="A13" s="338"/>
      <c r="C13" s="496"/>
      <c r="D13" s="493"/>
      <c r="E13" s="339"/>
      <c r="F13" s="17"/>
    </row>
    <row r="14" spans="1:7" x14ac:dyDescent="0.3">
      <c r="A14" s="338"/>
      <c r="B14" s="17"/>
      <c r="C14" s="496"/>
      <c r="D14" s="493"/>
      <c r="E14" s="339"/>
      <c r="F14" s="17"/>
    </row>
    <row r="15" spans="1:7" x14ac:dyDescent="0.3">
      <c r="A15" s="338"/>
      <c r="B15" s="17"/>
      <c r="C15" s="496"/>
      <c r="D15" s="493"/>
      <c r="E15" s="339"/>
      <c r="F15" s="17"/>
    </row>
    <row r="16" spans="1:7" x14ac:dyDescent="0.3">
      <c r="A16" s="338"/>
      <c r="B16" s="17"/>
      <c r="C16" s="496"/>
      <c r="D16" s="493"/>
      <c r="E16" s="339"/>
      <c r="F16" s="17"/>
    </row>
    <row r="17" spans="1:6" x14ac:dyDescent="0.3">
      <c r="A17" s="338"/>
      <c r="B17" s="860" t="s">
        <v>1238</v>
      </c>
      <c r="C17" s="496"/>
      <c r="D17" s="493"/>
      <c r="E17" s="339"/>
      <c r="F17" s="17"/>
    </row>
    <row r="18" spans="1:6" x14ac:dyDescent="0.3">
      <c r="A18" s="338"/>
      <c r="B18" s="860" t="s">
        <v>1239</v>
      </c>
      <c r="C18" s="496"/>
      <c r="D18" s="493"/>
      <c r="E18" s="339"/>
      <c r="F18" s="17"/>
    </row>
    <row r="19" spans="1:6" x14ac:dyDescent="0.3">
      <c r="A19" s="338"/>
      <c r="B19" s="17"/>
      <c r="C19" s="496"/>
      <c r="D19" s="493"/>
      <c r="E19" s="339"/>
      <c r="F19" s="17"/>
    </row>
    <row r="20" spans="1:6" x14ac:dyDescent="0.3">
      <c r="A20" s="338"/>
      <c r="B20" s="17"/>
      <c r="C20" s="496"/>
      <c r="D20" s="493"/>
      <c r="E20" s="339"/>
      <c r="F20" s="17"/>
    </row>
    <row r="21" spans="1:6" x14ac:dyDescent="0.3">
      <c r="A21" s="338"/>
      <c r="B21" s="17"/>
      <c r="C21" s="496"/>
      <c r="D21" s="493"/>
      <c r="E21" s="339"/>
      <c r="F21" s="17"/>
    </row>
    <row r="22" spans="1:6" x14ac:dyDescent="0.3">
      <c r="A22" s="338"/>
      <c r="B22" s="17"/>
      <c r="C22" s="496"/>
      <c r="D22" s="493"/>
      <c r="E22" s="339"/>
      <c r="F22" s="17"/>
    </row>
    <row r="23" spans="1:6" x14ac:dyDescent="0.3">
      <c r="A23" s="338"/>
      <c r="B23" s="17"/>
      <c r="C23" s="496"/>
      <c r="D23" s="493"/>
      <c r="E23" s="339"/>
      <c r="F23" s="17"/>
    </row>
    <row r="24" spans="1:6" x14ac:dyDescent="0.3">
      <c r="A24" s="338"/>
      <c r="B24" s="17"/>
      <c r="C24" s="496"/>
      <c r="D24" s="493"/>
      <c r="E24" s="339"/>
      <c r="F24" s="17"/>
    </row>
    <row r="25" spans="1:6" x14ac:dyDescent="0.3">
      <c r="A25" s="338"/>
      <c r="B25" s="17"/>
      <c r="C25" s="496"/>
      <c r="D25" s="493"/>
      <c r="E25" s="339"/>
      <c r="F25" s="17"/>
    </row>
    <row r="26" spans="1:6" x14ac:dyDescent="0.3">
      <c r="A26" s="338"/>
      <c r="B26" s="17"/>
      <c r="C26" s="496"/>
      <c r="D26" s="493"/>
      <c r="E26" s="339"/>
      <c r="F26" s="17"/>
    </row>
    <row r="27" spans="1:6" x14ac:dyDescent="0.3">
      <c r="A27" s="338"/>
      <c r="B27" s="17"/>
      <c r="C27" s="496"/>
      <c r="D27" s="493"/>
      <c r="E27" s="339"/>
      <c r="F27" s="17"/>
    </row>
    <row r="28" spans="1:6" x14ac:dyDescent="0.3">
      <c r="A28" s="338"/>
      <c r="B28" s="17"/>
      <c r="C28" s="496"/>
      <c r="D28" s="493"/>
      <c r="E28" s="339"/>
      <c r="F28" s="17"/>
    </row>
    <row r="29" spans="1:6" x14ac:dyDescent="0.3">
      <c r="A29" s="338"/>
      <c r="B29" s="17"/>
      <c r="C29" s="496"/>
      <c r="D29" s="493"/>
      <c r="E29" s="339"/>
      <c r="F29" s="17"/>
    </row>
    <row r="30" spans="1:6" x14ac:dyDescent="0.3">
      <c r="A30" s="338"/>
      <c r="B30" s="17"/>
      <c r="C30" s="496"/>
      <c r="D30" s="493"/>
      <c r="E30" s="339"/>
      <c r="F30" s="17"/>
    </row>
    <row r="31" spans="1:6" x14ac:dyDescent="0.3">
      <c r="A31" s="338"/>
      <c r="B31" s="17"/>
      <c r="C31" s="496"/>
      <c r="D31" s="493"/>
      <c r="E31" s="339"/>
      <c r="F31" s="17"/>
    </row>
    <row r="32" spans="1:6" x14ac:dyDescent="0.3">
      <c r="A32" s="338"/>
      <c r="B32" s="17"/>
      <c r="C32" s="496"/>
      <c r="D32" s="493"/>
      <c r="E32" s="339"/>
      <c r="F32" s="17"/>
    </row>
    <row r="33" spans="1:6" x14ac:dyDescent="0.3">
      <c r="A33" s="338"/>
      <c r="B33" s="17"/>
      <c r="C33" s="496"/>
      <c r="D33" s="493"/>
      <c r="E33" s="339"/>
      <c r="F33" s="17"/>
    </row>
    <row r="34" spans="1:6" x14ac:dyDescent="0.3">
      <c r="A34" s="338"/>
      <c r="B34" s="17"/>
      <c r="C34" s="496"/>
      <c r="D34" s="493"/>
      <c r="E34" s="339"/>
      <c r="F34" s="17"/>
    </row>
    <row r="35" spans="1:6" ht="17.25" thickBot="1" x14ac:dyDescent="0.35">
      <c r="A35" s="340"/>
      <c r="B35" s="341"/>
      <c r="C35" s="496"/>
      <c r="D35" s="493"/>
      <c r="E35" s="339"/>
      <c r="F35" s="17"/>
    </row>
    <row r="36" spans="1:6" ht="25.5" x14ac:dyDescent="0.35">
      <c r="A36" s="342" t="s">
        <v>943</v>
      </c>
      <c r="B36" s="41" t="s">
        <v>944</v>
      </c>
      <c r="C36" s="498"/>
      <c r="D36" s="498"/>
      <c r="E36" s="498"/>
      <c r="F36" s="17"/>
    </row>
    <row r="37" spans="1:6" x14ac:dyDescent="0.3">
      <c r="B37" s="41" t="s">
        <v>945</v>
      </c>
      <c r="C37" s="17"/>
      <c r="D37" s="17"/>
      <c r="E37" s="17"/>
      <c r="F37" s="17"/>
    </row>
    <row r="38" spans="1:6" x14ac:dyDescent="0.3">
      <c r="A38" s="412" t="s">
        <v>86</v>
      </c>
      <c r="C38" s="343"/>
      <c r="D38" s="343"/>
      <c r="E38" s="17"/>
      <c r="F38" s="17"/>
    </row>
    <row r="39" spans="1:6" ht="10.5" customHeight="1" x14ac:dyDescent="0.3">
      <c r="A39" s="499"/>
      <c r="B39" s="343"/>
      <c r="C39" s="343"/>
      <c r="D39" s="343"/>
      <c r="E39" s="17"/>
    </row>
    <row r="40" spans="1:6" x14ac:dyDescent="0.3">
      <c r="A40" s="499"/>
      <c r="B40" s="17"/>
      <c r="C40" s="17"/>
      <c r="D40" s="17"/>
      <c r="E40" s="17"/>
    </row>
    <row r="42" spans="1:6" x14ac:dyDescent="0.3">
      <c r="A42" s="412"/>
    </row>
    <row r="43" spans="1:6" x14ac:dyDescent="0.3">
      <c r="A43" s="412"/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40"/>
  <sheetViews>
    <sheetView view="pageBreakPreview" zoomScaleNormal="100" zoomScaleSheetLayoutView="100" workbookViewId="0">
      <selection activeCell="G25" sqref="G25"/>
    </sheetView>
  </sheetViews>
  <sheetFormatPr baseColWidth="10" defaultColWidth="11.28515625" defaultRowHeight="16.5" x14ac:dyDescent="0.3"/>
  <cols>
    <col min="1" max="1" width="4.28515625" style="104" customWidth="1"/>
    <col min="2" max="2" width="41" style="86" customWidth="1"/>
    <col min="3" max="5" width="15.7109375" style="86" customWidth="1"/>
    <col min="6" max="6" width="11.28515625" style="86"/>
    <col min="7" max="7" width="12.28515625" style="86" bestFit="1" customWidth="1"/>
    <col min="8" max="16384" width="11.28515625" style="86"/>
  </cols>
  <sheetData>
    <row r="1" spans="1:7" x14ac:dyDescent="0.3">
      <c r="A1" s="637"/>
      <c r="B1" s="1298" t="s">
        <v>25</v>
      </c>
      <c r="C1" s="1298"/>
      <c r="D1" s="1298"/>
      <c r="E1" s="1298"/>
    </row>
    <row r="2" spans="1:7" x14ac:dyDescent="0.3">
      <c r="A2" s="298"/>
      <c r="B2" s="1276" t="s">
        <v>946</v>
      </c>
      <c r="C2" s="1276"/>
      <c r="D2" s="1276"/>
      <c r="E2" s="1276"/>
    </row>
    <row r="3" spans="1:7" x14ac:dyDescent="0.3">
      <c r="A3" s="638"/>
      <c r="B3" s="1299" t="str">
        <f>'ETCA-I-01'!A3</f>
        <v>Centro de Evaluacion y Control de Confianza del Estado de Sonora</v>
      </c>
      <c r="C3" s="1299"/>
      <c r="D3" s="1299"/>
      <c r="E3" s="1299"/>
      <c r="G3" s="346"/>
    </row>
    <row r="4" spans="1:7" x14ac:dyDescent="0.3">
      <c r="A4" s="1300" t="str">
        <f>'ETCA-I-03'!A4</f>
        <v>Del 01 de Enero  al 31 de Marzo de 2018</v>
      </c>
      <c r="B4" s="1300"/>
      <c r="C4" s="1300"/>
      <c r="D4" s="1300"/>
      <c r="E4" s="1300"/>
    </row>
    <row r="5" spans="1:7" x14ac:dyDescent="0.3">
      <c r="A5" s="664"/>
      <c r="B5" s="1276" t="s">
        <v>947</v>
      </c>
      <c r="C5" s="1276"/>
      <c r="D5" s="639"/>
      <c r="E5" s="298"/>
    </row>
    <row r="6" spans="1:7" ht="6.75" customHeight="1" thickBot="1" x14ac:dyDescent="0.35">
      <c r="A6" s="637"/>
      <c r="B6" s="640"/>
      <c r="C6" s="640"/>
      <c r="D6" s="640"/>
      <c r="E6" s="640"/>
    </row>
    <row r="7" spans="1:7" s="177" customFormat="1" x14ac:dyDescent="0.25">
      <c r="A7" s="1302" t="s">
        <v>261</v>
      </c>
      <c r="B7" s="1303"/>
      <c r="C7" s="1306" t="s">
        <v>948</v>
      </c>
      <c r="D7" s="1306" t="s">
        <v>481</v>
      </c>
      <c r="E7" s="1310" t="s">
        <v>949</v>
      </c>
    </row>
    <row r="8" spans="1:7" s="177" customFormat="1" ht="17.25" thickBot="1" x14ac:dyDescent="0.3">
      <c r="A8" s="1304"/>
      <c r="B8" s="1305"/>
      <c r="C8" s="1307"/>
      <c r="D8" s="1307"/>
      <c r="E8" s="1311"/>
    </row>
    <row r="9" spans="1:7" s="177" customFormat="1" ht="20.25" customHeight="1" x14ac:dyDescent="0.25">
      <c r="A9" s="347" t="s">
        <v>950</v>
      </c>
      <c r="B9" s="305"/>
      <c r="C9" s="315">
        <f>C10+C11</f>
        <v>55323720</v>
      </c>
      <c r="D9" s="315">
        <f>D10+D11</f>
        <v>10977662.24</v>
      </c>
      <c r="E9" s="315">
        <f>E10+E11</f>
        <v>10977662.24</v>
      </c>
      <c r="F9" s="390" t="str">
        <f>IF((C9-'ETCA-II-01'!C51)&gt;0.9,"ERROR!!!!! EL MONTO NO COINCIDE CON LO REPORTADO EN EL FORMATO ETCA-II-01 EN EL TOTAL DEVENGADO DEL ANALÍTICO DE INGRESOS","")</f>
        <v/>
      </c>
    </row>
    <row r="10" spans="1:7" s="177" customFormat="1" ht="20.25" customHeight="1" x14ac:dyDescent="0.25">
      <c r="A10" s="304"/>
      <c r="B10" s="349" t="s">
        <v>951</v>
      </c>
      <c r="C10" s="943"/>
      <c r="D10" s="942"/>
      <c r="G10" s="950"/>
    </row>
    <row r="11" spans="1:7" s="177" customFormat="1" ht="20.25" customHeight="1" x14ac:dyDescent="0.25">
      <c r="A11" s="304"/>
      <c r="B11" s="349" t="s">
        <v>952</v>
      </c>
      <c r="C11" s="306">
        <f>'ETCA-II-01'!C51</f>
        <v>55323720</v>
      </c>
      <c r="D11" s="306">
        <f>'ETCA-II-01'!F24</f>
        <v>10977662.24</v>
      </c>
      <c r="E11" s="348">
        <f>'ETCA-IV-01'!D11</f>
        <v>10977662.24</v>
      </c>
    </row>
    <row r="12" spans="1:7" s="177" customFormat="1" ht="20.25" customHeight="1" x14ac:dyDescent="0.25">
      <c r="A12" s="347" t="s">
        <v>953</v>
      </c>
      <c r="B12" s="349"/>
      <c r="C12" s="315">
        <f>C13+C14</f>
        <v>55323720.010000005</v>
      </c>
      <c r="D12" s="315">
        <f>D13+D14</f>
        <v>12515447.07</v>
      </c>
      <c r="E12" s="353">
        <f>E13+E14</f>
        <v>12002988.420000002</v>
      </c>
      <c r="F12" s="390" t="str">
        <f>IF((C12-'ETCA II-04'!B81)&gt;0.9,"ERROR!!!!! EL MONTO NO COINCIDE CON LO REPORTADO EN EL FORMATO ETCA-II-04 EN EL TOTAL DEVENGADO DEL ANALÍTICO DE INGRESOS","")</f>
        <v/>
      </c>
    </row>
    <row r="13" spans="1:7" s="177" customFormat="1" ht="20.25" customHeight="1" x14ac:dyDescent="0.25">
      <c r="A13" s="304"/>
      <c r="B13" s="349" t="s">
        <v>954</v>
      </c>
      <c r="C13" s="943"/>
      <c r="D13" s="943"/>
    </row>
    <row r="14" spans="1:7" s="177" customFormat="1" ht="20.25" customHeight="1" x14ac:dyDescent="0.25">
      <c r="A14" s="304"/>
      <c r="B14" s="349" t="s">
        <v>955</v>
      </c>
      <c r="C14" s="306">
        <f>'ETCA-II-13'!C215</f>
        <v>55323720.010000005</v>
      </c>
      <c r="D14" s="306">
        <f>'ETCA-II-13'!F215</f>
        <v>12515447.07</v>
      </c>
      <c r="E14" s="306">
        <f>'ETCA-II-13'!G215</f>
        <v>12002988.420000002</v>
      </c>
    </row>
    <row r="15" spans="1:7" s="177" customFormat="1" ht="20.25" customHeight="1" x14ac:dyDescent="0.25">
      <c r="A15" s="347" t="s">
        <v>956</v>
      </c>
      <c r="B15" s="349"/>
      <c r="C15" s="315">
        <f>C9-C12</f>
        <v>-1.000000536441803E-2</v>
      </c>
      <c r="D15" s="315">
        <f>D9-D12</f>
        <v>-1537784.83</v>
      </c>
      <c r="E15" s="353">
        <f>E9-E12</f>
        <v>-1025326.1800000016</v>
      </c>
    </row>
    <row r="16" spans="1:7" s="177" customFormat="1" ht="20.25" customHeight="1" thickBot="1" x14ac:dyDescent="0.3">
      <c r="A16" s="304"/>
      <c r="B16" s="305"/>
      <c r="C16" s="306"/>
      <c r="D16" s="306"/>
      <c r="E16" s="308"/>
    </row>
    <row r="17" spans="1:6" s="177" customFormat="1" x14ac:dyDescent="0.25">
      <c r="A17" s="1302" t="s">
        <v>261</v>
      </c>
      <c r="B17" s="1303"/>
      <c r="C17" s="1306" t="s">
        <v>948</v>
      </c>
      <c r="D17" s="1306" t="s">
        <v>481</v>
      </c>
      <c r="E17" s="1308" t="s">
        <v>949</v>
      </c>
    </row>
    <row r="18" spans="1:6" s="177" customFormat="1" ht="12" customHeight="1" thickBot="1" x14ac:dyDescent="0.3">
      <c r="A18" s="1304"/>
      <c r="B18" s="1305"/>
      <c r="C18" s="1307"/>
      <c r="D18" s="1307"/>
      <c r="E18" s="1309"/>
    </row>
    <row r="19" spans="1:6" s="177" customFormat="1" ht="20.25" customHeight="1" x14ac:dyDescent="0.25">
      <c r="A19" s="347" t="s">
        <v>957</v>
      </c>
      <c r="B19" s="305"/>
      <c r="C19" s="315">
        <f>C15</f>
        <v>-1.000000536441803E-2</v>
      </c>
      <c r="D19" s="315">
        <f>D15</f>
        <v>-1537784.83</v>
      </c>
      <c r="E19" s="488">
        <f>E15</f>
        <v>-1025326.1800000016</v>
      </c>
    </row>
    <row r="20" spans="1:6" s="177" customFormat="1" ht="20.25" customHeight="1" x14ac:dyDescent="0.25">
      <c r="A20" s="347" t="s">
        <v>958</v>
      </c>
      <c r="B20" s="305"/>
      <c r="C20" s="306"/>
      <c r="D20" s="306"/>
      <c r="E20" s="348"/>
      <c r="F20" s="390" t="str">
        <f>IF((D20-'ETCA-I-03'!C48)&gt;0.9,"ERROR!!!!! EL MONTO NO COINCIDE CON LO REPORTADO EN EL FORMATO ETCA-I-03 POR CONCEPTO DE INTERESES, COMISIONES Y GASTOS DE LA DEUDA","")</f>
        <v/>
      </c>
    </row>
    <row r="21" spans="1:6" s="177" customFormat="1" ht="20.25" customHeight="1" x14ac:dyDescent="0.25">
      <c r="A21" s="347" t="s">
        <v>959</v>
      </c>
      <c r="B21" s="305"/>
      <c r="C21" s="315">
        <f>C19-C20</f>
        <v>-1.000000536441803E-2</v>
      </c>
      <c r="D21" s="315">
        <f>D19-D20</f>
        <v>-1537784.83</v>
      </c>
      <c r="E21" s="353">
        <f>E19-E20</f>
        <v>-1025326.1800000016</v>
      </c>
    </row>
    <row r="22" spans="1:6" s="177" customFormat="1" ht="20.25" customHeight="1" thickBot="1" x14ac:dyDescent="0.3">
      <c r="A22" s="304"/>
      <c r="B22" s="305"/>
      <c r="C22" s="321"/>
      <c r="D22" s="321"/>
      <c r="E22" s="671"/>
    </row>
    <row r="23" spans="1:6" s="177" customFormat="1" ht="28.5" customHeight="1" x14ac:dyDescent="0.25">
      <c r="A23" s="1302" t="s">
        <v>261</v>
      </c>
      <c r="B23" s="1303"/>
      <c r="C23" s="1306" t="s">
        <v>948</v>
      </c>
      <c r="D23" s="350" t="s">
        <v>481</v>
      </c>
      <c r="E23" s="1308" t="s">
        <v>949</v>
      </c>
    </row>
    <row r="24" spans="1:6" s="177" customFormat="1" ht="0.75" customHeight="1" thickBot="1" x14ac:dyDescent="0.3">
      <c r="A24" s="1304"/>
      <c r="B24" s="1305"/>
      <c r="C24" s="1307"/>
      <c r="D24" s="351"/>
      <c r="E24" s="1309"/>
    </row>
    <row r="25" spans="1:6" s="177" customFormat="1" ht="20.25" customHeight="1" x14ac:dyDescent="0.25">
      <c r="A25" s="347" t="s">
        <v>960</v>
      </c>
      <c r="B25" s="305"/>
      <c r="C25" s="306"/>
      <c r="D25" s="306"/>
      <c r="E25" s="308"/>
    </row>
    <row r="26" spans="1:6" s="177" customFormat="1" ht="20.25" customHeight="1" x14ac:dyDescent="0.25">
      <c r="A26" s="347" t="s">
        <v>961</v>
      </c>
      <c r="B26" s="305"/>
      <c r="C26" s="306"/>
      <c r="D26" s="306"/>
      <c r="E26" s="308"/>
    </row>
    <row r="27" spans="1:6" s="177" customFormat="1" ht="20.25" customHeight="1" x14ac:dyDescent="0.25">
      <c r="A27" s="347" t="s">
        <v>962</v>
      </c>
      <c r="B27" s="305"/>
      <c r="C27" s="315">
        <f>C25-C26</f>
        <v>0</v>
      </c>
      <c r="D27" s="315">
        <f>D25-D26</f>
        <v>0</v>
      </c>
      <c r="E27" s="353">
        <f>E25-E26</f>
        <v>0</v>
      </c>
    </row>
    <row r="28" spans="1:6" s="177" customFormat="1" ht="20.25" customHeight="1" thickBot="1" x14ac:dyDescent="0.3">
      <c r="A28" s="665"/>
      <c r="B28" s="666"/>
      <c r="C28" s="669"/>
      <c r="D28" s="669"/>
      <c r="E28" s="352"/>
    </row>
    <row r="29" spans="1:6" s="177" customFormat="1" ht="20.25" customHeight="1" x14ac:dyDescent="0.25">
      <c r="A29" s="641" t="s">
        <v>86</v>
      </c>
      <c r="B29" s="642"/>
      <c r="C29" s="642"/>
      <c r="D29" s="642"/>
      <c r="E29" s="642"/>
    </row>
    <row r="30" spans="1:6" s="177" customFormat="1" ht="20.25" customHeight="1" x14ac:dyDescent="0.25">
      <c r="A30" s="435"/>
      <c r="B30" s="435"/>
      <c r="C30" s="435"/>
      <c r="D30" s="435"/>
      <c r="E30" s="435"/>
    </row>
    <row r="31" spans="1:6" s="177" customFormat="1" ht="18" customHeight="1" x14ac:dyDescent="0.25"/>
    <row r="32" spans="1:6" s="177" customFormat="1" ht="18" customHeight="1" x14ac:dyDescent="0.25">
      <c r="A32" s="435"/>
      <c r="B32" s="435"/>
      <c r="C32" s="435"/>
      <c r="D32" s="435"/>
      <c r="E32" s="435"/>
    </row>
    <row r="33" spans="1:10" s="177" customFormat="1" ht="18" customHeight="1" x14ac:dyDescent="0.25">
      <c r="A33" s="435"/>
      <c r="B33" s="435"/>
      <c r="C33" s="435"/>
      <c r="D33" s="435"/>
      <c r="E33" s="435"/>
    </row>
    <row r="34" spans="1:10" s="177" customFormat="1" ht="18" customHeight="1" x14ac:dyDescent="0.25">
      <c r="A34" s="435"/>
      <c r="B34" s="435"/>
      <c r="C34" s="435"/>
      <c r="D34" s="435"/>
      <c r="E34" s="435"/>
    </row>
    <row r="35" spans="1:10" ht="18" customHeight="1" x14ac:dyDescent="0.3">
      <c r="A35" s="641" t="s">
        <v>258</v>
      </c>
      <c r="B35" s="648" t="s">
        <v>963</v>
      </c>
      <c r="C35" s="642"/>
      <c r="D35" s="642"/>
      <c r="E35" s="642"/>
      <c r="J35" s="314"/>
    </row>
    <row r="36" spans="1:10" ht="49.5" customHeight="1" x14ac:dyDescent="0.3">
      <c r="A36" s="1301" t="s">
        <v>964</v>
      </c>
      <c r="B36" s="1301"/>
      <c r="C36" s="1301"/>
      <c r="D36" s="1301"/>
      <c r="E36" s="1301"/>
    </row>
    <row r="37" spans="1:10" x14ac:dyDescent="0.3">
      <c r="A37" s="638"/>
      <c r="B37" s="642"/>
      <c r="C37" s="642"/>
      <c r="D37" s="642"/>
      <c r="E37" s="642"/>
    </row>
    <row r="38" spans="1:10" ht="75" customHeight="1" x14ac:dyDescent="0.3">
      <c r="A38" s="1301" t="s">
        <v>965</v>
      </c>
      <c r="B38" s="1301"/>
      <c r="C38" s="1301"/>
      <c r="D38" s="1301"/>
      <c r="E38" s="1301"/>
    </row>
    <row r="39" spans="1:10" ht="5.25" customHeight="1" x14ac:dyDescent="0.3">
      <c r="A39" s="638"/>
      <c r="B39" s="642"/>
      <c r="C39" s="642"/>
      <c r="D39" s="642"/>
      <c r="E39" s="642"/>
    </row>
    <row r="40" spans="1:10" ht="13.5" customHeight="1" x14ac:dyDescent="0.3">
      <c r="A40" s="1301" t="s">
        <v>966</v>
      </c>
      <c r="B40" s="1301"/>
      <c r="C40" s="1301"/>
      <c r="D40" s="1301"/>
      <c r="E40" s="1301"/>
    </row>
  </sheetData>
  <sheetProtection insertHyperlinks="0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6:E36"/>
    <mergeCell ref="A38:E38"/>
    <mergeCell ref="A40:E40"/>
    <mergeCell ref="A23:B24"/>
    <mergeCell ref="C23:C24"/>
    <mergeCell ref="E23:E24"/>
    <mergeCell ref="B1:E1"/>
    <mergeCell ref="B2:E2"/>
    <mergeCell ref="B3:E3"/>
    <mergeCell ref="B5:C5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89"/>
  <sheetViews>
    <sheetView view="pageBreakPreview" topLeftCell="A37" zoomScale="60" zoomScaleNormal="100" workbookViewId="0">
      <selection activeCell="B33" sqref="B33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  <col min="8" max="8" width="14.140625" bestFit="1" customWidth="1"/>
  </cols>
  <sheetData>
    <row r="1" spans="1:6" ht="15.75" x14ac:dyDescent="0.25">
      <c r="A1" s="1049" t="s">
        <v>25</v>
      </c>
      <c r="B1" s="1049"/>
      <c r="C1" s="1049"/>
      <c r="D1" s="1049"/>
      <c r="E1" s="1049"/>
    </row>
    <row r="2" spans="1:6" ht="15.75" customHeight="1" x14ac:dyDescent="0.25">
      <c r="A2" s="1050" t="s">
        <v>967</v>
      </c>
      <c r="B2" s="1050"/>
      <c r="C2" s="1050"/>
      <c r="D2" s="1050"/>
      <c r="E2" s="1050"/>
    </row>
    <row r="3" spans="1:6" ht="16.5" customHeight="1" x14ac:dyDescent="0.25">
      <c r="A3" s="1050" t="str">
        <f>'ETCA-I-01'!A3:G3</f>
        <v>Centro de Evaluacion y Control de Confianza del Estado de Sonora</v>
      </c>
      <c r="B3" s="1050"/>
      <c r="C3" s="1050"/>
      <c r="D3" s="1050"/>
      <c r="E3" s="1050"/>
    </row>
    <row r="4" spans="1:6" ht="15.75" customHeight="1" x14ac:dyDescent="0.25">
      <c r="A4" s="1085" t="str">
        <f>'ETCA-I-03'!A4:D4</f>
        <v>Del 01 de Enero  al 31 de Marzo de 2018</v>
      </c>
      <c r="B4" s="1085"/>
      <c r="C4" s="1085"/>
      <c r="D4" s="1085"/>
      <c r="E4" s="1085"/>
    </row>
    <row r="5" spans="1:6" ht="15.75" customHeight="1" x14ac:dyDescent="0.25">
      <c r="A5" s="1330" t="s">
        <v>89</v>
      </c>
      <c r="B5" s="1330"/>
      <c r="C5" s="1330"/>
      <c r="D5" s="1330"/>
      <c r="E5" s="1330"/>
    </row>
    <row r="6" spans="1:6" ht="15.75" customHeight="1" thickBot="1" x14ac:dyDescent="0.3">
      <c r="A6" s="679"/>
      <c r="B6" s="679"/>
      <c r="C6" s="679"/>
      <c r="D6" s="679"/>
      <c r="E6" s="679"/>
    </row>
    <row r="7" spans="1:6" x14ac:dyDescent="0.25">
      <c r="A7" s="1319" t="s">
        <v>90</v>
      </c>
      <c r="B7" s="1320"/>
      <c r="C7" s="662" t="s">
        <v>968</v>
      </c>
      <c r="D7" s="1269" t="s">
        <v>481</v>
      </c>
      <c r="E7" s="570" t="s">
        <v>969</v>
      </c>
    </row>
    <row r="8" spans="1:6" ht="15.75" thickBot="1" x14ac:dyDescent="0.3">
      <c r="A8" s="1321"/>
      <c r="B8" s="1322"/>
      <c r="C8" s="663" t="s">
        <v>630</v>
      </c>
      <c r="D8" s="1270"/>
      <c r="E8" s="521" t="s">
        <v>633</v>
      </c>
    </row>
    <row r="9" spans="1:6" ht="7.5" customHeight="1" x14ac:dyDescent="0.25">
      <c r="A9" s="680"/>
      <c r="B9" s="522"/>
      <c r="C9" s="522"/>
      <c r="D9" s="522"/>
      <c r="E9" s="522"/>
    </row>
    <row r="10" spans="1:6" x14ac:dyDescent="0.25">
      <c r="A10" s="680"/>
      <c r="B10" s="523" t="s">
        <v>970</v>
      </c>
      <c r="C10" s="931">
        <f>SUM(C11:C13)</f>
        <v>55323720</v>
      </c>
      <c r="D10" s="931">
        <f>SUM(D11:D13)</f>
        <v>10977662.24</v>
      </c>
      <c r="E10" s="931">
        <f>SUM(E11:E13)</f>
        <v>10977662.24</v>
      </c>
      <c r="F10" s="441" t="str">
        <f>IF(C10&lt;&gt;'ETCA-IV-01'!C9,"ERROR!!!!! EL MONTO NO COINCIDE CON LO REPORTADO EN EL FORMATO ETCA-IV-01 ","")</f>
        <v/>
      </c>
    </row>
    <row r="11" spans="1:6" ht="14.25" customHeight="1" x14ac:dyDescent="0.25">
      <c r="A11" s="680"/>
      <c r="B11" s="522" t="s">
        <v>971</v>
      </c>
      <c r="C11" s="932">
        <f>'ETCA-IV-01'!C11</f>
        <v>55323720</v>
      </c>
      <c r="D11" s="932">
        <f>'ETCA-IV-01'!D11</f>
        <v>10977662.24</v>
      </c>
      <c r="E11" s="932">
        <f>'ETCA-IV-01'!E11</f>
        <v>10977662.24</v>
      </c>
      <c r="F11" s="441" t="str">
        <f>IF(D10&lt;&gt;'ETCA-IV-01'!D9,"ERROR!!!!! EL MONTO NO COINCIDE CON LO REPORTADO EN EL FORMATO ETCA-IV-01 ","")</f>
        <v/>
      </c>
    </row>
    <row r="12" spans="1:6" ht="14.25" customHeight="1" x14ac:dyDescent="0.25">
      <c r="A12" s="680"/>
      <c r="B12" s="522" t="s">
        <v>972</v>
      </c>
      <c r="C12" s="932">
        <v>0</v>
      </c>
      <c r="D12" s="932"/>
      <c r="E12" s="932"/>
      <c r="F12" s="441" t="str">
        <f>IF(E10&lt;&gt;'ETCA-IV-01'!E9,"ERROR!!!!! EL MONTO NO COINCIDE CON LO REPORTADO EN EL FORMATO ETCA-IV-01 ","")</f>
        <v/>
      </c>
    </row>
    <row r="13" spans="1:6" ht="14.25" customHeight="1" x14ac:dyDescent="0.25">
      <c r="A13" s="680"/>
      <c r="B13" s="522" t="s">
        <v>973</v>
      </c>
      <c r="C13" s="932">
        <v>0</v>
      </c>
      <c r="D13" s="932">
        <v>0</v>
      </c>
      <c r="E13" s="932">
        <v>0</v>
      </c>
    </row>
    <row r="14" spans="1:6" ht="3.75" customHeight="1" x14ac:dyDescent="0.25">
      <c r="A14" s="678"/>
      <c r="B14" s="523"/>
      <c r="C14" s="933"/>
      <c r="D14" s="933"/>
      <c r="E14" s="933"/>
    </row>
    <row r="15" spans="1:6" x14ac:dyDescent="0.25">
      <c r="A15" s="678"/>
      <c r="B15" s="523" t="s">
        <v>974</v>
      </c>
      <c r="C15" s="931">
        <f>SUM(C16:C17)</f>
        <v>55323720.010000005</v>
      </c>
      <c r="D15" s="931">
        <f>SUM(D16:D17)</f>
        <v>12515447.07</v>
      </c>
      <c r="E15" s="931">
        <f>SUM(E16:E17)</f>
        <v>12002988.420000002</v>
      </c>
      <c r="F15" s="441" t="str">
        <f>IF(C15&lt;&gt;'ETCA-IV-01'!C12,"ERROR!!!!! EL MONTO NO COINCIDE CON LO REPORTADO EN EL FORMATO ETCA-IV-01 ","")</f>
        <v/>
      </c>
    </row>
    <row r="16" spans="1:6" ht="21" customHeight="1" x14ac:dyDescent="0.25">
      <c r="A16" s="680"/>
      <c r="B16" s="522" t="s">
        <v>975</v>
      </c>
      <c r="C16" s="932">
        <f>'ETCA-IV-01'!C14</f>
        <v>55323720.010000005</v>
      </c>
      <c r="D16" s="932">
        <f>'ETCA-IV-01'!D14</f>
        <v>12515447.07</v>
      </c>
      <c r="E16" s="932">
        <f>'ETCA-IV-01'!E14</f>
        <v>12002988.420000002</v>
      </c>
      <c r="F16" s="441" t="str">
        <f>IF(D15&lt;&gt;'ETCA-IV-01'!D12,"ERROR!!!!! EL MONTO NO COINCIDE CON LO REPORTADO EN EL FORMATO ETCA-IV-01 ","")</f>
        <v/>
      </c>
    </row>
    <row r="17" spans="1:8" ht="21" customHeight="1" x14ac:dyDescent="0.25">
      <c r="A17" s="680"/>
      <c r="B17" s="522" t="s">
        <v>976</v>
      </c>
      <c r="C17" s="932">
        <v>0</v>
      </c>
      <c r="D17" s="932"/>
      <c r="E17" s="932"/>
      <c r="F17" s="441"/>
    </row>
    <row r="18" spans="1:8" ht="8.25" customHeight="1" x14ac:dyDescent="0.25">
      <c r="A18" s="680"/>
      <c r="B18" s="522"/>
      <c r="C18" s="933"/>
      <c r="D18" s="933"/>
      <c r="E18" s="933"/>
    </row>
    <row r="19" spans="1:8" x14ac:dyDescent="0.25">
      <c r="A19" s="680"/>
      <c r="B19" s="523" t="s">
        <v>977</v>
      </c>
      <c r="C19" s="931">
        <f>SUM(C20:C21)</f>
        <v>0</v>
      </c>
      <c r="D19" s="931">
        <f t="shared" ref="D19:E19" si="0">SUM(D20:D21)</f>
        <v>0</v>
      </c>
      <c r="E19" s="931">
        <f t="shared" si="0"/>
        <v>0</v>
      </c>
      <c r="F19" s="441" t="s">
        <v>258</v>
      </c>
    </row>
    <row r="20" spans="1:8" ht="19.5" customHeight="1" x14ac:dyDescent="0.25">
      <c r="A20" s="680"/>
      <c r="B20" s="522" t="s">
        <v>978</v>
      </c>
      <c r="C20" s="934"/>
      <c r="D20" s="932">
        <v>0</v>
      </c>
      <c r="E20" s="932">
        <v>0</v>
      </c>
      <c r="F20" s="441" t="s">
        <v>258</v>
      </c>
      <c r="H20" s="951"/>
    </row>
    <row r="21" spans="1:8" ht="19.5" customHeight="1" x14ac:dyDescent="0.25">
      <c r="A21" s="680"/>
      <c r="B21" s="522" t="s">
        <v>979</v>
      </c>
      <c r="C21" s="934"/>
      <c r="D21" s="932">
        <v>0</v>
      </c>
      <c r="E21" s="932">
        <v>0</v>
      </c>
      <c r="F21" s="441" t="s">
        <v>258</v>
      </c>
    </row>
    <row r="22" spans="1:8" ht="6.75" customHeight="1" x14ac:dyDescent="0.25">
      <c r="A22" s="680"/>
      <c r="B22" s="522"/>
      <c r="C22" s="933"/>
      <c r="D22" s="933"/>
      <c r="E22" s="933"/>
      <c r="F22" s="441" t="s">
        <v>258</v>
      </c>
    </row>
    <row r="23" spans="1:8" x14ac:dyDescent="0.25">
      <c r="A23" s="1331"/>
      <c r="B23" s="523" t="s">
        <v>980</v>
      </c>
      <c r="C23" s="931">
        <f>+C10-C15+C19</f>
        <v>-1.000000536441803E-2</v>
      </c>
      <c r="D23" s="931">
        <f>+D10-D15+D19</f>
        <v>-1537784.83</v>
      </c>
      <c r="E23" s="931">
        <f>+E10-E15+E19</f>
        <v>-1025326.1800000016</v>
      </c>
    </row>
    <row r="24" spans="1:8" ht="6.75" customHeight="1" x14ac:dyDescent="0.25">
      <c r="A24" s="1331"/>
      <c r="B24" s="523"/>
      <c r="C24" s="933" t="s">
        <v>258</v>
      </c>
      <c r="D24" s="933" t="s">
        <v>258</v>
      </c>
      <c r="E24" s="933" t="s">
        <v>258</v>
      </c>
    </row>
    <row r="25" spans="1:8" ht="16.5" customHeight="1" x14ac:dyDescent="0.25">
      <c r="A25" s="1331"/>
      <c r="B25" s="523" t="s">
        <v>981</v>
      </c>
      <c r="C25" s="931">
        <f>+C23-C13</f>
        <v>-1.000000536441803E-2</v>
      </c>
      <c r="D25" s="931">
        <f>+D23-D13</f>
        <v>-1537784.83</v>
      </c>
      <c r="E25" s="931">
        <f>+E23-E13</f>
        <v>-1025326.1800000016</v>
      </c>
    </row>
    <row r="26" spans="1:8" ht="6" customHeight="1" x14ac:dyDescent="0.25">
      <c r="A26" s="1331"/>
      <c r="B26" s="523"/>
      <c r="C26" s="933" t="s">
        <v>258</v>
      </c>
      <c r="D26" s="933" t="s">
        <v>258</v>
      </c>
      <c r="E26" s="933" t="s">
        <v>258</v>
      </c>
    </row>
    <row r="27" spans="1:8" ht="30" customHeight="1" x14ac:dyDescent="0.25">
      <c r="A27" s="680"/>
      <c r="B27" s="523" t="s">
        <v>982</v>
      </c>
      <c r="C27" s="931">
        <f>+C25-C19</f>
        <v>-1.000000536441803E-2</v>
      </c>
      <c r="D27" s="931">
        <f>+D25-D19</f>
        <v>-1537784.83</v>
      </c>
      <c r="E27" s="931">
        <f>+E25-E19</f>
        <v>-1025326.1800000016</v>
      </c>
    </row>
    <row r="28" spans="1:8" ht="6" customHeight="1" thickBot="1" x14ac:dyDescent="0.3">
      <c r="A28" s="525"/>
      <c r="B28" s="526"/>
      <c r="C28" s="527"/>
      <c r="D28" s="527"/>
      <c r="E28" s="527"/>
    </row>
    <row r="29" spans="1:8" ht="12" customHeight="1" thickBot="1" x14ac:dyDescent="0.3">
      <c r="A29" s="1332"/>
      <c r="B29" s="1332"/>
      <c r="C29" s="1332"/>
      <c r="D29" s="1332"/>
      <c r="E29" s="1332"/>
    </row>
    <row r="30" spans="1:8" ht="15.75" thickBot="1" x14ac:dyDescent="0.3">
      <c r="A30" s="1333" t="s">
        <v>261</v>
      </c>
      <c r="B30" s="1334"/>
      <c r="C30" s="661" t="s">
        <v>983</v>
      </c>
      <c r="D30" s="661" t="s">
        <v>481</v>
      </c>
      <c r="E30" s="661" t="s">
        <v>730</v>
      </c>
    </row>
    <row r="31" spans="1:8" ht="6" customHeight="1" x14ac:dyDescent="0.25">
      <c r="A31" s="680"/>
      <c r="B31" s="522"/>
      <c r="C31" s="522"/>
      <c r="D31" s="522"/>
      <c r="E31" s="522"/>
    </row>
    <row r="32" spans="1:8" ht="18" customHeight="1" x14ac:dyDescent="0.25">
      <c r="A32" s="1329"/>
      <c r="B32" s="523" t="s">
        <v>984</v>
      </c>
      <c r="C32" s="631">
        <f>SUM(C33:C34)</f>
        <v>0</v>
      </c>
      <c r="D32" s="631">
        <f>SUM(D33:D34)</f>
        <v>0</v>
      </c>
      <c r="E32" s="631">
        <f>SUM(E33:E34)</f>
        <v>0</v>
      </c>
      <c r="F32" s="441" t="str">
        <f>IF(C32&lt;&gt;'ETCA-IV-01'!C20,"ERROR!!!!! EL MONTO NO COINCIDE CON LO REPORTADO EN EL FORMATO ETCA-IV-01 ","")</f>
        <v/>
      </c>
    </row>
    <row r="33" spans="1:6" ht="26.25" customHeight="1" x14ac:dyDescent="0.25">
      <c r="A33" s="1329"/>
      <c r="B33" s="524" t="s">
        <v>985</v>
      </c>
      <c r="C33" s="619">
        <v>0</v>
      </c>
      <c r="D33" s="619">
        <v>0</v>
      </c>
      <c r="E33" s="619">
        <v>0</v>
      </c>
      <c r="F33" s="441" t="str">
        <f>IF(D32&lt;&gt;'ETCA-IV-01'!D20,"ERROR!!!!! EL MONTO NO COINCIDE CON LO REPORTADO EN EL FORMATO ETCA-IV-01 ","")</f>
        <v/>
      </c>
    </row>
    <row r="34" spans="1:6" ht="26.25" customHeight="1" x14ac:dyDescent="0.25">
      <c r="A34" s="1329"/>
      <c r="B34" s="524" t="s">
        <v>986</v>
      </c>
      <c r="C34" s="626">
        <v>0</v>
      </c>
      <c r="D34" s="626">
        <v>0</v>
      </c>
      <c r="E34" s="626">
        <v>0</v>
      </c>
      <c r="F34" s="441" t="str">
        <f>IF(E32&lt;&gt;'ETCA-IV-01'!E20,"ERROR!!!!! EL MONTO NO COINCIDE CON LO REPORTADO EN EL FORMATO ETCA-IV-01 ","")</f>
        <v/>
      </c>
    </row>
    <row r="35" spans="1:6" ht="4.5" customHeight="1" x14ac:dyDescent="0.25">
      <c r="A35" s="678"/>
      <c r="B35" s="523"/>
      <c r="C35" s="619"/>
      <c r="D35" s="619"/>
      <c r="E35" s="619"/>
    </row>
    <row r="36" spans="1:6" x14ac:dyDescent="0.25">
      <c r="A36" s="678"/>
      <c r="B36" s="523" t="s">
        <v>987</v>
      </c>
      <c r="C36" s="631">
        <f>+C27+C32</f>
        <v>-1.000000536441803E-2</v>
      </c>
      <c r="D36" s="931">
        <f>+D27+D32</f>
        <v>-1537784.83</v>
      </c>
      <c r="E36" s="931">
        <f>+E27+E32</f>
        <v>-1025326.1800000016</v>
      </c>
    </row>
    <row r="37" spans="1:6" ht="6.75" customHeight="1" thickBot="1" x14ac:dyDescent="0.3">
      <c r="A37" s="520"/>
      <c r="B37" s="519"/>
      <c r="C37" s="519"/>
      <c r="D37" s="519"/>
      <c r="E37" s="519"/>
    </row>
    <row r="38" spans="1:6" ht="9" customHeight="1" thickBot="1" x14ac:dyDescent="0.3"/>
    <row r="39" spans="1:6" x14ac:dyDescent="0.25">
      <c r="A39" s="1319" t="s">
        <v>261</v>
      </c>
      <c r="B39" s="1320"/>
      <c r="C39" s="1323" t="s">
        <v>988</v>
      </c>
      <c r="D39" s="1264" t="s">
        <v>481</v>
      </c>
      <c r="E39" s="530" t="s">
        <v>969</v>
      </c>
    </row>
    <row r="40" spans="1:6" ht="15.75" thickBot="1" x14ac:dyDescent="0.3">
      <c r="A40" s="1321"/>
      <c r="B40" s="1322"/>
      <c r="C40" s="1324"/>
      <c r="D40" s="1265"/>
      <c r="E40" s="531" t="s">
        <v>730</v>
      </c>
    </row>
    <row r="41" spans="1:6" ht="5.25" customHeight="1" x14ac:dyDescent="0.25">
      <c r="A41" s="675"/>
      <c r="B41" s="532"/>
      <c r="C41" s="532"/>
      <c r="D41" s="532"/>
      <c r="E41" s="532"/>
    </row>
    <row r="42" spans="1:6" x14ac:dyDescent="0.25">
      <c r="A42" s="674"/>
      <c r="B42" s="677" t="s">
        <v>989</v>
      </c>
      <c r="C42" s="632">
        <f>SUM(C43:C44)</f>
        <v>0</v>
      </c>
      <c r="D42" s="632">
        <f>SUM(D43:D44)</f>
        <v>0</v>
      </c>
      <c r="E42" s="632">
        <f>SUM(E43:E44)</f>
        <v>0</v>
      </c>
      <c r="F42" s="441" t="str">
        <f>IF(C42&lt;&gt;'ETCA-IV-01'!C25,"ERROR!!!!! EL MONTO NO COINCIDE CON LO REPORTADO EN EL FORMATO ETCA-IV-01 ","")</f>
        <v/>
      </c>
    </row>
    <row r="43" spans="1:6" x14ac:dyDescent="0.25">
      <c r="A43" s="1315"/>
      <c r="B43" s="533" t="s">
        <v>990</v>
      </c>
      <c r="C43" s="619">
        <v>0</v>
      </c>
      <c r="D43" s="619">
        <v>0</v>
      </c>
      <c r="E43" s="619">
        <v>0</v>
      </c>
      <c r="F43" s="441" t="str">
        <f>IF(D42&lt;&gt;'ETCA-IV-01'!D25,"ERROR!!!!! EL MONTO NO COINCIDE CON LO REPORTADO EN EL FORMATO ETCA-IV-01 ","")</f>
        <v/>
      </c>
    </row>
    <row r="44" spans="1:6" x14ac:dyDescent="0.25">
      <c r="A44" s="1315"/>
      <c r="B44" s="533" t="s">
        <v>991</v>
      </c>
      <c r="C44" s="619">
        <v>0</v>
      </c>
      <c r="D44" s="619" t="s">
        <v>258</v>
      </c>
      <c r="E44" s="619">
        <v>0</v>
      </c>
      <c r="F44" s="441" t="str">
        <f>IF(E42&lt;&gt;'ETCA-IV-01'!E25,"ERROR!!!!! EL MONTO NO COINCIDE CON LO REPORTADO EN EL FORMATO ETCA-IV-01 ","")</f>
        <v/>
      </c>
    </row>
    <row r="45" spans="1:6" x14ac:dyDescent="0.25">
      <c r="A45" s="1312"/>
      <c r="B45" s="677" t="s">
        <v>992</v>
      </c>
      <c r="C45" s="632">
        <f>SUM(C46:C47)</f>
        <v>0</v>
      </c>
      <c r="D45" s="632">
        <f>SUM(D46:D47)</f>
        <v>0</v>
      </c>
      <c r="E45" s="632">
        <f>SUM(E46:E47)</f>
        <v>0</v>
      </c>
      <c r="F45" s="441" t="str">
        <f>IF(C45&lt;&gt;'ETCA-IV-01'!C26,"ERROR!!!!! EL MONTO NO COINCIDE CON LO REPORTADO EN EL FORMATO ETCA-IV-01 ","")</f>
        <v/>
      </c>
    </row>
    <row r="46" spans="1:6" x14ac:dyDescent="0.25">
      <c r="A46" s="1312"/>
      <c r="B46" s="533" t="s">
        <v>993</v>
      </c>
      <c r="C46" s="619">
        <v>0</v>
      </c>
      <c r="D46" s="619">
        <v>0</v>
      </c>
      <c r="E46" s="619">
        <v>0</v>
      </c>
      <c r="F46" s="441" t="str">
        <f>IF(D45&lt;&gt;'ETCA-IV-01'!D26,"ERROR!!!!! EL MONTO NO COINCIDE CON LO REPORTADO EN EL FORMATO ETCA-IV-01 ","")</f>
        <v/>
      </c>
    </row>
    <row r="47" spans="1:6" x14ac:dyDescent="0.25">
      <c r="A47" s="1312"/>
      <c r="B47" s="533" t="s">
        <v>994</v>
      </c>
      <c r="C47" s="619">
        <v>0</v>
      </c>
      <c r="D47" s="619">
        <v>0</v>
      </c>
      <c r="E47" s="619">
        <v>0</v>
      </c>
      <c r="F47" s="441" t="str">
        <f>IF(E45&lt;&gt;'ETCA-IV-01'!E26,"ERROR!!!!! EL MONTO NO COINCIDE CON LO REPORTADO EN EL FORMATO ETCA-IV-01 ","")</f>
        <v/>
      </c>
    </row>
    <row r="48" spans="1:6" ht="6.75" customHeight="1" x14ac:dyDescent="0.25">
      <c r="A48" s="674"/>
      <c r="B48" s="677"/>
      <c r="C48" s="549"/>
      <c r="D48" s="549"/>
      <c r="E48" s="549"/>
    </row>
    <row r="49" spans="1:5" x14ac:dyDescent="0.25">
      <c r="A49" s="1312"/>
      <c r="B49" s="1325" t="s">
        <v>995</v>
      </c>
      <c r="C49" s="1327">
        <f>+C42-C45</f>
        <v>0</v>
      </c>
      <c r="D49" s="1327">
        <f>+D42-D45</f>
        <v>0</v>
      </c>
      <c r="E49" s="1327">
        <f>+E42-E45</f>
        <v>0</v>
      </c>
    </row>
    <row r="50" spans="1:5" ht="15.75" thickBot="1" x14ac:dyDescent="0.3">
      <c r="A50" s="1313"/>
      <c r="B50" s="1326"/>
      <c r="C50" s="1328"/>
      <c r="D50" s="1328"/>
      <c r="E50" s="1328"/>
    </row>
    <row r="51" spans="1:5" x14ac:dyDescent="0.25">
      <c r="A51" s="537"/>
      <c r="B51" s="537"/>
      <c r="C51" s="537"/>
      <c r="D51" s="537"/>
      <c r="E51" s="537"/>
    </row>
    <row r="52" spans="1:5" x14ac:dyDescent="0.25">
      <c r="A52" s="537"/>
      <c r="B52" s="537"/>
      <c r="C52" s="537"/>
      <c r="D52" s="537"/>
      <c r="E52" s="537"/>
    </row>
    <row r="53" spans="1:5" x14ac:dyDescent="0.25">
      <c r="A53" s="537"/>
      <c r="B53" s="537"/>
      <c r="C53" s="537"/>
      <c r="D53" s="537"/>
      <c r="E53" s="537"/>
    </row>
    <row r="54" spans="1:5" ht="15.75" thickBot="1" x14ac:dyDescent="0.3">
      <c r="A54" s="537"/>
      <c r="B54" s="537"/>
      <c r="C54" s="537"/>
      <c r="D54" s="537"/>
      <c r="E54" s="537"/>
    </row>
    <row r="55" spans="1:5" x14ac:dyDescent="0.25">
      <c r="A55" s="1319" t="s">
        <v>261</v>
      </c>
      <c r="B55" s="1320"/>
      <c r="C55" s="530" t="s">
        <v>968</v>
      </c>
      <c r="D55" s="1264" t="s">
        <v>481</v>
      </c>
      <c r="E55" s="530" t="s">
        <v>969</v>
      </c>
    </row>
    <row r="56" spans="1:5" ht="15.75" thickBot="1" x14ac:dyDescent="0.3">
      <c r="A56" s="1321"/>
      <c r="B56" s="1322"/>
      <c r="C56" s="531" t="s">
        <v>983</v>
      </c>
      <c r="D56" s="1265"/>
      <c r="E56" s="531" t="s">
        <v>730</v>
      </c>
    </row>
    <row r="57" spans="1:5" ht="6" customHeight="1" x14ac:dyDescent="0.25">
      <c r="A57" s="1316"/>
      <c r="B57" s="1317"/>
      <c r="C57" s="532"/>
      <c r="D57" s="532"/>
      <c r="E57" s="532"/>
    </row>
    <row r="58" spans="1:5" x14ac:dyDescent="0.25">
      <c r="A58" s="1315"/>
      <c r="B58" s="1318" t="s">
        <v>996</v>
      </c>
      <c r="C58" s="1314">
        <f>+C11</f>
        <v>55323720</v>
      </c>
      <c r="D58" s="1314">
        <f>+D11</f>
        <v>10977662.24</v>
      </c>
      <c r="E58" s="1314">
        <f>+E11</f>
        <v>10977662.24</v>
      </c>
    </row>
    <row r="59" spans="1:5" x14ac:dyDescent="0.25">
      <c r="A59" s="1315"/>
      <c r="B59" s="1318"/>
      <c r="C59" s="1314"/>
      <c r="D59" s="1314"/>
      <c r="E59" s="1314"/>
    </row>
    <row r="60" spans="1:5" ht="19.5" x14ac:dyDescent="0.25">
      <c r="A60" s="1315"/>
      <c r="B60" s="534" t="s">
        <v>997</v>
      </c>
      <c r="C60" s="627">
        <f>+C61-C62</f>
        <v>0</v>
      </c>
      <c r="D60" s="627">
        <f>+D61-D62</f>
        <v>0</v>
      </c>
      <c r="E60" s="627">
        <f>+E61-E62</f>
        <v>0</v>
      </c>
    </row>
    <row r="61" spans="1:5" x14ac:dyDescent="0.25">
      <c r="A61" s="1315"/>
      <c r="B61" s="533" t="s">
        <v>990</v>
      </c>
      <c r="C61" s="627">
        <f>+C43</f>
        <v>0</v>
      </c>
      <c r="D61" s="627">
        <f>+D43</f>
        <v>0</v>
      </c>
      <c r="E61" s="627">
        <f>+E43</f>
        <v>0</v>
      </c>
    </row>
    <row r="62" spans="1:5" x14ac:dyDescent="0.25">
      <c r="A62" s="1315"/>
      <c r="B62" s="533" t="s">
        <v>993</v>
      </c>
      <c r="C62" s="627">
        <f>+C46</f>
        <v>0</v>
      </c>
      <c r="D62" s="627">
        <f>+D46</f>
        <v>0</v>
      </c>
      <c r="E62" s="627">
        <f>+E46</f>
        <v>0</v>
      </c>
    </row>
    <row r="63" spans="1:5" ht="5.25" customHeight="1" x14ac:dyDescent="0.25">
      <c r="A63" s="1315"/>
      <c r="B63" s="676"/>
      <c r="C63" s="627"/>
      <c r="D63" s="627"/>
      <c r="E63" s="627"/>
    </row>
    <row r="64" spans="1:5" x14ac:dyDescent="0.25">
      <c r="A64" s="675"/>
      <c r="B64" s="676" t="s">
        <v>975</v>
      </c>
      <c r="C64" s="627"/>
      <c r="D64" s="627"/>
      <c r="E64" s="627"/>
    </row>
    <row r="65" spans="1:5" ht="6.75" customHeight="1" x14ac:dyDescent="0.25">
      <c r="A65" s="675"/>
      <c r="B65" s="676"/>
      <c r="C65" s="627"/>
      <c r="D65" s="627"/>
      <c r="E65" s="627"/>
    </row>
    <row r="66" spans="1:5" x14ac:dyDescent="0.25">
      <c r="A66" s="675"/>
      <c r="B66" s="676" t="s">
        <v>978</v>
      </c>
      <c r="C66" s="628"/>
      <c r="D66" s="633">
        <f>+D20</f>
        <v>0</v>
      </c>
      <c r="E66" s="633">
        <f>+E20</f>
        <v>0</v>
      </c>
    </row>
    <row r="67" spans="1:5" x14ac:dyDescent="0.25">
      <c r="A67" s="675"/>
      <c r="B67" s="676"/>
      <c r="C67" s="627"/>
      <c r="D67" s="627"/>
      <c r="E67" s="627"/>
    </row>
    <row r="68" spans="1:5" ht="19.5" x14ac:dyDescent="0.25">
      <c r="A68" s="1312"/>
      <c r="B68" s="523" t="s">
        <v>998</v>
      </c>
      <c r="C68" s="630">
        <f>+C11+C60-C16+C20</f>
        <v>-1.000000536441803E-2</v>
      </c>
      <c r="D68" s="630">
        <f>+D11+D60-D16+D20</f>
        <v>-1537784.83</v>
      </c>
      <c r="E68" s="630">
        <f>+E11+E60-E16+E20</f>
        <v>-1025326.1800000016</v>
      </c>
    </row>
    <row r="69" spans="1:5" x14ac:dyDescent="0.25">
      <c r="A69" s="1312"/>
      <c r="B69" s="535"/>
      <c r="C69" s="627" t="s">
        <v>258</v>
      </c>
      <c r="D69" s="627" t="s">
        <v>258</v>
      </c>
      <c r="E69" s="627" t="s">
        <v>258</v>
      </c>
    </row>
    <row r="70" spans="1:5" ht="19.5" x14ac:dyDescent="0.25">
      <c r="A70" s="1312"/>
      <c r="B70" s="523" t="s">
        <v>999</v>
      </c>
      <c r="C70" s="630">
        <f>+C68-C60</f>
        <v>-1.000000536441803E-2</v>
      </c>
      <c r="D70" s="630">
        <f>+D68-D60</f>
        <v>-1537784.83</v>
      </c>
      <c r="E70" s="630">
        <f>+E68-E60</f>
        <v>-1025326.1800000016</v>
      </c>
    </row>
    <row r="71" spans="1:5" ht="15.75" thickBot="1" x14ac:dyDescent="0.3">
      <c r="A71" s="1313"/>
      <c r="B71" s="536"/>
      <c r="C71" s="550" t="s">
        <v>258</v>
      </c>
      <c r="D71" s="551" t="s">
        <v>258</v>
      </c>
      <c r="E71" s="550" t="s">
        <v>258</v>
      </c>
    </row>
    <row r="72" spans="1:5" ht="5.25" customHeight="1" thickBot="1" x14ac:dyDescent="0.3"/>
    <row r="73" spans="1:5" x14ac:dyDescent="0.25">
      <c r="A73" s="1319" t="s">
        <v>261</v>
      </c>
      <c r="B73" s="1320"/>
      <c r="C73" s="1323" t="s">
        <v>988</v>
      </c>
      <c r="D73" s="1264" t="s">
        <v>481</v>
      </c>
      <c r="E73" s="530" t="s">
        <v>969</v>
      </c>
    </row>
    <row r="74" spans="1:5" ht="15.75" thickBot="1" x14ac:dyDescent="0.3">
      <c r="A74" s="1321"/>
      <c r="B74" s="1322"/>
      <c r="C74" s="1324"/>
      <c r="D74" s="1265"/>
      <c r="E74" s="531" t="s">
        <v>730</v>
      </c>
    </row>
    <row r="75" spans="1:5" x14ac:dyDescent="0.25">
      <c r="A75" s="1316"/>
      <c r="B75" s="1317"/>
      <c r="C75" s="532"/>
      <c r="D75" s="532"/>
      <c r="E75" s="532"/>
    </row>
    <row r="76" spans="1:5" x14ac:dyDescent="0.25">
      <c r="A76" s="1315"/>
      <c r="B76" s="1318" t="s">
        <v>972</v>
      </c>
      <c r="C76" s="1314">
        <f>+C12</f>
        <v>0</v>
      </c>
      <c r="D76" s="1314">
        <f>+D12</f>
        <v>0</v>
      </c>
      <c r="E76" s="1314">
        <f>+E12</f>
        <v>0</v>
      </c>
    </row>
    <row r="77" spans="1:5" x14ac:dyDescent="0.25">
      <c r="A77" s="1315"/>
      <c r="B77" s="1318"/>
      <c r="C77" s="1314"/>
      <c r="D77" s="1314"/>
      <c r="E77" s="1314"/>
    </row>
    <row r="78" spans="1:5" ht="19.5" x14ac:dyDescent="0.25">
      <c r="A78" s="1315"/>
      <c r="B78" s="534" t="s">
        <v>1000</v>
      </c>
      <c r="C78" s="627">
        <f>+C79-C80</f>
        <v>0</v>
      </c>
      <c r="D78" s="627">
        <f>+D79-D80</f>
        <v>0</v>
      </c>
      <c r="E78" s="627">
        <f>+E79-E80</f>
        <v>0</v>
      </c>
    </row>
    <row r="79" spans="1:5" x14ac:dyDescent="0.25">
      <c r="A79" s="1315"/>
      <c r="B79" s="533" t="s">
        <v>991</v>
      </c>
      <c r="C79" s="627">
        <f>+C44</f>
        <v>0</v>
      </c>
      <c r="D79" s="627">
        <v>0</v>
      </c>
      <c r="E79" s="627">
        <v>0</v>
      </c>
    </row>
    <row r="80" spans="1:5" x14ac:dyDescent="0.25">
      <c r="A80" s="1315"/>
      <c r="B80" s="533" t="s">
        <v>994</v>
      </c>
      <c r="C80" s="627">
        <f>+C47</f>
        <v>0</v>
      </c>
      <c r="D80" s="627">
        <v>0</v>
      </c>
      <c r="E80" s="627">
        <v>0</v>
      </c>
    </row>
    <row r="81" spans="1:5" x14ac:dyDescent="0.25">
      <c r="A81" s="1315"/>
      <c r="B81" s="676"/>
      <c r="C81" s="627"/>
      <c r="D81" s="627"/>
      <c r="E81" s="627"/>
    </row>
    <row r="82" spans="1:5" x14ac:dyDescent="0.25">
      <c r="A82" s="675"/>
      <c r="B82" s="676" t="s">
        <v>1001</v>
      </c>
      <c r="C82" s="627">
        <f>+C17</f>
        <v>0</v>
      </c>
      <c r="D82" s="627"/>
      <c r="E82" s="627">
        <f>+E17</f>
        <v>0</v>
      </c>
    </row>
    <row r="83" spans="1:5" x14ac:dyDescent="0.25">
      <c r="A83" s="675"/>
      <c r="B83" s="676"/>
      <c r="C83" s="627" t="s">
        <v>258</v>
      </c>
      <c r="D83" s="627" t="s">
        <v>258</v>
      </c>
      <c r="E83" s="627" t="s">
        <v>258</v>
      </c>
    </row>
    <row r="84" spans="1:5" x14ac:dyDescent="0.25">
      <c r="A84" s="675"/>
      <c r="B84" s="676" t="s">
        <v>979</v>
      </c>
      <c r="C84" s="628"/>
      <c r="D84" s="633">
        <f>+D21</f>
        <v>0</v>
      </c>
      <c r="E84" s="633">
        <f>+E21</f>
        <v>0</v>
      </c>
    </row>
    <row r="85" spans="1:5" x14ac:dyDescent="0.25">
      <c r="A85" s="675"/>
      <c r="B85" s="676"/>
      <c r="C85" s="627"/>
      <c r="D85" s="627"/>
      <c r="E85" s="627"/>
    </row>
    <row r="86" spans="1:5" ht="19.5" x14ac:dyDescent="0.25">
      <c r="A86" s="1312"/>
      <c r="B86" s="523" t="s">
        <v>1002</v>
      </c>
      <c r="C86" s="629">
        <f>+C76+C78-C82+C84</f>
        <v>0</v>
      </c>
      <c r="D86" s="629">
        <f>+D76+D78-D82+D84</f>
        <v>0</v>
      </c>
      <c r="E86" s="629">
        <f>+E76+E78-E82+E84</f>
        <v>0</v>
      </c>
    </row>
    <row r="87" spans="1:5" x14ac:dyDescent="0.25">
      <c r="A87" s="1312"/>
      <c r="B87" s="535"/>
      <c r="C87" s="630"/>
      <c r="D87" s="630"/>
      <c r="E87" s="630"/>
    </row>
    <row r="88" spans="1:5" ht="19.5" x14ac:dyDescent="0.25">
      <c r="A88" s="1312"/>
      <c r="B88" s="523" t="s">
        <v>1003</v>
      </c>
      <c r="C88" s="631">
        <f>+C86-C78</f>
        <v>0</v>
      </c>
      <c r="D88" s="631">
        <f>+D86-D78</f>
        <v>0</v>
      </c>
      <c r="E88" s="631">
        <f>+E86-E78</f>
        <v>0</v>
      </c>
    </row>
    <row r="89" spans="1:5" ht="15.75" thickBot="1" x14ac:dyDescent="0.3">
      <c r="A89" s="1313"/>
      <c r="B89" s="536"/>
      <c r="C89" s="536"/>
      <c r="D89" s="536"/>
      <c r="E89" s="536"/>
    </row>
  </sheetData>
  <sheetProtection formatColumns="0" formatRows="0" insertHyperlinks="0"/>
  <mergeCells count="42">
    <mergeCell ref="A43:A44"/>
    <mergeCell ref="A45:A47"/>
    <mergeCell ref="A1:E1"/>
    <mergeCell ref="A39:B40"/>
    <mergeCell ref="C39:C40"/>
    <mergeCell ref="D39:D40"/>
    <mergeCell ref="A32:A34"/>
    <mergeCell ref="A5:E5"/>
    <mergeCell ref="A23:A26"/>
    <mergeCell ref="A29:E29"/>
    <mergeCell ref="A30:B30"/>
    <mergeCell ref="A7:B8"/>
    <mergeCell ref="D7:D8"/>
    <mergeCell ref="A4:E4"/>
    <mergeCell ref="A3:E3"/>
    <mergeCell ref="A2:E2"/>
    <mergeCell ref="A49:A50"/>
    <mergeCell ref="B49:B50"/>
    <mergeCell ref="C49:C50"/>
    <mergeCell ref="D49:D50"/>
    <mergeCell ref="E49:E50"/>
    <mergeCell ref="A55:B56"/>
    <mergeCell ref="D55:D56"/>
    <mergeCell ref="A57:B57"/>
    <mergeCell ref="A58:A59"/>
    <mergeCell ref="B58:B59"/>
    <mergeCell ref="C58:C59"/>
    <mergeCell ref="D58:D59"/>
    <mergeCell ref="A68:A71"/>
    <mergeCell ref="A73:B74"/>
    <mergeCell ref="C73:C74"/>
    <mergeCell ref="D73:D74"/>
    <mergeCell ref="E58:E59"/>
    <mergeCell ref="A60:A63"/>
    <mergeCell ref="A86:A89"/>
    <mergeCell ref="E76:E77"/>
    <mergeCell ref="A78:A81"/>
    <mergeCell ref="A75:B75"/>
    <mergeCell ref="A76:A77"/>
    <mergeCell ref="B76:B77"/>
    <mergeCell ref="C76:C77"/>
    <mergeCell ref="D76:D77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headerFooter>
    <oddFooter>Página &amp;P</oddFooter>
  </headerFooter>
  <rowBreaks count="1" manualBreakCount="1">
    <brk id="52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32"/>
  <sheetViews>
    <sheetView view="pageBreakPreview" zoomScale="90" zoomScaleNormal="100" zoomScaleSheetLayoutView="90" workbookViewId="0">
      <selection activeCell="C13" sqref="C13"/>
    </sheetView>
  </sheetViews>
  <sheetFormatPr baseColWidth="10" defaultColWidth="11.28515625" defaultRowHeight="16.5" x14ac:dyDescent="0.3"/>
  <cols>
    <col min="1" max="1" width="2.85546875" style="6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1339" t="s">
        <v>25</v>
      </c>
      <c r="B1" s="1339"/>
      <c r="C1" s="1339"/>
      <c r="D1" s="1339"/>
    </row>
    <row r="2" spans="1:4" x14ac:dyDescent="0.3">
      <c r="A2" s="1340" t="s">
        <v>20</v>
      </c>
      <c r="B2" s="1340"/>
      <c r="C2" s="1340"/>
      <c r="D2" s="1340"/>
    </row>
    <row r="3" spans="1:4" x14ac:dyDescent="0.3">
      <c r="A3" s="1339" t="str">
        <f>'ETCA-I-01'!A3:G3</f>
        <v>Centro de Evaluacion y Control de Confianza del Estado de Sonora</v>
      </c>
      <c r="B3" s="1339"/>
      <c r="C3" s="1339"/>
      <c r="D3" s="1339"/>
    </row>
    <row r="4" spans="1:4" x14ac:dyDescent="0.3">
      <c r="A4" s="1340" t="str">
        <f>'ETCA-I-03'!A4:D4</f>
        <v>Del 01 de Enero  al 31 de Marzo de 2018</v>
      </c>
      <c r="B4" s="1340"/>
      <c r="C4" s="1340"/>
      <c r="D4" s="1340"/>
    </row>
    <row r="5" spans="1:4" x14ac:dyDescent="0.3">
      <c r="A5" s="34"/>
      <c r="B5" s="1340" t="s">
        <v>1004</v>
      </c>
      <c r="C5" s="1340"/>
      <c r="D5" s="42"/>
    </row>
    <row r="6" spans="1:4" ht="6.75" customHeight="1" thickBot="1" x14ac:dyDescent="0.35"/>
    <row r="7" spans="1:4" s="30" customFormat="1" ht="30" customHeight="1" x14ac:dyDescent="0.25">
      <c r="A7" s="1343" t="s">
        <v>1005</v>
      </c>
      <c r="B7" s="1344"/>
      <c r="C7" s="1341" t="s">
        <v>1006</v>
      </c>
      <c r="D7" s="1342"/>
    </row>
    <row r="8" spans="1:4" s="30" customFormat="1" ht="32.25" customHeight="1" thickBot="1" x14ac:dyDescent="0.3">
      <c r="A8" s="1345"/>
      <c r="B8" s="1346"/>
      <c r="C8" s="35" t="s">
        <v>1007</v>
      </c>
      <c r="D8" s="36" t="s">
        <v>1008</v>
      </c>
    </row>
    <row r="9" spans="1:4" s="30" customFormat="1" ht="31.5" customHeight="1" x14ac:dyDescent="0.25">
      <c r="A9" s="31">
        <v>1</v>
      </c>
      <c r="B9" s="40"/>
      <c r="C9" s="32"/>
      <c r="D9" s="33"/>
    </row>
    <row r="10" spans="1:4" s="30" customFormat="1" ht="31.5" customHeight="1" x14ac:dyDescent="0.25">
      <c r="A10" s="31">
        <v>2</v>
      </c>
      <c r="B10" s="40"/>
      <c r="C10" s="32"/>
      <c r="D10" s="33"/>
    </row>
    <row r="11" spans="1:4" s="30" customFormat="1" ht="31.5" customHeight="1" x14ac:dyDescent="0.25">
      <c r="A11" s="31">
        <v>3</v>
      </c>
      <c r="B11" s="1347" t="s">
        <v>1260</v>
      </c>
      <c r="C11" s="1348"/>
      <c r="D11" s="935"/>
    </row>
    <row r="12" spans="1:4" s="30" customFormat="1" ht="31.5" customHeight="1" x14ac:dyDescent="0.25">
      <c r="A12" s="31">
        <v>4</v>
      </c>
      <c r="B12" s="40"/>
      <c r="C12" s="32"/>
      <c r="D12" s="935"/>
    </row>
    <row r="13" spans="1:4" s="30" customFormat="1" ht="31.5" customHeight="1" x14ac:dyDescent="0.25">
      <c r="A13" s="31">
        <v>5</v>
      </c>
      <c r="B13" s="40"/>
      <c r="C13" s="32"/>
      <c r="D13" s="33"/>
    </row>
    <row r="14" spans="1:4" s="30" customFormat="1" ht="31.5" customHeight="1" x14ac:dyDescent="0.25">
      <c r="A14" s="31">
        <v>6</v>
      </c>
      <c r="B14" s="40"/>
      <c r="C14" s="32"/>
      <c r="D14" s="33"/>
    </row>
    <row r="15" spans="1:4" s="30" customFormat="1" ht="31.5" customHeight="1" x14ac:dyDescent="0.25">
      <c r="A15" s="31">
        <v>7</v>
      </c>
      <c r="B15" s="40"/>
      <c r="C15" s="32"/>
      <c r="D15" s="33"/>
    </row>
    <row r="16" spans="1:4" s="30" customFormat="1" ht="31.5" customHeight="1" x14ac:dyDescent="0.25">
      <c r="A16" s="31">
        <v>8</v>
      </c>
      <c r="B16" s="40"/>
      <c r="C16" s="32"/>
      <c r="D16" s="33"/>
    </row>
    <row r="17" spans="1:4" s="30" customFormat="1" ht="31.5" customHeight="1" x14ac:dyDescent="0.25">
      <c r="A17" s="31">
        <v>9</v>
      </c>
      <c r="B17" s="40"/>
      <c r="C17" s="32"/>
      <c r="D17" s="33"/>
    </row>
    <row r="18" spans="1:4" s="30" customFormat="1" ht="31.5" customHeight="1" x14ac:dyDescent="0.25">
      <c r="A18" s="31"/>
      <c r="B18" s="40"/>
      <c r="C18" s="32"/>
      <c r="D18" s="33"/>
    </row>
    <row r="19" spans="1:4" s="30" customFormat="1" ht="31.5" customHeight="1" x14ac:dyDescent="0.25">
      <c r="A19" s="31"/>
      <c r="B19" s="40"/>
      <c r="C19" s="32"/>
      <c r="D19" s="33"/>
    </row>
    <row r="20" spans="1:4" s="30" customFormat="1" ht="31.5" customHeight="1" x14ac:dyDescent="0.25">
      <c r="A20" s="31"/>
      <c r="B20" s="40"/>
      <c r="C20" s="32"/>
      <c r="D20" s="33"/>
    </row>
    <row r="21" spans="1:4" s="30" customFormat="1" ht="31.5" customHeight="1" x14ac:dyDescent="0.25">
      <c r="A21" s="31"/>
      <c r="B21" s="40"/>
      <c r="C21" s="32"/>
      <c r="D21" s="33"/>
    </row>
    <row r="22" spans="1:4" s="30" customFormat="1" ht="31.5" customHeight="1" x14ac:dyDescent="0.25">
      <c r="A22" s="31"/>
      <c r="B22" s="40"/>
      <c r="C22" s="32"/>
      <c r="D22" s="33"/>
    </row>
    <row r="23" spans="1:4" s="30" customFormat="1" ht="31.5" customHeight="1" x14ac:dyDescent="0.25">
      <c r="A23" s="31"/>
      <c r="B23" s="40"/>
      <c r="C23" s="32"/>
      <c r="D23" s="33"/>
    </row>
    <row r="24" spans="1:4" s="30" customFormat="1" ht="31.5" customHeight="1" x14ac:dyDescent="0.25">
      <c r="A24" s="31">
        <v>10</v>
      </c>
      <c r="B24" s="40"/>
      <c r="C24" s="32"/>
      <c r="D24" s="33"/>
    </row>
    <row r="25" spans="1:4" s="30" customFormat="1" ht="31.5" customHeight="1" x14ac:dyDescent="0.25">
      <c r="A25" s="1335"/>
      <c r="B25" s="1336"/>
      <c r="C25" s="1337"/>
      <c r="D25" s="1338"/>
    </row>
    <row r="26" spans="1:4" s="30" customFormat="1" ht="31.5" customHeight="1" x14ac:dyDescent="0.2">
      <c r="A26" s="412" t="s">
        <v>86</v>
      </c>
      <c r="B26" s="333"/>
      <c r="C26" s="479"/>
      <c r="D26" s="479"/>
    </row>
    <row r="27" spans="1:4" x14ac:dyDescent="0.3">
      <c r="A27" s="3"/>
      <c r="B27" s="41"/>
    </row>
    <row r="28" spans="1:4" x14ac:dyDescent="0.3">
      <c r="A28" s="412"/>
      <c r="B28" s="41"/>
    </row>
    <row r="29" spans="1:4" x14ac:dyDescent="0.3">
      <c r="A29" s="412"/>
      <c r="B29" s="41"/>
    </row>
    <row r="30" spans="1:4" x14ac:dyDescent="0.3">
      <c r="A30" s="412"/>
      <c r="B30" s="41"/>
    </row>
    <row r="31" spans="1:4" x14ac:dyDescent="0.3">
      <c r="A31" s="3"/>
    </row>
    <row r="32" spans="1:4" ht="18.75" x14ac:dyDescent="0.3">
      <c r="B32" s="354" t="s">
        <v>1009</v>
      </c>
    </row>
  </sheetData>
  <mergeCells count="9">
    <mergeCell ref="A25:D25"/>
    <mergeCell ref="A1:D1"/>
    <mergeCell ref="A3:D3"/>
    <mergeCell ref="A4:D4"/>
    <mergeCell ref="C7:D7"/>
    <mergeCell ref="A2:D2"/>
    <mergeCell ref="A7:B8"/>
    <mergeCell ref="B5:C5"/>
    <mergeCell ref="B11:C11"/>
  </mergeCells>
  <printOptions horizontalCentered="1"/>
  <pageMargins left="0.39370078740157483" right="0.39370078740157483" top="0.74803149606299213" bottom="0.74803149606299213" header="0.31496062992125984" footer="0.31496062992125984"/>
  <pageSetup scale="8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activeCell="C39" sqref="C39"/>
    </sheetView>
  </sheetViews>
  <sheetFormatPr baseColWidth="10" defaultColWidth="11.28515625" defaultRowHeight="16.5" x14ac:dyDescent="0.3"/>
  <cols>
    <col min="1" max="1" width="3.7109375" style="104" customWidth="1"/>
    <col min="2" max="2" width="35.7109375" style="86" customWidth="1"/>
    <col min="3" max="3" width="26.7109375" style="86" customWidth="1"/>
    <col min="4" max="5" width="15.7109375" style="86" customWidth="1"/>
    <col min="6" max="16384" width="11.28515625" style="86"/>
  </cols>
  <sheetData>
    <row r="1" spans="1:5" x14ac:dyDescent="0.3">
      <c r="A1" s="1272" t="s">
        <v>1010</v>
      </c>
      <c r="B1" s="1272"/>
      <c r="C1" s="1272"/>
      <c r="D1" s="1272"/>
      <c r="E1" s="297"/>
    </row>
    <row r="2" spans="1:5" x14ac:dyDescent="0.3">
      <c r="A2" s="1276" t="s">
        <v>1011</v>
      </c>
      <c r="B2" s="1276"/>
      <c r="C2" s="1276"/>
      <c r="D2" s="1276"/>
      <c r="E2" s="1276"/>
    </row>
    <row r="3" spans="1:5" x14ac:dyDescent="0.3">
      <c r="A3" s="1351" t="str">
        <f>'ETCA-I-01'!A3:G3</f>
        <v>Centro de Evaluacion y Control de Confianza del Estado de Sonora</v>
      </c>
      <c r="B3" s="1351"/>
      <c r="C3" s="1351"/>
      <c r="D3" s="1351"/>
      <c r="E3" s="1351"/>
    </row>
    <row r="4" spans="1:5" x14ac:dyDescent="0.3">
      <c r="A4" s="1352" t="str">
        <f>'ETCA-I-03'!A4:D4</f>
        <v>Del 01 de Enero  al 31 de Marzo de 2018</v>
      </c>
      <c r="B4" s="1352"/>
      <c r="C4" s="1352"/>
      <c r="D4" s="1352"/>
      <c r="E4" s="1352"/>
    </row>
    <row r="5" spans="1:5" x14ac:dyDescent="0.3">
      <c r="A5" s="664"/>
      <c r="B5" s="664"/>
      <c r="C5" s="667" t="s">
        <v>1012</v>
      </c>
      <c r="D5" s="45"/>
      <c r="E5" s="355"/>
    </row>
    <row r="6" spans="1:5" ht="6.75" customHeight="1" thickBot="1" x14ac:dyDescent="0.35"/>
    <row r="7" spans="1:5" s="177" customFormat="1" ht="30" customHeight="1" x14ac:dyDescent="0.25">
      <c r="A7" s="1277" t="s">
        <v>1013</v>
      </c>
      <c r="B7" s="1278"/>
      <c r="C7" s="356" t="s">
        <v>1014</v>
      </c>
      <c r="D7" s="668" t="s">
        <v>1015</v>
      </c>
      <c r="E7" s="670" t="s">
        <v>1016</v>
      </c>
    </row>
    <row r="8" spans="1:5" s="177" customFormat="1" ht="30" customHeight="1" thickBot="1" x14ac:dyDescent="0.3">
      <c r="A8" s="1279"/>
      <c r="B8" s="1280"/>
      <c r="C8" s="302" t="s">
        <v>890</v>
      </c>
      <c r="D8" s="302" t="s">
        <v>891</v>
      </c>
      <c r="E8" s="303" t="s">
        <v>1017</v>
      </c>
    </row>
    <row r="9" spans="1:5" s="177" customFormat="1" ht="12.75" customHeight="1" x14ac:dyDescent="0.25">
      <c r="A9" s="1281"/>
      <c r="B9" s="1349"/>
      <c r="C9" s="1282"/>
      <c r="D9" s="1282"/>
      <c r="E9" s="1350"/>
    </row>
    <row r="10" spans="1:5" s="177" customFormat="1" ht="20.25" customHeight="1" x14ac:dyDescent="0.25">
      <c r="A10" s="304">
        <v>1</v>
      </c>
      <c r="B10" s="357"/>
      <c r="C10" s="306"/>
      <c r="D10" s="307"/>
      <c r="E10" s="317" t="str">
        <f>IF(B10&lt;&gt;"",C10+D10,"")</f>
        <v/>
      </c>
    </row>
    <row r="11" spans="1:5" s="177" customFormat="1" ht="20.25" customHeight="1" x14ac:dyDescent="0.25">
      <c r="A11" s="304">
        <v>2</v>
      </c>
      <c r="B11" s="357"/>
      <c r="C11" s="306"/>
      <c r="D11" s="307"/>
      <c r="E11" s="317" t="str">
        <f t="shared" ref="E11:E19" si="0">IF(B11&lt;&gt;"",C11+D11,"")</f>
        <v/>
      </c>
    </row>
    <row r="12" spans="1:5" s="177" customFormat="1" ht="20.25" customHeight="1" x14ac:dyDescent="0.25">
      <c r="A12" s="304">
        <v>3</v>
      </c>
      <c r="B12" s="357"/>
      <c r="C12" s="306"/>
      <c r="D12" s="307"/>
      <c r="E12" s="317" t="str">
        <f t="shared" si="0"/>
        <v/>
      </c>
    </row>
    <row r="13" spans="1:5" s="177" customFormat="1" ht="20.25" customHeight="1" x14ac:dyDescent="0.25">
      <c r="A13" s="304">
        <v>4</v>
      </c>
      <c r="B13" s="357"/>
      <c r="C13" s="306"/>
      <c r="D13" s="307"/>
      <c r="E13" s="317" t="str">
        <f t="shared" si="0"/>
        <v/>
      </c>
    </row>
    <row r="14" spans="1:5" s="177" customFormat="1" ht="20.25" customHeight="1" x14ac:dyDescent="0.25">
      <c r="A14" s="304">
        <v>5</v>
      </c>
      <c r="B14" s="357"/>
      <c r="C14" s="306"/>
      <c r="D14" s="307"/>
      <c r="E14" s="317" t="str">
        <f t="shared" si="0"/>
        <v/>
      </c>
    </row>
    <row r="15" spans="1:5" s="177" customFormat="1" ht="20.25" customHeight="1" x14ac:dyDescent="0.25">
      <c r="A15" s="304">
        <v>6</v>
      </c>
      <c r="B15" s="357" t="s">
        <v>1240</v>
      </c>
      <c r="C15" s="306"/>
      <c r="D15" s="307"/>
      <c r="E15" s="317">
        <f t="shared" si="0"/>
        <v>0</v>
      </c>
    </row>
    <row r="16" spans="1:5" s="177" customFormat="1" ht="20.25" customHeight="1" x14ac:dyDescent="0.25">
      <c r="A16" s="304">
        <v>7</v>
      </c>
      <c r="B16" s="357"/>
      <c r="C16" s="306"/>
      <c r="D16" s="307"/>
      <c r="E16" s="317" t="str">
        <f t="shared" si="0"/>
        <v/>
      </c>
    </row>
    <row r="17" spans="1:7" s="177" customFormat="1" ht="20.25" customHeight="1" x14ac:dyDescent="0.25">
      <c r="A17" s="304">
        <v>8</v>
      </c>
      <c r="B17" s="357"/>
      <c r="C17" s="306"/>
      <c r="D17" s="307"/>
      <c r="E17" s="317" t="str">
        <f t="shared" si="0"/>
        <v/>
      </c>
    </row>
    <row r="18" spans="1:7" s="177" customFormat="1" ht="20.25" customHeight="1" x14ac:dyDescent="0.25">
      <c r="A18" s="304">
        <v>9</v>
      </c>
      <c r="B18" s="357"/>
      <c r="C18" s="306"/>
      <c r="D18" s="307"/>
      <c r="E18" s="317" t="str">
        <f t="shared" si="0"/>
        <v/>
      </c>
    </row>
    <row r="19" spans="1:7" s="177" customFormat="1" ht="20.25" customHeight="1" x14ac:dyDescent="0.25">
      <c r="A19" s="304">
        <v>10</v>
      </c>
      <c r="B19" s="357"/>
      <c r="C19" s="306"/>
      <c r="D19" s="307"/>
      <c r="E19" s="317" t="str">
        <f t="shared" si="0"/>
        <v/>
      </c>
    </row>
    <row r="20" spans="1:7" s="177" customFormat="1" ht="20.25" customHeight="1" x14ac:dyDescent="0.25">
      <c r="A20" s="304"/>
      <c r="B20" s="358" t="s">
        <v>1018</v>
      </c>
      <c r="C20" s="315">
        <f>SUM(C10:C19)</f>
        <v>0</v>
      </c>
      <c r="D20" s="315">
        <f>SUM(D10:D19)</f>
        <v>0</v>
      </c>
      <c r="E20" s="317">
        <f>C20+D20</f>
        <v>0</v>
      </c>
      <c r="G20" s="359"/>
    </row>
    <row r="21" spans="1:7" s="177" customFormat="1" ht="21" customHeight="1" x14ac:dyDescent="0.25">
      <c r="A21" s="1273" t="s">
        <v>1019</v>
      </c>
      <c r="B21" s="1274"/>
      <c r="C21" s="1274"/>
      <c r="D21" s="1274"/>
      <c r="E21" s="1275"/>
    </row>
    <row r="22" spans="1:7" s="177" customFormat="1" ht="20.25" customHeight="1" x14ac:dyDescent="0.25">
      <c r="A22" s="304">
        <v>1</v>
      </c>
      <c r="B22" s="305"/>
      <c r="C22" s="306"/>
      <c r="D22" s="307"/>
      <c r="E22" s="317" t="str">
        <f>IF(B22&lt;&gt;"",C22+D22,"")</f>
        <v/>
      </c>
    </row>
    <row r="23" spans="1:7" s="177" customFormat="1" ht="20.25" customHeight="1" x14ac:dyDescent="0.25">
      <c r="A23" s="304">
        <v>2</v>
      </c>
      <c r="B23" s="305"/>
      <c r="C23" s="306"/>
      <c r="D23" s="307"/>
      <c r="E23" s="317" t="str">
        <f t="shared" ref="E23:E31" si="1">IF(B23&lt;&gt;"",C23+D23,"")</f>
        <v/>
      </c>
    </row>
    <row r="24" spans="1:7" s="177" customFormat="1" ht="20.25" customHeight="1" x14ac:dyDescent="0.25">
      <c r="A24" s="304">
        <v>3</v>
      </c>
      <c r="B24" s="305"/>
      <c r="C24" s="306"/>
      <c r="D24" s="307"/>
      <c r="E24" s="317" t="str">
        <f t="shared" si="1"/>
        <v/>
      </c>
    </row>
    <row r="25" spans="1:7" s="177" customFormat="1" ht="20.25" customHeight="1" x14ac:dyDescent="0.25">
      <c r="A25" s="304">
        <v>4</v>
      </c>
      <c r="B25" s="305"/>
      <c r="C25" s="306"/>
      <c r="D25" s="307"/>
      <c r="E25" s="317" t="str">
        <f t="shared" si="1"/>
        <v/>
      </c>
    </row>
    <row r="26" spans="1:7" s="177" customFormat="1" ht="20.25" customHeight="1" x14ac:dyDescent="0.25">
      <c r="A26" s="304">
        <v>5</v>
      </c>
      <c r="B26" s="305"/>
      <c r="C26" s="306"/>
      <c r="D26" s="307"/>
      <c r="E26" s="317" t="str">
        <f t="shared" si="1"/>
        <v/>
      </c>
    </row>
    <row r="27" spans="1:7" s="177" customFormat="1" ht="20.25" customHeight="1" x14ac:dyDescent="0.25">
      <c r="A27" s="304">
        <v>6</v>
      </c>
      <c r="B27" s="305"/>
      <c r="C27" s="306"/>
      <c r="D27" s="307"/>
      <c r="E27" s="317" t="str">
        <f t="shared" si="1"/>
        <v/>
      </c>
    </row>
    <row r="28" spans="1:7" s="177" customFormat="1" ht="20.25" customHeight="1" x14ac:dyDescent="0.25">
      <c r="A28" s="304">
        <v>7</v>
      </c>
      <c r="B28" s="305"/>
      <c r="C28" s="357" t="s">
        <v>1240</v>
      </c>
      <c r="D28" s="307"/>
      <c r="E28" s="317" t="str">
        <f t="shared" si="1"/>
        <v/>
      </c>
    </row>
    <row r="29" spans="1:7" s="177" customFormat="1" ht="20.25" customHeight="1" x14ac:dyDescent="0.25">
      <c r="A29" s="304">
        <v>8</v>
      </c>
      <c r="B29" s="305"/>
      <c r="C29" s="306"/>
      <c r="D29" s="307"/>
      <c r="E29" s="317" t="str">
        <f t="shared" si="1"/>
        <v/>
      </c>
    </row>
    <row r="30" spans="1:7" s="177" customFormat="1" ht="20.25" customHeight="1" x14ac:dyDescent="0.25">
      <c r="A30" s="304">
        <v>9</v>
      </c>
      <c r="B30" s="305"/>
      <c r="C30" s="306"/>
      <c r="D30" s="307"/>
      <c r="E30" s="317" t="str">
        <f t="shared" si="1"/>
        <v/>
      </c>
    </row>
    <row r="31" spans="1:7" s="177" customFormat="1" ht="20.25" customHeight="1" x14ac:dyDescent="0.25">
      <c r="A31" s="304">
        <v>10</v>
      </c>
      <c r="B31" s="305"/>
      <c r="C31" s="306"/>
      <c r="D31" s="307"/>
      <c r="E31" s="317" t="str">
        <f t="shared" si="1"/>
        <v/>
      </c>
    </row>
    <row r="32" spans="1:7" s="311" customFormat="1" ht="22.5" customHeight="1" thickBot="1" x14ac:dyDescent="0.35">
      <c r="A32" s="304"/>
      <c r="B32" s="310" t="s">
        <v>1020</v>
      </c>
      <c r="C32" s="362">
        <f>SUM(C22:C31)</f>
        <v>0</v>
      </c>
      <c r="D32" s="363">
        <f>SUM(D22:D31)</f>
        <v>0</v>
      </c>
      <c r="E32" s="361">
        <f>C32+D32</f>
        <v>0</v>
      </c>
    </row>
    <row r="33" spans="1:10" ht="30.75" customHeight="1" thickBot="1" x14ac:dyDescent="0.35">
      <c r="A33" s="312"/>
      <c r="B33" s="313" t="s">
        <v>897</v>
      </c>
      <c r="C33" s="318">
        <f>SUM(C20,C32)</f>
        <v>0</v>
      </c>
      <c r="D33" s="318">
        <f>SUM(D20,D32)</f>
        <v>0</v>
      </c>
      <c r="E33" s="319">
        <f>SUM(E20,E32)</f>
        <v>0</v>
      </c>
    </row>
    <row r="34" spans="1:10" ht="30.75" customHeight="1" x14ac:dyDescent="0.3">
      <c r="A34" s="435"/>
      <c r="B34" s="436"/>
      <c r="C34" s="437"/>
      <c r="D34" s="437"/>
      <c r="E34" s="437"/>
    </row>
    <row r="35" spans="1:10" ht="30.75" customHeight="1" x14ac:dyDescent="0.3">
      <c r="A35" s="435"/>
      <c r="B35" s="436"/>
      <c r="C35" s="437"/>
      <c r="D35" s="437"/>
      <c r="E35" s="437"/>
    </row>
    <row r="36" spans="1:10" ht="30.75" customHeight="1" x14ac:dyDescent="0.3">
      <c r="A36" s="435"/>
      <c r="B36" s="436"/>
      <c r="C36" s="437"/>
      <c r="D36" s="437"/>
      <c r="E36" s="437"/>
    </row>
    <row r="37" spans="1:10" ht="12.75" customHeight="1" x14ac:dyDescent="0.3">
      <c r="J37" s="314"/>
    </row>
    <row r="38" spans="1:10" ht="20.25" x14ac:dyDescent="0.3">
      <c r="B38" s="360" t="s">
        <v>1021</v>
      </c>
    </row>
  </sheetData>
  <mergeCells count="7">
    <mergeCell ref="A1:D1"/>
    <mergeCell ref="A2:E2"/>
    <mergeCell ref="A7:B8"/>
    <mergeCell ref="A9:E9"/>
    <mergeCell ref="A21:E21"/>
    <mergeCell ref="A3:E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view="pageBreakPreview" topLeftCell="A4" zoomScaleNormal="100" zoomScaleSheetLayoutView="100" workbookViewId="0">
      <selection activeCell="P33" sqref="P33"/>
    </sheetView>
  </sheetViews>
  <sheetFormatPr baseColWidth="10" defaultColWidth="11.42578125" defaultRowHeight="15" x14ac:dyDescent="0.25"/>
  <cols>
    <col min="6" max="6" width="26.42578125" customWidth="1"/>
    <col min="7" max="7" width="25.28515625" customWidth="1"/>
    <col min="8" max="8" width="11.7109375" customWidth="1"/>
  </cols>
  <sheetData>
    <row r="5" spans="2:2" x14ac:dyDescent="0.25">
      <c r="B5" t="s">
        <v>258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52" zoomScaleNormal="100" workbookViewId="0">
      <selection activeCell="C68" sqref="C68"/>
    </sheetView>
  </sheetViews>
  <sheetFormatPr baseColWidth="10" defaultColWidth="11.42578125" defaultRowHeight="15" x14ac:dyDescent="0.25"/>
  <cols>
    <col min="1" max="1" width="40.28515625" customWidth="1"/>
    <col min="2" max="3" width="14" customWidth="1"/>
    <col min="4" max="4" width="1.28515625" customWidth="1"/>
    <col min="5" max="5" width="40.28515625" customWidth="1"/>
    <col min="6" max="7" width="14" customWidth="1"/>
  </cols>
  <sheetData>
    <row r="1" spans="1:7" ht="15.75" x14ac:dyDescent="0.25">
      <c r="A1" s="1049" t="s">
        <v>25</v>
      </c>
      <c r="B1" s="1049"/>
      <c r="C1" s="1049"/>
      <c r="D1" s="1049"/>
      <c r="E1" s="1049"/>
      <c r="F1" s="1049"/>
      <c r="G1" s="1049"/>
    </row>
    <row r="2" spans="1:7" ht="14.25" customHeight="1" x14ac:dyDescent="0.25">
      <c r="A2" s="1050" t="s">
        <v>88</v>
      </c>
      <c r="B2" s="1050"/>
      <c r="C2" s="1050"/>
      <c r="D2" s="1050"/>
      <c r="E2" s="1050"/>
      <c r="F2" s="1050"/>
      <c r="G2" s="1050"/>
    </row>
    <row r="3" spans="1:7" s="44" customFormat="1" ht="14.25" customHeight="1" x14ac:dyDescent="0.3">
      <c r="A3" s="1050" t="str">
        <f>'ETCA-I-01'!A3:G3</f>
        <v>Centro de Evaluacion y Control de Confianza del Estado de Sonora</v>
      </c>
      <c r="B3" s="1050"/>
      <c r="C3" s="1050"/>
      <c r="D3" s="1050"/>
      <c r="E3" s="1050"/>
      <c r="F3" s="1050"/>
      <c r="G3" s="1050"/>
    </row>
    <row r="4" spans="1:7" ht="12.75" customHeight="1" x14ac:dyDescent="0.25">
      <c r="A4" s="1054" t="s">
        <v>1249</v>
      </c>
      <c r="B4" s="1054"/>
      <c r="C4" s="1054"/>
      <c r="D4" s="1054"/>
      <c r="E4" s="1054"/>
      <c r="F4" s="1054"/>
      <c r="G4" s="1054"/>
    </row>
    <row r="5" spans="1:7" ht="12" customHeight="1" thickBot="1" x14ac:dyDescent="0.3">
      <c r="A5" s="1055" t="s">
        <v>89</v>
      </c>
      <c r="B5" s="1055"/>
      <c r="C5" s="1055"/>
      <c r="D5" s="1055"/>
      <c r="E5" s="1055"/>
      <c r="F5" s="1055"/>
      <c r="G5" s="1055"/>
    </row>
    <row r="6" spans="1:7" ht="26.25" thickBot="1" x14ac:dyDescent="0.3">
      <c r="A6" s="572" t="s">
        <v>90</v>
      </c>
      <c r="B6" s="708">
        <v>2018</v>
      </c>
      <c r="C6" s="708" t="s">
        <v>1252</v>
      </c>
      <c r="D6" s="573"/>
      <c r="E6" s="574" t="s">
        <v>90</v>
      </c>
      <c r="F6" s="708">
        <v>2018</v>
      </c>
      <c r="G6" s="708" t="s">
        <v>1252</v>
      </c>
    </row>
    <row r="7" spans="1:7" ht="15.75" customHeight="1" x14ac:dyDescent="0.25">
      <c r="A7" s="500" t="s">
        <v>28</v>
      </c>
      <c r="B7" s="578"/>
      <c r="C7" s="578"/>
      <c r="D7" s="579"/>
      <c r="E7" s="578" t="s">
        <v>29</v>
      </c>
      <c r="F7" s="578"/>
      <c r="G7" s="578"/>
    </row>
    <row r="8" spans="1:7" ht="10.5" customHeight="1" x14ac:dyDescent="0.25">
      <c r="A8" s="500" t="s">
        <v>30</v>
      </c>
      <c r="B8" s="580"/>
      <c r="C8" s="580"/>
      <c r="D8" s="579"/>
      <c r="E8" s="578" t="s">
        <v>31</v>
      </c>
      <c r="F8" s="580"/>
      <c r="G8" s="580"/>
    </row>
    <row r="9" spans="1:7" s="548" customFormat="1" ht="25.5" x14ac:dyDescent="0.25">
      <c r="A9" s="500" t="s">
        <v>91</v>
      </c>
      <c r="B9" s="556">
        <f>SUM(B10:B16)</f>
        <v>6405981.4299999997</v>
      </c>
      <c r="C9" s="556">
        <f>SUM(C10:C16)</f>
        <v>7383067.2400000002</v>
      </c>
      <c r="D9" s="581"/>
      <c r="E9" s="578" t="s">
        <v>92</v>
      </c>
      <c r="F9" s="556">
        <f>SUM(F10:F18)</f>
        <v>1065494.44</v>
      </c>
      <c r="G9" s="556">
        <f>SUM(G10:G18)</f>
        <v>645460.89999999991</v>
      </c>
    </row>
    <row r="10" spans="1:7" x14ac:dyDescent="0.25">
      <c r="A10" s="582" t="s">
        <v>93</v>
      </c>
      <c r="B10" s="583">
        <v>0</v>
      </c>
      <c r="C10" s="583"/>
      <c r="D10" s="579"/>
      <c r="E10" s="580" t="s">
        <v>94</v>
      </c>
      <c r="F10" s="583">
        <v>0</v>
      </c>
      <c r="G10" s="583">
        <v>0</v>
      </c>
    </row>
    <row r="11" spans="1:7" x14ac:dyDescent="0.25">
      <c r="A11" s="582" t="s">
        <v>95</v>
      </c>
      <c r="B11" s="583">
        <f>'ETCA-I-01'!B9</f>
        <v>6405981.4299999997</v>
      </c>
      <c r="C11" s="583">
        <f>'ETCA-I-01'!C9</f>
        <v>7383067.2400000002</v>
      </c>
      <c r="D11" s="579"/>
      <c r="E11" s="580" t="s">
        <v>96</v>
      </c>
      <c r="F11" s="583">
        <f>'ETCA-I-01'!F9</f>
        <v>523558.04</v>
      </c>
      <c r="G11" s="583">
        <f>'ETCA-I-01'!G9</f>
        <v>113039.95</v>
      </c>
    </row>
    <row r="12" spans="1:7" x14ac:dyDescent="0.25">
      <c r="A12" s="582" t="s">
        <v>97</v>
      </c>
      <c r="B12" s="583">
        <v>0</v>
      </c>
      <c r="C12" s="583">
        <v>0</v>
      </c>
      <c r="D12" s="579"/>
      <c r="E12" s="580" t="s">
        <v>98</v>
      </c>
      <c r="F12" s="583">
        <v>0</v>
      </c>
      <c r="G12" s="583">
        <v>0</v>
      </c>
    </row>
    <row r="13" spans="1:7" x14ac:dyDescent="0.25">
      <c r="A13" s="582" t="s">
        <v>99</v>
      </c>
      <c r="B13" s="583">
        <v>0</v>
      </c>
      <c r="C13" s="583">
        <v>0</v>
      </c>
      <c r="D13" s="579"/>
      <c r="E13" s="580" t="s">
        <v>100</v>
      </c>
      <c r="F13" s="583">
        <v>0</v>
      </c>
      <c r="G13" s="583">
        <v>0</v>
      </c>
    </row>
    <row r="14" spans="1:7" x14ac:dyDescent="0.25">
      <c r="A14" s="582" t="s">
        <v>101</v>
      </c>
      <c r="B14" s="583">
        <v>0</v>
      </c>
      <c r="C14" s="583">
        <v>0</v>
      </c>
      <c r="D14" s="579"/>
      <c r="E14" s="580" t="s">
        <v>102</v>
      </c>
      <c r="F14" s="583">
        <v>0</v>
      </c>
      <c r="G14" s="583">
        <v>0</v>
      </c>
    </row>
    <row r="15" spans="1:7" ht="25.5" x14ac:dyDescent="0.25">
      <c r="A15" s="582" t="s">
        <v>103</v>
      </c>
      <c r="B15" s="583">
        <v>0</v>
      </c>
      <c r="C15" s="583">
        <v>0</v>
      </c>
      <c r="D15" s="579"/>
      <c r="E15" s="580" t="s">
        <v>104</v>
      </c>
      <c r="F15" s="583">
        <v>0</v>
      </c>
      <c r="G15" s="583">
        <v>0</v>
      </c>
    </row>
    <row r="16" spans="1:7" x14ac:dyDescent="0.25">
      <c r="A16" s="582" t="s">
        <v>105</v>
      </c>
      <c r="B16" s="583">
        <v>0</v>
      </c>
      <c r="C16" s="583">
        <v>0</v>
      </c>
      <c r="D16" s="579"/>
      <c r="E16" s="580" t="s">
        <v>106</v>
      </c>
      <c r="F16" s="583">
        <f>'ETCA-I-01'!F16</f>
        <v>541936.4</v>
      </c>
      <c r="G16" s="583">
        <f>'ETCA-I-01'!G16</f>
        <v>532420.94999999995</v>
      </c>
    </row>
    <row r="17" spans="1:7" ht="25.5" x14ac:dyDescent="0.25">
      <c r="A17" s="509" t="s">
        <v>107</v>
      </c>
      <c r="B17" s="556">
        <f>SUM(B18:B24)</f>
        <v>33596074.149999999</v>
      </c>
      <c r="C17" s="556">
        <f>SUM(C18:C24)</f>
        <v>33859225.399999999</v>
      </c>
      <c r="D17" s="579"/>
      <c r="E17" s="580" t="s">
        <v>108</v>
      </c>
      <c r="F17" s="583">
        <v>0</v>
      </c>
      <c r="G17" s="583">
        <v>0</v>
      </c>
    </row>
    <row r="18" spans="1:7" x14ac:dyDescent="0.25">
      <c r="A18" s="584" t="s">
        <v>109</v>
      </c>
      <c r="B18" s="583">
        <v>0</v>
      </c>
      <c r="C18" s="583">
        <v>0</v>
      </c>
      <c r="D18" s="579"/>
      <c r="E18" s="580" t="s">
        <v>110</v>
      </c>
      <c r="F18" s="583">
        <v>0</v>
      </c>
      <c r="G18" s="583">
        <v>0</v>
      </c>
    </row>
    <row r="19" spans="1:7" ht="19.5" customHeight="1" x14ac:dyDescent="0.25">
      <c r="A19" s="584" t="s">
        <v>111</v>
      </c>
      <c r="B19" s="583">
        <f>'ETCA-I-01'!B10</f>
        <v>33596074.149999999</v>
      </c>
      <c r="C19" s="583">
        <f>'ETCA-I-01'!C10</f>
        <v>33859225.399999999</v>
      </c>
      <c r="D19" s="579"/>
      <c r="E19" s="578" t="s">
        <v>112</v>
      </c>
      <c r="F19" s="556">
        <f>SUM(F20:F22)</f>
        <v>0</v>
      </c>
      <c r="G19" s="556">
        <f>SUM(G20:G22)</f>
        <v>0</v>
      </c>
    </row>
    <row r="20" spans="1:7" ht="15.75" customHeight="1" x14ac:dyDescent="0.25">
      <c r="A20" s="584" t="s">
        <v>113</v>
      </c>
      <c r="B20" s="583">
        <v>0</v>
      </c>
      <c r="C20" s="583">
        <v>0</v>
      </c>
      <c r="D20" s="579"/>
      <c r="E20" s="580" t="s">
        <v>114</v>
      </c>
      <c r="F20" s="583">
        <v>0</v>
      </c>
      <c r="G20" s="583">
        <v>0</v>
      </c>
    </row>
    <row r="21" spans="1:7" ht="25.5" x14ac:dyDescent="0.25">
      <c r="A21" s="584" t="s">
        <v>115</v>
      </c>
      <c r="B21" s="583">
        <v>0</v>
      </c>
      <c r="C21" s="583">
        <v>0</v>
      </c>
      <c r="D21" s="579"/>
      <c r="E21" s="580" t="s">
        <v>116</v>
      </c>
      <c r="F21" s="583">
        <v>0</v>
      </c>
      <c r="G21" s="583">
        <v>0</v>
      </c>
    </row>
    <row r="22" spans="1:7" ht="14.25" customHeight="1" x14ac:dyDescent="0.25">
      <c r="A22" s="584" t="s">
        <v>117</v>
      </c>
      <c r="B22" s="583">
        <v>0</v>
      </c>
      <c r="C22" s="583">
        <v>0</v>
      </c>
      <c r="D22" s="579"/>
      <c r="E22" s="580" t="s">
        <v>118</v>
      </c>
      <c r="F22" s="583">
        <v>0</v>
      </c>
      <c r="G22" s="583">
        <v>0</v>
      </c>
    </row>
    <row r="23" spans="1:7" ht="25.5" x14ac:dyDescent="0.25">
      <c r="A23" s="584" t="s">
        <v>119</v>
      </c>
      <c r="B23" s="583">
        <v>0</v>
      </c>
      <c r="C23" s="583">
        <v>0</v>
      </c>
      <c r="D23" s="579"/>
      <c r="E23" s="578" t="s">
        <v>120</v>
      </c>
      <c r="F23" s="556">
        <f>SUM(F24:F25)</f>
        <v>0</v>
      </c>
      <c r="G23" s="556">
        <f>SUM(G24:G25)</f>
        <v>0</v>
      </c>
    </row>
    <row r="24" spans="1:7" ht="25.5" x14ac:dyDescent="0.25">
      <c r="A24" s="584" t="s">
        <v>121</v>
      </c>
      <c r="B24" s="583">
        <v>0</v>
      </c>
      <c r="C24" s="583">
        <v>0</v>
      </c>
      <c r="D24" s="579"/>
      <c r="E24" s="580" t="s">
        <v>122</v>
      </c>
      <c r="F24" s="583">
        <v>0</v>
      </c>
      <c r="G24" s="583">
        <v>0</v>
      </c>
    </row>
    <row r="25" spans="1:7" ht="25.5" x14ac:dyDescent="0.25">
      <c r="A25" s="500" t="s">
        <v>123</v>
      </c>
      <c r="B25" s="556">
        <f>SUM(B26:B30)</f>
        <v>0</v>
      </c>
      <c r="C25" s="556">
        <f>SUM(C26:C30)</f>
        <v>0</v>
      </c>
      <c r="D25" s="579"/>
      <c r="E25" s="580" t="s">
        <v>124</v>
      </c>
      <c r="F25" s="583">
        <v>0</v>
      </c>
      <c r="G25" s="583">
        <v>0</v>
      </c>
    </row>
    <row r="26" spans="1:7" ht="25.5" x14ac:dyDescent="0.25">
      <c r="A26" s="584" t="s">
        <v>125</v>
      </c>
      <c r="B26" s="583">
        <v>0</v>
      </c>
      <c r="C26" s="583">
        <v>0</v>
      </c>
      <c r="D26" s="579"/>
      <c r="E26" s="580" t="s">
        <v>126</v>
      </c>
      <c r="F26" s="583">
        <v>0</v>
      </c>
      <c r="G26" s="583">
        <v>0</v>
      </c>
    </row>
    <row r="27" spans="1:7" ht="25.5" x14ac:dyDescent="0.25">
      <c r="A27" s="584" t="s">
        <v>127</v>
      </c>
      <c r="B27" s="583">
        <v>0</v>
      </c>
      <c r="C27" s="583">
        <v>0</v>
      </c>
      <c r="D27" s="579"/>
      <c r="E27" s="578" t="s">
        <v>128</v>
      </c>
      <c r="F27" s="556">
        <f>SUM(F28:F30)</f>
        <v>0</v>
      </c>
      <c r="G27" s="556">
        <f>SUM(G28:G30)</f>
        <v>0</v>
      </c>
    </row>
    <row r="28" spans="1:7" ht="25.5" x14ac:dyDescent="0.25">
      <c r="A28" s="584" t="s">
        <v>129</v>
      </c>
      <c r="B28" s="583">
        <v>0</v>
      </c>
      <c r="C28" s="583">
        <v>0</v>
      </c>
      <c r="D28" s="579"/>
      <c r="E28" s="580" t="s">
        <v>130</v>
      </c>
      <c r="F28" s="583">
        <v>0</v>
      </c>
      <c r="G28" s="583">
        <v>0</v>
      </c>
    </row>
    <row r="29" spans="1:7" ht="17.25" customHeight="1" x14ac:dyDescent="0.25">
      <c r="A29" s="584" t="s">
        <v>131</v>
      </c>
      <c r="B29" s="583">
        <v>0</v>
      </c>
      <c r="C29" s="583">
        <v>0</v>
      </c>
      <c r="D29" s="579"/>
      <c r="E29" s="580" t="s">
        <v>132</v>
      </c>
      <c r="F29" s="583">
        <v>0</v>
      </c>
      <c r="G29" s="583">
        <v>0</v>
      </c>
    </row>
    <row r="30" spans="1:7" x14ac:dyDescent="0.25">
      <c r="A30" s="584" t="s">
        <v>133</v>
      </c>
      <c r="B30" s="583">
        <v>0</v>
      </c>
      <c r="C30" s="583">
        <v>0</v>
      </c>
      <c r="D30" s="579"/>
      <c r="E30" s="580" t="s">
        <v>134</v>
      </c>
      <c r="F30" s="583">
        <v>0</v>
      </c>
      <c r="G30" s="583">
        <v>0</v>
      </c>
    </row>
    <row r="31" spans="1:7" ht="25.5" x14ac:dyDescent="0.25">
      <c r="A31" s="500" t="s">
        <v>135</v>
      </c>
      <c r="B31" s="556">
        <f>SUM(B32:B36)</f>
        <v>0</v>
      </c>
      <c r="C31" s="556">
        <f>SUM(C32:C36)</f>
        <v>0</v>
      </c>
      <c r="D31" s="579"/>
      <c r="E31" s="578" t="s">
        <v>136</v>
      </c>
      <c r="F31" s="556">
        <f>SUM(F32:F37)</f>
        <v>0</v>
      </c>
      <c r="G31" s="556">
        <f>SUM(G32:G37)</f>
        <v>0</v>
      </c>
    </row>
    <row r="32" spans="1:7" ht="12.75" customHeight="1" x14ac:dyDescent="0.25">
      <c r="A32" s="584" t="s">
        <v>137</v>
      </c>
      <c r="B32" s="583">
        <v>0</v>
      </c>
      <c r="C32" s="583">
        <v>0</v>
      </c>
      <c r="D32" s="579"/>
      <c r="E32" s="580" t="s">
        <v>138</v>
      </c>
      <c r="F32" s="583">
        <v>0</v>
      </c>
      <c r="G32" s="583">
        <v>0</v>
      </c>
    </row>
    <row r="33" spans="1:7" ht="12.75" customHeight="1" x14ac:dyDescent="0.25">
      <c r="A33" s="584" t="s">
        <v>139</v>
      </c>
      <c r="B33" s="583">
        <v>0</v>
      </c>
      <c r="C33" s="583">
        <v>0</v>
      </c>
      <c r="D33" s="579"/>
      <c r="E33" s="580" t="s">
        <v>140</v>
      </c>
      <c r="F33" s="583">
        <v>0</v>
      </c>
      <c r="G33" s="583">
        <v>0</v>
      </c>
    </row>
    <row r="34" spans="1:7" ht="12.75" customHeight="1" x14ac:dyDescent="0.25">
      <c r="A34" s="584" t="s">
        <v>141</v>
      </c>
      <c r="B34" s="583">
        <v>0</v>
      </c>
      <c r="C34" s="583">
        <v>0</v>
      </c>
      <c r="D34" s="579"/>
      <c r="E34" s="580" t="s">
        <v>142</v>
      </c>
      <c r="F34" s="583">
        <v>0</v>
      </c>
      <c r="G34" s="583">
        <v>0</v>
      </c>
    </row>
    <row r="35" spans="1:7" ht="25.5" x14ac:dyDescent="0.25">
      <c r="A35" s="584" t="s">
        <v>143</v>
      </c>
      <c r="B35" s="583">
        <v>0</v>
      </c>
      <c r="C35" s="583">
        <v>0</v>
      </c>
      <c r="D35" s="587"/>
      <c r="E35" s="580" t="s">
        <v>144</v>
      </c>
      <c r="F35" s="583">
        <v>0</v>
      </c>
      <c r="G35" s="583">
        <v>0</v>
      </c>
    </row>
    <row r="36" spans="1:7" ht="25.5" x14ac:dyDescent="0.25">
      <c r="A36" s="584" t="s">
        <v>145</v>
      </c>
      <c r="B36" s="583">
        <v>0</v>
      </c>
      <c r="C36" s="583">
        <v>0</v>
      </c>
      <c r="D36" s="579"/>
      <c r="E36" s="580" t="s">
        <v>146</v>
      </c>
      <c r="F36" s="583">
        <v>0</v>
      </c>
      <c r="G36" s="583">
        <v>0</v>
      </c>
    </row>
    <row r="37" spans="1:7" ht="16.5" customHeight="1" thickBot="1" x14ac:dyDescent="0.3">
      <c r="A37" s="511" t="s">
        <v>147</v>
      </c>
      <c r="B37" s="586">
        <v>0</v>
      </c>
      <c r="C37" s="586">
        <v>0</v>
      </c>
      <c r="D37" s="576"/>
      <c r="E37" s="577" t="s">
        <v>148</v>
      </c>
      <c r="F37" s="586">
        <v>0</v>
      </c>
      <c r="G37" s="586">
        <v>0</v>
      </c>
    </row>
    <row r="38" spans="1:7" ht="25.5" x14ac:dyDescent="0.25">
      <c r="A38" s="595" t="s">
        <v>149</v>
      </c>
      <c r="B38" s="596">
        <f>SUM(B39:B40)</f>
        <v>-29829388.969999999</v>
      </c>
      <c r="C38" s="596">
        <f>SUM(C39:C40)</f>
        <v>-29829388.969999999</v>
      </c>
      <c r="D38" s="597"/>
      <c r="E38" s="598" t="s">
        <v>150</v>
      </c>
      <c r="F38" s="596">
        <f>SUM(F39:F41)</f>
        <v>0</v>
      </c>
      <c r="G38" s="596">
        <f>SUM(G39:G41)</f>
        <v>0</v>
      </c>
    </row>
    <row r="39" spans="1:7" ht="25.5" x14ac:dyDescent="0.25">
      <c r="A39" s="584" t="s">
        <v>151</v>
      </c>
      <c r="B39" s="583">
        <f>'ETCA-I-01'!B14</f>
        <v>-29829388.969999999</v>
      </c>
      <c r="C39" s="583">
        <f>'ETCA-I-01'!C14</f>
        <v>-29829388.969999999</v>
      </c>
      <c r="D39" s="587"/>
      <c r="E39" s="580" t="s">
        <v>152</v>
      </c>
      <c r="F39" s="583">
        <v>0</v>
      </c>
      <c r="G39" s="583">
        <v>0</v>
      </c>
    </row>
    <row r="40" spans="1:7" x14ac:dyDescent="0.25">
      <c r="A40" s="584" t="s">
        <v>153</v>
      </c>
      <c r="B40" s="583">
        <v>0</v>
      </c>
      <c r="C40" s="583">
        <v>0</v>
      </c>
      <c r="D40" s="579"/>
      <c r="E40" s="580" t="s">
        <v>154</v>
      </c>
      <c r="F40" s="583">
        <v>0</v>
      </c>
      <c r="G40" s="583">
        <v>0</v>
      </c>
    </row>
    <row r="41" spans="1:7" ht="12" customHeight="1" x14ac:dyDescent="0.25">
      <c r="A41" s="500" t="s">
        <v>155</v>
      </c>
      <c r="B41" s="556">
        <f>SUM(B42:B45)</f>
        <v>0</v>
      </c>
      <c r="C41" s="556">
        <f>SUM(C42:C45)</f>
        <v>0</v>
      </c>
      <c r="D41" s="579"/>
      <c r="E41" s="580" t="s">
        <v>156</v>
      </c>
      <c r="F41" s="583">
        <v>0</v>
      </c>
      <c r="G41" s="583">
        <v>0</v>
      </c>
    </row>
    <row r="42" spans="1:7" ht="12" customHeight="1" x14ac:dyDescent="0.25">
      <c r="A42" s="584" t="s">
        <v>157</v>
      </c>
      <c r="B42" s="583">
        <v>0</v>
      </c>
      <c r="C42" s="583">
        <v>0</v>
      </c>
      <c r="D42" s="579"/>
      <c r="E42" s="578" t="s">
        <v>158</v>
      </c>
      <c r="F42" s="568">
        <f>SUM(F43:F45)</f>
        <v>0</v>
      </c>
      <c r="G42" s="568">
        <f>SUM(G43:G45)</f>
        <v>0</v>
      </c>
    </row>
    <row r="43" spans="1:7" ht="12" customHeight="1" x14ac:dyDescent="0.25">
      <c r="A43" s="584" t="s">
        <v>159</v>
      </c>
      <c r="B43" s="583">
        <v>0</v>
      </c>
      <c r="C43" s="583">
        <v>0</v>
      </c>
      <c r="D43" s="579"/>
      <c r="E43" s="580" t="s">
        <v>160</v>
      </c>
      <c r="F43" s="583">
        <v>0</v>
      </c>
      <c r="G43" s="583">
        <v>0</v>
      </c>
    </row>
    <row r="44" spans="1:7" ht="25.5" x14ac:dyDescent="0.25">
      <c r="A44" s="584" t="s">
        <v>161</v>
      </c>
      <c r="B44" s="583">
        <v>0</v>
      </c>
      <c r="C44" s="583">
        <v>0</v>
      </c>
      <c r="D44" s="579"/>
      <c r="E44" s="580" t="s">
        <v>162</v>
      </c>
      <c r="F44" s="583">
        <v>0</v>
      </c>
      <c r="G44" s="583">
        <v>0</v>
      </c>
    </row>
    <row r="45" spans="1:7" ht="13.5" customHeight="1" x14ac:dyDescent="0.25">
      <c r="A45" s="584" t="s">
        <v>163</v>
      </c>
      <c r="B45" s="583">
        <v>0</v>
      </c>
      <c r="C45" s="583">
        <v>0</v>
      </c>
      <c r="D45" s="579"/>
      <c r="E45" s="580" t="s">
        <v>164</v>
      </c>
      <c r="F45" s="583">
        <v>0</v>
      </c>
      <c r="G45" s="583">
        <v>0</v>
      </c>
    </row>
    <row r="46" spans="1:7" ht="24" customHeight="1" x14ac:dyDescent="0.25">
      <c r="A46" s="500" t="s">
        <v>165</v>
      </c>
      <c r="B46" s="556">
        <f>+B41+B37+B38+B31+B25+B17+B9</f>
        <v>10172666.609999999</v>
      </c>
      <c r="C46" s="556">
        <f>+C41+C37+C38+C31+C25+C17+C9</f>
        <v>11412903.67</v>
      </c>
      <c r="D46" s="579"/>
      <c r="E46" s="578" t="s">
        <v>166</v>
      </c>
      <c r="F46" s="556">
        <f>+F42+F38+F31+F27+F26+F23+F19+F9</f>
        <v>1065494.44</v>
      </c>
      <c r="G46" s="556">
        <f>+G42+G38+G31+G27+G26+G23+G19+G9</f>
        <v>645460.89999999991</v>
      </c>
    </row>
    <row r="47" spans="1:7" x14ac:dyDescent="0.25">
      <c r="A47" s="500" t="s">
        <v>49</v>
      </c>
      <c r="B47" s="585"/>
      <c r="C47" s="585"/>
      <c r="D47" s="587"/>
      <c r="E47" s="578" t="s">
        <v>50</v>
      </c>
      <c r="F47" s="585"/>
      <c r="G47" s="585"/>
    </row>
    <row r="48" spans="1:7" ht="12.75" customHeight="1" x14ac:dyDescent="0.25">
      <c r="A48" s="584" t="s">
        <v>167</v>
      </c>
      <c r="B48" s="583">
        <v>0</v>
      </c>
      <c r="C48" s="583">
        <v>0</v>
      </c>
      <c r="D48" s="579"/>
      <c r="E48" s="580" t="s">
        <v>168</v>
      </c>
      <c r="F48" s="583">
        <v>0</v>
      </c>
      <c r="G48" s="583">
        <v>0</v>
      </c>
    </row>
    <row r="49" spans="1:8" ht="12.75" customHeight="1" x14ac:dyDescent="0.25">
      <c r="A49" s="584" t="s">
        <v>169</v>
      </c>
      <c r="B49" s="583">
        <v>0</v>
      </c>
      <c r="C49" s="583">
        <v>0</v>
      </c>
      <c r="D49" s="579"/>
      <c r="E49" s="580" t="s">
        <v>170</v>
      </c>
      <c r="F49" s="583">
        <v>0</v>
      </c>
      <c r="G49" s="583">
        <v>0</v>
      </c>
    </row>
    <row r="50" spans="1:8" ht="15.75" customHeight="1" x14ac:dyDescent="0.25">
      <c r="A50" s="584" t="s">
        <v>171</v>
      </c>
      <c r="B50" s="583">
        <f>'ETCA-I-01'!B23</f>
        <v>18541158.350000001</v>
      </c>
      <c r="C50" s="583">
        <f>'ETCA-I-01'!C23</f>
        <v>18541158.350000001</v>
      </c>
      <c r="D50" s="579"/>
      <c r="E50" s="580" t="s">
        <v>172</v>
      </c>
      <c r="F50" s="583">
        <v>0</v>
      </c>
      <c r="G50" s="583">
        <v>0</v>
      </c>
    </row>
    <row r="51" spans="1:8" ht="12" customHeight="1" x14ac:dyDescent="0.25">
      <c r="A51" s="584" t="s">
        <v>173</v>
      </c>
      <c r="B51" s="583">
        <f>'ETCA-I-01'!B24</f>
        <v>24444045.93</v>
      </c>
      <c r="C51" s="583">
        <f>'ETCA-I-01'!C24</f>
        <v>24420168.280000001</v>
      </c>
      <c r="D51" s="579"/>
      <c r="E51" s="580" t="s">
        <v>174</v>
      </c>
      <c r="F51" s="583">
        <v>0</v>
      </c>
      <c r="G51" s="583">
        <v>0</v>
      </c>
    </row>
    <row r="52" spans="1:8" ht="25.5" x14ac:dyDescent="0.25">
      <c r="A52" s="584" t="s">
        <v>175</v>
      </c>
      <c r="B52" s="583">
        <f>'ETCA-I-01'!B25</f>
        <v>1340671.75</v>
      </c>
      <c r="C52" s="583">
        <f>'ETCA-I-01'!C25</f>
        <v>1340671.75</v>
      </c>
      <c r="D52" s="579"/>
      <c r="E52" s="580" t="s">
        <v>176</v>
      </c>
      <c r="F52" s="583">
        <v>0</v>
      </c>
      <c r="G52" s="583">
        <v>0</v>
      </c>
    </row>
    <row r="53" spans="1:8" x14ac:dyDescent="0.25">
      <c r="A53" s="584" t="s">
        <v>177</v>
      </c>
      <c r="B53" s="583">
        <f>'ETCA-I-01'!B26</f>
        <v>-13724126.16</v>
      </c>
      <c r="C53" s="583">
        <f>'ETCA-I-01'!C26</f>
        <v>-13724126.16</v>
      </c>
      <c r="D53" s="581"/>
      <c r="E53" s="580" t="s">
        <v>178</v>
      </c>
      <c r="F53" s="583">
        <v>0</v>
      </c>
      <c r="G53" s="583">
        <v>0</v>
      </c>
    </row>
    <row r="54" spans="1:8" ht="11.25" customHeight="1" x14ac:dyDescent="0.25">
      <c r="A54" s="584" t="s">
        <v>179</v>
      </c>
      <c r="B54" s="583">
        <v>0</v>
      </c>
      <c r="C54" s="583">
        <v>0</v>
      </c>
      <c r="D54" s="581"/>
      <c r="E54" s="578"/>
      <c r="F54" s="585"/>
      <c r="G54" s="585"/>
    </row>
    <row r="55" spans="1:8" ht="19.5" customHeight="1" x14ac:dyDescent="0.25">
      <c r="A55" s="584" t="s">
        <v>180</v>
      </c>
      <c r="B55" s="583">
        <v>0</v>
      </c>
      <c r="C55" s="583">
        <v>0</v>
      </c>
      <c r="D55" s="581"/>
      <c r="E55" s="578" t="s">
        <v>181</v>
      </c>
      <c r="F55" s="556">
        <f>SUM(F47:F53)</f>
        <v>0</v>
      </c>
      <c r="G55" s="556">
        <f>SUM(G47:G53)</f>
        <v>0</v>
      </c>
    </row>
    <row r="56" spans="1:8" ht="13.5" customHeight="1" x14ac:dyDescent="0.25">
      <c r="A56" s="584" t="s">
        <v>182</v>
      </c>
      <c r="B56" s="583">
        <v>0</v>
      </c>
      <c r="C56" s="583">
        <v>0</v>
      </c>
      <c r="D56" s="579"/>
      <c r="E56" s="502"/>
      <c r="F56" s="585"/>
      <c r="G56" s="585"/>
    </row>
    <row r="57" spans="1:8" ht="25.5" x14ac:dyDescent="0.25">
      <c r="A57" s="500" t="s">
        <v>183</v>
      </c>
      <c r="B57" s="556">
        <f>SUM(B48:B56)</f>
        <v>30601749.870000001</v>
      </c>
      <c r="C57" s="556">
        <f>SUM(C48:C56)</f>
        <v>30577872.220000003</v>
      </c>
      <c r="D57" s="579"/>
      <c r="E57" s="578" t="s">
        <v>184</v>
      </c>
      <c r="F57" s="556">
        <f>+F46+F55</f>
        <v>1065494.44</v>
      </c>
      <c r="G57" s="556">
        <f>+G46+G55</f>
        <v>645460.89999999991</v>
      </c>
    </row>
    <row r="58" spans="1:8" ht="14.25" customHeight="1" x14ac:dyDescent="0.25">
      <c r="A58" s="584"/>
      <c r="B58" s="585"/>
      <c r="C58" s="585"/>
      <c r="D58" s="581"/>
      <c r="E58" s="578" t="s">
        <v>185</v>
      </c>
      <c r="F58" s="585"/>
      <c r="G58" s="585"/>
    </row>
    <row r="59" spans="1:8" ht="15" customHeight="1" x14ac:dyDescent="0.25">
      <c r="A59" s="500" t="s">
        <v>186</v>
      </c>
      <c r="B59" s="556">
        <f>+B46+B57</f>
        <v>40774416.480000004</v>
      </c>
      <c r="C59" s="556">
        <f>+C46+C57</f>
        <v>41990775.890000001</v>
      </c>
      <c r="D59" s="579"/>
      <c r="E59" s="578" t="s">
        <v>187</v>
      </c>
      <c r="F59" s="556">
        <f>SUM(F60:F62)</f>
        <v>4749917.68</v>
      </c>
      <c r="G59" s="556">
        <f>SUM(G60:G62)</f>
        <v>4749917.68</v>
      </c>
      <c r="H59" s="390" t="str">
        <f>IF(C59&lt;&gt;'ETCA-I-01'!C33,"ERROR!!!!! ELTOTAL DE ACTIVO, NO CONCUERDA CON LO REPORTADO EN EL ESTADO DE SITUACION FINANCIERA","")</f>
        <v/>
      </c>
    </row>
    <row r="60" spans="1:8" ht="12" customHeight="1" x14ac:dyDescent="0.25">
      <c r="A60" s="584"/>
      <c r="B60" s="588"/>
      <c r="C60" s="588"/>
      <c r="D60" s="579"/>
      <c r="E60" s="580" t="s">
        <v>188</v>
      </c>
      <c r="F60" s="583">
        <f>'ETCA-I-01'!F37</f>
        <v>4749917.68</v>
      </c>
      <c r="G60" s="583">
        <f>'ETCA-I-01'!G37</f>
        <v>4749917.68</v>
      </c>
      <c r="H60" s="390" t="str">
        <f>IF(B59&lt;&gt;'ETCA-I-01'!B33,"ERROR!!!!! ELTOTAL DE ACTIVO, NO CONCUERDA CON LO REPORTADO EN EL ESTADO DE SITUACION FINANCIERA","")</f>
        <v/>
      </c>
    </row>
    <row r="61" spans="1:8" ht="11.25" customHeight="1" x14ac:dyDescent="0.25">
      <c r="A61" s="584"/>
      <c r="B61" s="588"/>
      <c r="C61" s="588"/>
      <c r="D61" s="579"/>
      <c r="E61" s="580" t="s">
        <v>189</v>
      </c>
      <c r="F61" s="583">
        <v>0</v>
      </c>
      <c r="G61" s="583">
        <v>0</v>
      </c>
    </row>
    <row r="62" spans="1:8" ht="10.5" customHeight="1" x14ac:dyDescent="0.25">
      <c r="A62" s="584"/>
      <c r="B62" s="588"/>
      <c r="C62" s="588"/>
      <c r="D62" s="579"/>
      <c r="E62" s="580" t="s">
        <v>190</v>
      </c>
      <c r="F62" s="583">
        <v>0</v>
      </c>
      <c r="G62" s="583">
        <v>0</v>
      </c>
    </row>
    <row r="63" spans="1:8" ht="25.5" x14ac:dyDescent="0.25">
      <c r="A63" s="584"/>
      <c r="B63" s="588"/>
      <c r="C63" s="588"/>
      <c r="D63" s="579"/>
      <c r="E63" s="578" t="s">
        <v>191</v>
      </c>
      <c r="F63" s="556">
        <f>SUM(F64:F68)</f>
        <v>34959004.360000007</v>
      </c>
      <c r="G63" s="556">
        <f>SUM(G64:G68)</f>
        <v>36595397.340000004</v>
      </c>
    </row>
    <row r="64" spans="1:8" x14ac:dyDescent="0.25">
      <c r="A64" s="584"/>
      <c r="B64" s="588"/>
      <c r="C64" s="588"/>
      <c r="D64" s="579"/>
      <c r="E64" s="580" t="s">
        <v>192</v>
      </c>
      <c r="F64" s="583">
        <f>'ETCA-I-01'!F41</f>
        <v>-1612752.4</v>
      </c>
      <c r="G64" s="583">
        <f>'ETCA-I-01'!G41</f>
        <v>3476299.32</v>
      </c>
    </row>
    <row r="65" spans="1:8" x14ac:dyDescent="0.25">
      <c r="A65" s="584"/>
      <c r="B65" s="588"/>
      <c r="C65" s="588"/>
      <c r="D65" s="579"/>
      <c r="E65" s="580" t="s">
        <v>193</v>
      </c>
      <c r="F65" s="583">
        <f>'ETCA-I-01'!F42</f>
        <v>42058398.310000002</v>
      </c>
      <c r="G65" s="583">
        <f>'ETCA-I-01'!G42</f>
        <v>38596099.020000003</v>
      </c>
    </row>
    <row r="66" spans="1:8" ht="12.75" customHeight="1" x14ac:dyDescent="0.25">
      <c r="A66" s="584"/>
      <c r="B66" s="588"/>
      <c r="C66" s="588"/>
      <c r="D66" s="579"/>
      <c r="E66" s="580" t="s">
        <v>194</v>
      </c>
      <c r="F66" s="583">
        <v>0</v>
      </c>
      <c r="G66" s="583">
        <v>0</v>
      </c>
    </row>
    <row r="67" spans="1:8" ht="12" customHeight="1" x14ac:dyDescent="0.25">
      <c r="A67" s="584"/>
      <c r="B67" s="588"/>
      <c r="C67" s="588"/>
      <c r="D67" s="579"/>
      <c r="E67" s="580" t="s">
        <v>195</v>
      </c>
      <c r="F67" s="583">
        <v>0</v>
      </c>
      <c r="G67" s="583">
        <v>0</v>
      </c>
    </row>
    <row r="68" spans="1:8" ht="17.25" customHeight="1" x14ac:dyDescent="0.25">
      <c r="A68" s="584"/>
      <c r="B68" s="588"/>
      <c r="C68" s="588"/>
      <c r="D68" s="579"/>
      <c r="E68" s="580" t="s">
        <v>196</v>
      </c>
      <c r="F68" s="583">
        <f>'ETCA-I-01'!F45</f>
        <v>-5486641.5499999998</v>
      </c>
      <c r="G68" s="583">
        <f>'ETCA-I-01'!G45</f>
        <v>-5477001</v>
      </c>
    </row>
    <row r="69" spans="1:8" ht="25.5" x14ac:dyDescent="0.25">
      <c r="A69" s="584"/>
      <c r="B69" s="588"/>
      <c r="C69" s="588"/>
      <c r="D69" s="579"/>
      <c r="E69" s="578" t="s">
        <v>197</v>
      </c>
      <c r="F69" s="556">
        <f>SUM(F70:F71)</f>
        <v>0</v>
      </c>
      <c r="G69" s="556">
        <f>SUM(G70:G71)</f>
        <v>0</v>
      </c>
    </row>
    <row r="70" spans="1:8" x14ac:dyDescent="0.25">
      <c r="A70" s="584"/>
      <c r="B70" s="588"/>
      <c r="C70" s="588"/>
      <c r="D70" s="579"/>
      <c r="E70" s="580" t="s">
        <v>198</v>
      </c>
      <c r="F70" s="583">
        <v>0</v>
      </c>
      <c r="G70" s="583">
        <v>0</v>
      </c>
    </row>
    <row r="71" spans="1:8" ht="14.25" customHeight="1" x14ac:dyDescent="0.25">
      <c r="A71" s="584"/>
      <c r="B71" s="588"/>
      <c r="C71" s="588"/>
      <c r="D71" s="579"/>
      <c r="E71" s="580" t="s">
        <v>199</v>
      </c>
      <c r="F71" s="583">
        <v>0</v>
      </c>
      <c r="G71" s="583">
        <v>0</v>
      </c>
    </row>
    <row r="72" spans="1:8" ht="15" customHeight="1" x14ac:dyDescent="0.25">
      <c r="A72" s="584"/>
      <c r="B72" s="588"/>
      <c r="C72" s="588"/>
      <c r="D72" s="579"/>
      <c r="E72" s="578" t="s">
        <v>200</v>
      </c>
      <c r="F72" s="556">
        <f>+F59+F63+F69</f>
        <v>39708922.040000007</v>
      </c>
      <c r="G72" s="556">
        <f>+G59+G63+G69</f>
        <v>41345315.020000003</v>
      </c>
    </row>
    <row r="73" spans="1:8" ht="15" customHeight="1" thickBot="1" x14ac:dyDescent="0.3">
      <c r="A73" s="511"/>
      <c r="B73" s="575"/>
      <c r="C73" s="575"/>
      <c r="D73" s="576"/>
      <c r="E73" s="512" t="s">
        <v>201</v>
      </c>
      <c r="F73" s="624">
        <f>+F57+F72</f>
        <v>40774416.480000004</v>
      </c>
      <c r="G73" s="589">
        <f>+G57+G72</f>
        <v>41990775.920000002</v>
      </c>
      <c r="H73" s="390" t="str">
        <f>IF((G73-'ETCA-I-01'!G52)&gt;0.9,"ERROR!!!!! ELTOTAL DE DEL PATRIMONIO Y HACIENDA PUBLICA, NO CONCUERDA CON LO REPORTADO EN EL ESTADO DE SITUACION FINANCIERA","")</f>
        <v/>
      </c>
    </row>
    <row r="74" spans="1:8" x14ac:dyDescent="0.25">
      <c r="H74" t="str">
        <f>IF(F73&lt;&gt;'ETCA-I-01'!F52,"ERROR!!!!! ELTOTAL DE DEL PATRIMONIO Y HACIENDA PUBLICA, NO CONCUERDA CON LO REPORTADO EN EL ESTADO DE SITUACION FINANCIERA","")</f>
        <v/>
      </c>
    </row>
  </sheetData>
  <sheetProtection formatColumns="0" formatRows="0" insertHyperlinks="0"/>
  <mergeCells count="5">
    <mergeCell ref="A1:G1"/>
    <mergeCell ref="A2:G2"/>
    <mergeCell ref="A4:G4"/>
    <mergeCell ref="A5:G5"/>
    <mergeCell ref="A3:G3"/>
  </mergeCells>
  <printOptions horizontalCentered="1"/>
  <pageMargins left="0.23622047244094491" right="0.23622047244094491" top="0.23622047244094491" bottom="0.23622047244094491" header="0.31496062992125984" footer="0.31496062992125984"/>
  <pageSetup scale="84" orientation="landscape" r:id="rId1"/>
  <rowBreaks count="1" manualBreakCount="1">
    <brk id="3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G73"/>
  <sheetViews>
    <sheetView view="pageBreakPreview" zoomScale="90" zoomScaleNormal="100" zoomScaleSheetLayoutView="90" workbookViewId="0">
      <selection activeCell="C12" sqref="C12:C15"/>
    </sheetView>
  </sheetViews>
  <sheetFormatPr baseColWidth="10" defaultColWidth="11.28515625" defaultRowHeight="16.5" x14ac:dyDescent="0.3"/>
  <cols>
    <col min="1" max="1" width="1.7109375" style="88" customWidth="1"/>
    <col min="2" max="2" width="101.7109375" style="88" bestFit="1" customWidth="1"/>
    <col min="3" max="3" width="18.28515625" style="88" customWidth="1"/>
    <col min="4" max="4" width="18" style="406" customWidth="1"/>
    <col min="5" max="5" width="59.28515625" style="87" customWidth="1"/>
    <col min="6" max="6" width="22.7109375" style="87" customWidth="1"/>
    <col min="7" max="16384" width="11.28515625" style="87"/>
  </cols>
  <sheetData>
    <row r="1" spans="1:7" s="86" customFormat="1" ht="20.25" x14ac:dyDescent="0.3">
      <c r="A1" s="1049" t="s">
        <v>25</v>
      </c>
      <c r="B1" s="1049"/>
      <c r="C1" s="1049"/>
      <c r="D1" s="1049"/>
      <c r="E1" s="394"/>
      <c r="G1" s="45"/>
    </row>
    <row r="2" spans="1:7" ht="15.75" x14ac:dyDescent="0.25">
      <c r="A2" s="1050" t="s">
        <v>1</v>
      </c>
      <c r="B2" s="1050"/>
      <c r="C2" s="1050"/>
      <c r="D2" s="1050"/>
    </row>
    <row r="3" spans="1:7" ht="15.75" x14ac:dyDescent="0.25">
      <c r="A3" s="1058" t="str">
        <f>'ETCA-I-01'!A3</f>
        <v>Centro de Evaluacion y Control de Confianza del Estado de Sonora</v>
      </c>
      <c r="B3" s="1058"/>
      <c r="C3" s="1058"/>
      <c r="D3" s="1058"/>
    </row>
    <row r="4" spans="1:7" x14ac:dyDescent="0.25">
      <c r="A4" s="1051" t="s">
        <v>1250</v>
      </c>
      <c r="B4" s="1051"/>
      <c r="C4" s="1051"/>
      <c r="D4" s="1051"/>
    </row>
    <row r="5" spans="1:7" s="88" customFormat="1" ht="17.25" thickBot="1" x14ac:dyDescent="0.35">
      <c r="A5" s="1059" t="s">
        <v>202</v>
      </c>
      <c r="B5" s="1059"/>
      <c r="C5" s="45"/>
      <c r="D5" s="402"/>
    </row>
    <row r="6" spans="1:7" ht="27.75" customHeight="1" thickBot="1" x14ac:dyDescent="0.3">
      <c r="A6" s="1056"/>
      <c r="B6" s="1057"/>
      <c r="C6" s="710">
        <v>2018</v>
      </c>
      <c r="D6" s="710">
        <v>2017</v>
      </c>
    </row>
    <row r="7" spans="1:7" ht="17.25" thickTop="1" x14ac:dyDescent="0.25">
      <c r="A7" s="89" t="s">
        <v>203</v>
      </c>
      <c r="B7" s="90"/>
      <c r="C7" s="91"/>
      <c r="D7" s="485"/>
    </row>
    <row r="8" spans="1:7" x14ac:dyDescent="0.25">
      <c r="A8" s="92" t="s">
        <v>204</v>
      </c>
      <c r="B8" s="93"/>
      <c r="C8" s="452">
        <f>SUM(C9:C16)</f>
        <v>546500</v>
      </c>
      <c r="D8" s="453">
        <f>SUM(D9:D16)</f>
        <v>40000</v>
      </c>
    </row>
    <row r="9" spans="1:7" x14ac:dyDescent="0.25">
      <c r="A9" s="94"/>
      <c r="B9" s="95" t="s">
        <v>205</v>
      </c>
      <c r="C9" s="454">
        <v>0</v>
      </c>
      <c r="D9" s="455">
        <v>0</v>
      </c>
    </row>
    <row r="10" spans="1:7" x14ac:dyDescent="0.25">
      <c r="A10" s="94"/>
      <c r="B10" s="95" t="s">
        <v>206</v>
      </c>
      <c r="C10" s="454">
        <v>0</v>
      </c>
      <c r="D10" s="455">
        <v>0</v>
      </c>
    </row>
    <row r="11" spans="1:7" x14ac:dyDescent="0.25">
      <c r="A11" s="94"/>
      <c r="B11" s="95" t="s">
        <v>207</v>
      </c>
      <c r="C11" s="454">
        <v>0</v>
      </c>
      <c r="D11" s="455">
        <v>0</v>
      </c>
    </row>
    <row r="12" spans="1:7" x14ac:dyDescent="0.25">
      <c r="A12" s="94"/>
      <c r="B12" s="95" t="s">
        <v>208</v>
      </c>
      <c r="C12" s="998">
        <v>265000</v>
      </c>
      <c r="D12" s="455">
        <v>0</v>
      </c>
    </row>
    <row r="13" spans="1:7" ht="18.75" x14ac:dyDescent="0.25">
      <c r="A13" s="94"/>
      <c r="B13" s="95" t="s">
        <v>209</v>
      </c>
      <c r="C13" s="454">
        <v>0</v>
      </c>
      <c r="D13" s="455">
        <v>0</v>
      </c>
    </row>
    <row r="14" spans="1:7" x14ac:dyDescent="0.25">
      <c r="A14" s="94"/>
      <c r="B14" s="95" t="s">
        <v>210</v>
      </c>
      <c r="C14" s="454">
        <v>0</v>
      </c>
      <c r="D14" s="455">
        <v>0</v>
      </c>
    </row>
    <row r="15" spans="1:7" x14ac:dyDescent="0.25">
      <c r="A15" s="94"/>
      <c r="B15" s="95" t="s">
        <v>211</v>
      </c>
      <c r="C15" s="998">
        <v>281500</v>
      </c>
      <c r="D15" s="455">
        <v>40000</v>
      </c>
    </row>
    <row r="16" spans="1:7" x14ac:dyDescent="0.25">
      <c r="A16" s="94"/>
      <c r="B16" s="95" t="s">
        <v>212</v>
      </c>
      <c r="C16" s="454">
        <v>0</v>
      </c>
      <c r="D16" s="455">
        <v>0</v>
      </c>
    </row>
    <row r="17" spans="1:4" x14ac:dyDescent="0.25">
      <c r="A17" s="92" t="s">
        <v>213</v>
      </c>
      <c r="B17" s="93"/>
      <c r="C17" s="452">
        <f>SUM(C18:C19)</f>
        <v>10431162.24</v>
      </c>
      <c r="D17" s="453">
        <f>SUM(D18:D19)</f>
        <v>9951782.5</v>
      </c>
    </row>
    <row r="18" spans="1:4" x14ac:dyDescent="0.25">
      <c r="A18" s="94"/>
      <c r="B18" s="95" t="s">
        <v>214</v>
      </c>
      <c r="C18" s="454">
        <v>0</v>
      </c>
      <c r="D18" s="455">
        <v>0</v>
      </c>
    </row>
    <row r="19" spans="1:4" x14ac:dyDescent="0.25">
      <c r="A19" s="94"/>
      <c r="B19" s="95" t="s">
        <v>215</v>
      </c>
      <c r="C19" s="454">
        <f>'[3]01.01'!$E$25</f>
        <v>10431162.24</v>
      </c>
      <c r="D19" s="455">
        <v>9951782.5</v>
      </c>
    </row>
    <row r="20" spans="1:4" x14ac:dyDescent="0.25">
      <c r="A20" s="92" t="s">
        <v>216</v>
      </c>
      <c r="B20" s="93"/>
      <c r="C20" s="452">
        <f>SUM(C21:C25)</f>
        <v>1031.47</v>
      </c>
      <c r="D20" s="453">
        <f>SUM(D21:D26)</f>
        <v>28.68</v>
      </c>
    </row>
    <row r="21" spans="1:4" x14ac:dyDescent="0.25">
      <c r="A21" s="94"/>
      <c r="B21" s="95" t="s">
        <v>217</v>
      </c>
      <c r="C21" s="998">
        <v>7.76</v>
      </c>
      <c r="D21" s="455">
        <v>28.68</v>
      </c>
    </row>
    <row r="22" spans="1:4" x14ac:dyDescent="0.25">
      <c r="A22" s="94"/>
      <c r="B22" s="95" t="s">
        <v>218</v>
      </c>
      <c r="C22" s="998">
        <v>0</v>
      </c>
      <c r="D22" s="455">
        <v>0</v>
      </c>
    </row>
    <row r="23" spans="1:4" x14ac:dyDescent="0.25">
      <c r="A23" s="94"/>
      <c r="B23" s="95" t="s">
        <v>219</v>
      </c>
      <c r="C23" s="998">
        <v>0</v>
      </c>
      <c r="D23" s="455">
        <v>0</v>
      </c>
    </row>
    <row r="24" spans="1:4" x14ac:dyDescent="0.25">
      <c r="A24" s="94"/>
      <c r="B24" s="95" t="s">
        <v>220</v>
      </c>
      <c r="C24" s="998">
        <v>0</v>
      </c>
      <c r="D24" s="455">
        <v>0</v>
      </c>
    </row>
    <row r="25" spans="1:4" x14ac:dyDescent="0.25">
      <c r="A25" s="94"/>
      <c r="B25" s="95" t="s">
        <v>221</v>
      </c>
      <c r="C25" s="998">
        <v>1023.71</v>
      </c>
      <c r="D25" s="455"/>
    </row>
    <row r="26" spans="1:4" x14ac:dyDescent="0.25">
      <c r="A26" s="94"/>
      <c r="B26" s="91"/>
      <c r="C26" s="454">
        <v>0</v>
      </c>
      <c r="D26" s="455">
        <v>0</v>
      </c>
    </row>
    <row r="27" spans="1:4" x14ac:dyDescent="0.25">
      <c r="A27" s="96" t="s">
        <v>222</v>
      </c>
      <c r="B27" s="97"/>
      <c r="C27" s="456">
        <f>C20+C17+C8</f>
        <v>10978693.710000001</v>
      </c>
      <c r="D27" s="457">
        <f>D20+D17+D8</f>
        <v>9991811.1799999997</v>
      </c>
    </row>
    <row r="28" spans="1:4" x14ac:dyDescent="0.25">
      <c r="A28" s="94"/>
      <c r="B28" s="91"/>
      <c r="C28" s="454">
        <v>0</v>
      </c>
      <c r="D28" s="455">
        <v>0</v>
      </c>
    </row>
    <row r="29" spans="1:4" x14ac:dyDescent="0.25">
      <c r="A29" s="89" t="s">
        <v>223</v>
      </c>
      <c r="B29" s="90"/>
      <c r="C29" s="454">
        <v>0</v>
      </c>
      <c r="D29" s="455">
        <v>0</v>
      </c>
    </row>
    <row r="30" spans="1:4" x14ac:dyDescent="0.25">
      <c r="A30" s="92" t="s">
        <v>224</v>
      </c>
      <c r="B30" s="93"/>
      <c r="C30" s="452">
        <f>SUM(C31:C33)</f>
        <v>12491569.42</v>
      </c>
      <c r="D30" s="453">
        <f>SUM(D31:D33)</f>
        <v>11572732.549999999</v>
      </c>
    </row>
    <row r="31" spans="1:4" x14ac:dyDescent="0.25">
      <c r="A31" s="94"/>
      <c r="B31" s="95" t="s">
        <v>225</v>
      </c>
      <c r="C31" s="998">
        <v>10428109.98</v>
      </c>
      <c r="D31" s="455">
        <v>9855943.75</v>
      </c>
    </row>
    <row r="32" spans="1:4" x14ac:dyDescent="0.25">
      <c r="A32" s="94"/>
      <c r="B32" s="95" t="s">
        <v>226</v>
      </c>
      <c r="C32" s="998">
        <v>273119.02</v>
      </c>
      <c r="D32" s="455">
        <v>334083.59999999998</v>
      </c>
    </row>
    <row r="33" spans="1:4" x14ac:dyDescent="0.25">
      <c r="A33" s="94"/>
      <c r="B33" s="95" t="s">
        <v>227</v>
      </c>
      <c r="C33" s="998">
        <v>1790340.42</v>
      </c>
      <c r="D33" s="455">
        <v>1382705.2</v>
      </c>
    </row>
    <row r="34" spans="1:4" x14ac:dyDescent="0.25">
      <c r="A34" s="92" t="s">
        <v>215</v>
      </c>
      <c r="B34" s="93"/>
      <c r="C34" s="452">
        <f>SUM(C35:C43)</f>
        <v>0</v>
      </c>
      <c r="D34" s="453">
        <f>SUM(D35:D43)</f>
        <v>0</v>
      </c>
    </row>
    <row r="35" spans="1:4" x14ac:dyDescent="0.25">
      <c r="A35" s="94"/>
      <c r="B35" s="95" t="s">
        <v>228</v>
      </c>
      <c r="C35" s="454">
        <v>0</v>
      </c>
      <c r="D35" s="455">
        <v>0</v>
      </c>
    </row>
    <row r="36" spans="1:4" x14ac:dyDescent="0.25">
      <c r="A36" s="94"/>
      <c r="B36" s="95" t="s">
        <v>229</v>
      </c>
      <c r="C36" s="454">
        <v>0</v>
      </c>
      <c r="D36" s="455">
        <v>0</v>
      </c>
    </row>
    <row r="37" spans="1:4" x14ac:dyDescent="0.25">
      <c r="A37" s="94"/>
      <c r="B37" s="95" t="s">
        <v>230</v>
      </c>
      <c r="C37" s="454">
        <v>0</v>
      </c>
      <c r="D37" s="455">
        <v>0</v>
      </c>
    </row>
    <row r="38" spans="1:4" x14ac:dyDescent="0.25">
      <c r="A38" s="94"/>
      <c r="B38" s="95" t="s">
        <v>231</v>
      </c>
      <c r="C38" s="454">
        <v>0</v>
      </c>
      <c r="D38" s="455">
        <v>0</v>
      </c>
    </row>
    <row r="39" spans="1:4" x14ac:dyDescent="0.25">
      <c r="A39" s="94"/>
      <c r="B39" s="95" t="s">
        <v>232</v>
      </c>
      <c r="C39" s="454">
        <v>0</v>
      </c>
      <c r="D39" s="455">
        <v>0</v>
      </c>
    </row>
    <row r="40" spans="1:4" x14ac:dyDescent="0.25">
      <c r="A40" s="94"/>
      <c r="B40" s="95" t="s">
        <v>233</v>
      </c>
      <c r="C40" s="454">
        <v>0</v>
      </c>
      <c r="D40" s="455">
        <v>0</v>
      </c>
    </row>
    <row r="41" spans="1:4" x14ac:dyDescent="0.25">
      <c r="A41" s="94"/>
      <c r="B41" s="95" t="s">
        <v>234</v>
      </c>
      <c r="C41" s="454">
        <v>0</v>
      </c>
      <c r="D41" s="455">
        <v>0</v>
      </c>
    </row>
    <row r="42" spans="1:4" x14ac:dyDescent="0.25">
      <c r="A42" s="94"/>
      <c r="B42" s="95" t="s">
        <v>235</v>
      </c>
      <c r="C42" s="454">
        <v>0</v>
      </c>
      <c r="D42" s="455">
        <v>0</v>
      </c>
    </row>
    <row r="43" spans="1:4" x14ac:dyDescent="0.25">
      <c r="A43" s="94"/>
      <c r="B43" s="95" t="s">
        <v>236</v>
      </c>
      <c r="C43" s="454">
        <v>0</v>
      </c>
      <c r="D43" s="455">
        <v>0</v>
      </c>
    </row>
    <row r="44" spans="1:4" x14ac:dyDescent="0.25">
      <c r="A44" s="92" t="s">
        <v>237</v>
      </c>
      <c r="B44" s="93"/>
      <c r="C44" s="452">
        <f>SUM(C45:C47)</f>
        <v>0</v>
      </c>
      <c r="D44" s="453">
        <f>SUM(D45:D47)</f>
        <v>0</v>
      </c>
    </row>
    <row r="45" spans="1:4" x14ac:dyDescent="0.25">
      <c r="A45" s="94"/>
      <c r="B45" s="95" t="s">
        <v>238</v>
      </c>
      <c r="C45" s="454">
        <v>0</v>
      </c>
      <c r="D45" s="455">
        <v>0</v>
      </c>
    </row>
    <row r="46" spans="1:4" x14ac:dyDescent="0.25">
      <c r="A46" s="94"/>
      <c r="B46" s="95" t="s">
        <v>72</v>
      </c>
      <c r="C46" s="454">
        <v>0</v>
      </c>
      <c r="D46" s="455">
        <v>0</v>
      </c>
    </row>
    <row r="47" spans="1:4" x14ac:dyDescent="0.25">
      <c r="A47" s="94"/>
      <c r="B47" s="95" t="s">
        <v>239</v>
      </c>
      <c r="C47" s="454">
        <v>0</v>
      </c>
      <c r="D47" s="455">
        <v>0</v>
      </c>
    </row>
    <row r="48" spans="1:4" x14ac:dyDescent="0.25">
      <c r="A48" s="92" t="s">
        <v>240</v>
      </c>
      <c r="B48" s="93"/>
      <c r="C48" s="452">
        <f>SUM(C49:C53)</f>
        <v>0</v>
      </c>
      <c r="D48" s="453">
        <f>SUM(D49:D53)</f>
        <v>0</v>
      </c>
    </row>
    <row r="49" spans="1:4" x14ac:dyDescent="0.25">
      <c r="A49" s="94"/>
      <c r="B49" s="95" t="s">
        <v>241</v>
      </c>
      <c r="C49" s="454">
        <v>0</v>
      </c>
      <c r="D49" s="455">
        <v>0</v>
      </c>
    </row>
    <row r="50" spans="1:4" x14ac:dyDescent="0.25">
      <c r="A50" s="94"/>
      <c r="B50" s="95" t="s">
        <v>242</v>
      </c>
      <c r="C50" s="454">
        <v>0</v>
      </c>
      <c r="D50" s="455">
        <v>0</v>
      </c>
    </row>
    <row r="51" spans="1:4" x14ac:dyDescent="0.25">
      <c r="A51" s="94"/>
      <c r="B51" s="95" t="s">
        <v>243</v>
      </c>
      <c r="C51" s="454">
        <v>0</v>
      </c>
      <c r="D51" s="455">
        <v>0</v>
      </c>
    </row>
    <row r="52" spans="1:4" x14ac:dyDescent="0.25">
      <c r="A52" s="94"/>
      <c r="B52" s="95" t="s">
        <v>244</v>
      </c>
      <c r="C52" s="454">
        <v>0</v>
      </c>
      <c r="D52" s="455">
        <v>0</v>
      </c>
    </row>
    <row r="53" spans="1:4" x14ac:dyDescent="0.25">
      <c r="A53" s="94"/>
      <c r="B53" s="95" t="s">
        <v>245</v>
      </c>
      <c r="C53" s="454">
        <v>0</v>
      </c>
      <c r="D53" s="455">
        <v>0</v>
      </c>
    </row>
    <row r="54" spans="1:4" x14ac:dyDescent="0.25">
      <c r="A54" s="92" t="s">
        <v>246</v>
      </c>
      <c r="B54" s="93"/>
      <c r="C54" s="456">
        <f>SUM(C55:C60)</f>
        <v>99876.69</v>
      </c>
      <c r="D54" s="457">
        <f>SUM(D55:D60)</f>
        <v>0</v>
      </c>
    </row>
    <row r="55" spans="1:4" x14ac:dyDescent="0.25">
      <c r="A55" s="94"/>
      <c r="B55" s="95" t="s">
        <v>247</v>
      </c>
      <c r="C55" s="454"/>
      <c r="D55" s="455"/>
    </row>
    <row r="56" spans="1:4" x14ac:dyDescent="0.25">
      <c r="A56" s="94"/>
      <c r="B56" s="95" t="s">
        <v>248</v>
      </c>
      <c r="C56" s="454">
        <v>0</v>
      </c>
      <c r="D56" s="455">
        <v>0</v>
      </c>
    </row>
    <row r="57" spans="1:4" x14ac:dyDescent="0.25">
      <c r="A57" s="94"/>
      <c r="B57" s="95" t="s">
        <v>249</v>
      </c>
      <c r="C57" s="454">
        <v>0</v>
      </c>
      <c r="D57" s="455">
        <v>0</v>
      </c>
    </row>
    <row r="58" spans="1:4" x14ac:dyDescent="0.25">
      <c r="A58" s="94"/>
      <c r="B58" s="95" t="s">
        <v>250</v>
      </c>
      <c r="C58" s="454">
        <v>0</v>
      </c>
      <c r="D58" s="455">
        <v>0</v>
      </c>
    </row>
    <row r="59" spans="1:4" x14ac:dyDescent="0.25">
      <c r="A59" s="94"/>
      <c r="B59" s="95" t="s">
        <v>251</v>
      </c>
      <c r="C59" s="454">
        <v>0</v>
      </c>
      <c r="D59" s="455">
        <v>0</v>
      </c>
    </row>
    <row r="60" spans="1:4" x14ac:dyDescent="0.25">
      <c r="A60" s="94"/>
      <c r="B60" s="95" t="s">
        <v>252</v>
      </c>
      <c r="C60" s="998">
        <v>99876.69</v>
      </c>
      <c r="D60" s="455">
        <v>0</v>
      </c>
    </row>
    <row r="61" spans="1:4" x14ac:dyDescent="0.25">
      <c r="A61" s="92" t="s">
        <v>253</v>
      </c>
      <c r="B61" s="93"/>
      <c r="C61" s="456">
        <f>C62</f>
        <v>0</v>
      </c>
      <c r="D61" s="457">
        <f>D62</f>
        <v>0</v>
      </c>
    </row>
    <row r="62" spans="1:4" x14ac:dyDescent="0.25">
      <c r="A62" s="94"/>
      <c r="B62" s="95" t="s">
        <v>254</v>
      </c>
      <c r="C62" s="454">
        <v>0</v>
      </c>
      <c r="D62" s="455">
        <v>0</v>
      </c>
    </row>
    <row r="63" spans="1:4" x14ac:dyDescent="0.25">
      <c r="A63" s="94"/>
      <c r="B63" s="98"/>
      <c r="C63" s="454"/>
      <c r="D63" s="455"/>
    </row>
    <row r="64" spans="1:4" x14ac:dyDescent="0.25">
      <c r="A64" s="92" t="s">
        <v>255</v>
      </c>
      <c r="B64" s="93"/>
      <c r="C64" s="456">
        <f>C61+C54+C48+C34+C30+C44</f>
        <v>12591446.109999999</v>
      </c>
      <c r="D64" s="457">
        <f>D61+D54+D48+D34+D30+D44</f>
        <v>11572732.549999999</v>
      </c>
    </row>
    <row r="65" spans="1:5" x14ac:dyDescent="0.25">
      <c r="A65" s="94"/>
      <c r="B65" s="98"/>
      <c r="C65" s="454"/>
      <c r="D65" s="455"/>
    </row>
    <row r="66" spans="1:5" ht="20.25" x14ac:dyDescent="0.3">
      <c r="A66" s="92" t="s">
        <v>256</v>
      </c>
      <c r="B66" s="93"/>
      <c r="C66" s="456">
        <f>C27-C64</f>
        <v>-1612752.3999999985</v>
      </c>
      <c r="D66" s="457">
        <f>D27-D64</f>
        <v>-1580921.3699999992</v>
      </c>
      <c r="E66" s="407" t="str">
        <f>IF((C66-'ETCA-I-01'!G41)&gt;0.9,"ERROR!!!, NO COINCIDEN LOS MONTOS CON LO REPORTADO EN EL FORMATO ETCA-I-01 EN EL EJERCICIO 2017","")</f>
        <v/>
      </c>
    </row>
    <row r="67" spans="1:5" ht="21" thickBot="1" x14ac:dyDescent="0.35">
      <c r="A67" s="99"/>
      <c r="B67" s="100"/>
      <c r="C67" s="100"/>
      <c r="D67" s="403"/>
      <c r="E67" s="407"/>
    </row>
    <row r="68" spans="1:5" s="396" customFormat="1" ht="16.5" customHeight="1" x14ac:dyDescent="0.25">
      <c r="A68" s="98"/>
      <c r="B68" s="421" t="s">
        <v>257</v>
      </c>
      <c r="C68" s="930"/>
      <c r="D68" s="422"/>
    </row>
    <row r="69" spans="1:5" s="396" customFormat="1" ht="16.5" customHeight="1" x14ac:dyDescent="0.25">
      <c r="A69" s="98"/>
      <c r="B69" s="98"/>
      <c r="C69" s="98" t="s">
        <v>258</v>
      </c>
      <c r="D69" s="422"/>
    </row>
    <row r="70" spans="1:5" s="396" customFormat="1" ht="16.5" customHeight="1" x14ac:dyDescent="0.25">
      <c r="A70" s="98"/>
      <c r="B70" s="98" t="s">
        <v>258</v>
      </c>
      <c r="C70" s="98" t="s">
        <v>258</v>
      </c>
      <c r="D70" s="422"/>
    </row>
    <row r="71" spans="1:5" s="396" customFormat="1" ht="16.5" customHeight="1" x14ac:dyDescent="0.25">
      <c r="A71" s="98"/>
      <c r="B71" s="98"/>
      <c r="C71" s="98"/>
      <c r="D71" s="422"/>
    </row>
    <row r="72" spans="1:5" s="396" customFormat="1" ht="16.5" customHeight="1" x14ac:dyDescent="0.3">
      <c r="A72" s="395"/>
      <c r="B72" s="44" t="s">
        <v>258</v>
      </c>
      <c r="C72" s="395"/>
      <c r="D72" s="404"/>
    </row>
    <row r="73" spans="1:5" x14ac:dyDescent="0.3">
      <c r="C73" s="84"/>
      <c r="D73" s="405" t="s">
        <v>87</v>
      </c>
    </row>
  </sheetData>
  <sheetProtection formatColumns="0" formatRows="0" insertHyperlinks="0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8"/>
  <sheetViews>
    <sheetView topLeftCell="A13" workbookViewId="0">
      <selection activeCell="H39" sqref="H39"/>
    </sheetView>
  </sheetViews>
  <sheetFormatPr baseColWidth="10" defaultRowHeight="16.5" x14ac:dyDescent="0.3"/>
  <cols>
    <col min="1" max="1" width="47.7109375" style="44" customWidth="1"/>
    <col min="2" max="6" width="14.85546875" style="44" customWidth="1"/>
  </cols>
  <sheetData>
    <row r="1" spans="1:6" ht="15.75" x14ac:dyDescent="0.25">
      <c r="A1" s="1049" t="s">
        <v>25</v>
      </c>
      <c r="B1" s="1049"/>
      <c r="C1" s="1049"/>
      <c r="D1" s="1049"/>
      <c r="E1" s="1049"/>
      <c r="F1" s="1049"/>
    </row>
    <row r="2" spans="1:6" ht="15.75" x14ac:dyDescent="0.25">
      <c r="A2" s="1050" t="s">
        <v>259</v>
      </c>
      <c r="B2" s="1050"/>
      <c r="C2" s="1050"/>
      <c r="D2" s="1050"/>
      <c r="E2" s="1050"/>
      <c r="F2" s="1050"/>
    </row>
    <row r="3" spans="1:6" ht="15.75" x14ac:dyDescent="0.25">
      <c r="A3" s="1058" t="str">
        <f>'ETCA-I-01'!A3</f>
        <v>Centro de Evaluacion y Control de Confianza del Estado de Sonora</v>
      </c>
      <c r="B3" s="1058"/>
      <c r="C3" s="1058"/>
      <c r="D3" s="1058"/>
      <c r="E3" s="1058"/>
      <c r="F3" s="1058"/>
    </row>
    <row r="4" spans="1:6" x14ac:dyDescent="0.25">
      <c r="A4" s="1060" t="str">
        <f>'ETCA-I-03'!A4:D4</f>
        <v>Del 01 de Enero  al 31 de Marzo de 2018</v>
      </c>
      <c r="B4" s="1060"/>
      <c r="C4" s="1060"/>
      <c r="D4" s="1060"/>
      <c r="E4" s="1060"/>
      <c r="F4" s="1060"/>
    </row>
    <row r="5" spans="1:6" ht="17.25" thickBot="1" x14ac:dyDescent="0.3">
      <c r="A5" s="1053" t="s">
        <v>260</v>
      </c>
      <c r="B5" s="1053"/>
      <c r="C5" s="1053"/>
      <c r="D5" s="1053"/>
      <c r="E5" s="45"/>
      <c r="F5" s="999"/>
    </row>
    <row r="6" spans="1:6" ht="77.25" thickBot="1" x14ac:dyDescent="0.3">
      <c r="A6" s="875" t="s">
        <v>261</v>
      </c>
      <c r="B6" s="150" t="s">
        <v>262</v>
      </c>
      <c r="C6" s="150" t="s">
        <v>263</v>
      </c>
      <c r="D6" s="150" t="s">
        <v>264</v>
      </c>
      <c r="E6" s="150" t="s">
        <v>81</v>
      </c>
      <c r="F6" s="1000" t="s">
        <v>265</v>
      </c>
    </row>
    <row r="7" spans="1:6" ht="15" x14ac:dyDescent="0.25">
      <c r="A7" s="876"/>
      <c r="B7" s="877"/>
      <c r="C7" s="877"/>
      <c r="D7" s="877"/>
      <c r="E7" s="877"/>
      <c r="F7" s="1001"/>
    </row>
    <row r="8" spans="1:6" ht="15" x14ac:dyDescent="0.25">
      <c r="A8" s="879" t="s">
        <v>1262</v>
      </c>
      <c r="B8" s="880">
        <f>SUM(B9:B11)</f>
        <v>4749917.68</v>
      </c>
      <c r="C8" s="880"/>
      <c r="D8" s="880"/>
      <c r="E8" s="880">
        <f>SUM(E9:E11)</f>
        <v>0</v>
      </c>
      <c r="F8" s="1002">
        <f>SUM(B8:E8)</f>
        <v>4749917.68</v>
      </c>
    </row>
    <row r="9" spans="1:6" ht="15" x14ac:dyDescent="0.25">
      <c r="A9" s="881" t="s">
        <v>72</v>
      </c>
      <c r="B9" s="882">
        <v>4749917.68</v>
      </c>
      <c r="C9" s="882"/>
      <c r="D9" s="882"/>
      <c r="E9" s="882">
        <v>0</v>
      </c>
      <c r="F9" s="1003">
        <f>SUM(B9:E9)</f>
        <v>4749917.68</v>
      </c>
    </row>
    <row r="10" spans="1:6" ht="15" x14ac:dyDescent="0.25">
      <c r="A10" s="881" t="s">
        <v>73</v>
      </c>
      <c r="B10" s="882">
        <v>0</v>
      </c>
      <c r="C10" s="882"/>
      <c r="D10" s="882"/>
      <c r="E10" s="882">
        <v>0</v>
      </c>
      <c r="F10" s="1003">
        <f>SUM(B10:E10)</f>
        <v>0</v>
      </c>
    </row>
    <row r="11" spans="1:6" ht="15" x14ac:dyDescent="0.25">
      <c r="A11" s="881" t="s">
        <v>74</v>
      </c>
      <c r="B11" s="882">
        <v>0</v>
      </c>
      <c r="C11" s="882"/>
      <c r="D11" s="882"/>
      <c r="E11" s="882">
        <v>0</v>
      </c>
      <c r="F11" s="1003">
        <f>SUM(B11:E11)</f>
        <v>0</v>
      </c>
    </row>
    <row r="12" spans="1:6" ht="15" x14ac:dyDescent="0.25">
      <c r="A12" s="879"/>
      <c r="B12" s="882"/>
      <c r="C12" s="882"/>
      <c r="D12" s="882"/>
      <c r="E12" s="882"/>
      <c r="F12" s="1004"/>
    </row>
    <row r="13" spans="1:6" ht="15" x14ac:dyDescent="0.25">
      <c r="A13" s="879" t="s">
        <v>1263</v>
      </c>
      <c r="B13" s="880"/>
      <c r="C13" s="880">
        <f>C15+C16+C17+C18</f>
        <v>33119098.020000003</v>
      </c>
      <c r="D13" s="880">
        <f>+D14</f>
        <v>3476299.32</v>
      </c>
      <c r="E13" s="880">
        <f>SUM(E14:E17)</f>
        <v>0</v>
      </c>
      <c r="F13" s="1005">
        <f>SUM(B13:E13)</f>
        <v>36595397.340000004</v>
      </c>
    </row>
    <row r="14" spans="1:6" ht="15" x14ac:dyDescent="0.25">
      <c r="A14" s="881" t="s">
        <v>256</v>
      </c>
      <c r="B14" s="882"/>
      <c r="C14" s="882"/>
      <c r="D14" s="882">
        <v>3476299.32</v>
      </c>
      <c r="E14" s="882">
        <v>0</v>
      </c>
      <c r="F14" s="1006">
        <f>SUM(B14:E14)</f>
        <v>3476299.32</v>
      </c>
    </row>
    <row r="15" spans="1:6" ht="15" x14ac:dyDescent="0.25">
      <c r="A15" s="881" t="s">
        <v>77</v>
      </c>
      <c r="B15" s="882"/>
      <c r="C15" s="882">
        <v>38596099.020000003</v>
      </c>
      <c r="D15" s="882" t="s">
        <v>258</v>
      </c>
      <c r="E15" s="882">
        <v>0</v>
      </c>
      <c r="F15" s="1006">
        <f>SUM(B15:E15)</f>
        <v>38596099.020000003</v>
      </c>
    </row>
    <row r="16" spans="1:6" ht="15" x14ac:dyDescent="0.25">
      <c r="A16" s="881" t="s">
        <v>78</v>
      </c>
      <c r="B16" s="882"/>
      <c r="C16" s="882">
        <v>0</v>
      </c>
      <c r="D16" s="882"/>
      <c r="E16" s="882">
        <v>0</v>
      </c>
      <c r="F16" s="1006">
        <f>SUM(B16:E16)</f>
        <v>0</v>
      </c>
    </row>
    <row r="17" spans="1:6" ht="15" x14ac:dyDescent="0.25">
      <c r="A17" s="881" t="s">
        <v>79</v>
      </c>
      <c r="B17" s="882" t="s">
        <v>258</v>
      </c>
      <c r="C17" s="882">
        <v>0</v>
      </c>
      <c r="D17" s="882"/>
      <c r="E17" s="882">
        <v>0</v>
      </c>
      <c r="F17" s="1006">
        <f>SUM(B17:E17)</f>
        <v>0</v>
      </c>
    </row>
    <row r="18" spans="1:6" ht="15" x14ac:dyDescent="0.25">
      <c r="A18" s="881" t="s">
        <v>80</v>
      </c>
      <c r="B18" s="882"/>
      <c r="C18" s="882">
        <v>-5477001</v>
      </c>
      <c r="D18" s="882"/>
      <c r="E18" s="882"/>
      <c r="F18" s="1006">
        <f>SUM(C18:E18)</f>
        <v>-5477001</v>
      </c>
    </row>
    <row r="19" spans="1:6" ht="15" x14ac:dyDescent="0.25">
      <c r="A19" s="881"/>
      <c r="B19" s="882"/>
      <c r="C19" s="882"/>
      <c r="D19" s="882"/>
      <c r="E19" s="882"/>
      <c r="F19" s="1006"/>
    </row>
    <row r="20" spans="1:6" ht="27" x14ac:dyDescent="0.25">
      <c r="A20" s="879" t="s">
        <v>1264</v>
      </c>
      <c r="B20" s="882"/>
      <c r="C20" s="882"/>
      <c r="D20" s="882"/>
      <c r="E20" s="882"/>
      <c r="F20" s="1006"/>
    </row>
    <row r="21" spans="1:6" ht="15" x14ac:dyDescent="0.25">
      <c r="A21" s="881" t="s">
        <v>82</v>
      </c>
      <c r="B21" s="882"/>
      <c r="C21" s="882"/>
      <c r="D21" s="882"/>
      <c r="E21" s="882">
        <v>0</v>
      </c>
      <c r="F21" s="1006">
        <v>0</v>
      </c>
    </row>
    <row r="22" spans="1:6" ht="15" x14ac:dyDescent="0.25">
      <c r="A22" s="881" t="s">
        <v>1265</v>
      </c>
      <c r="B22" s="882"/>
      <c r="C22" s="882"/>
      <c r="D22" s="882"/>
      <c r="E22" s="882">
        <v>0</v>
      </c>
      <c r="F22" s="1004">
        <v>0</v>
      </c>
    </row>
    <row r="23" spans="1:6" ht="15" x14ac:dyDescent="0.25">
      <c r="A23" s="881"/>
      <c r="B23" s="882"/>
      <c r="C23" s="882"/>
      <c r="D23" s="882"/>
      <c r="E23" s="882"/>
      <c r="F23" s="1004"/>
    </row>
    <row r="24" spans="1:6" ht="15" x14ac:dyDescent="0.25">
      <c r="A24" s="878" t="s">
        <v>1253</v>
      </c>
      <c r="B24" s="883">
        <f>+B8</f>
        <v>4749917.68</v>
      </c>
      <c r="C24" s="883">
        <f>SUM(C15:C23)</f>
        <v>33119098.020000003</v>
      </c>
      <c r="D24" s="883">
        <f>D13</f>
        <v>3476299.32</v>
      </c>
      <c r="E24" s="883">
        <v>0</v>
      </c>
      <c r="F24" s="1007">
        <f>SUM(B24:E24)</f>
        <v>41345315.020000003</v>
      </c>
    </row>
    <row r="25" spans="1:6" ht="15" x14ac:dyDescent="0.25">
      <c r="A25" s="879"/>
      <c r="B25" s="882"/>
      <c r="C25" s="882"/>
      <c r="D25" s="882"/>
      <c r="E25" s="882"/>
      <c r="F25" s="1004"/>
    </row>
    <row r="26" spans="1:6" ht="27" x14ac:dyDescent="0.25">
      <c r="A26" s="879" t="s">
        <v>1266</v>
      </c>
      <c r="B26" s="880">
        <f>SUM(B27:B29)</f>
        <v>0</v>
      </c>
      <c r="C26" s="880"/>
      <c r="D26" s="880"/>
      <c r="E26" s="880">
        <f>SUM(E27:E29)</f>
        <v>0</v>
      </c>
      <c r="F26" s="1005">
        <f>SUM(B26:E26)</f>
        <v>0</v>
      </c>
    </row>
    <row r="27" spans="1:6" ht="15" x14ac:dyDescent="0.25">
      <c r="A27" s="881" t="s">
        <v>72</v>
      </c>
      <c r="B27" s="882">
        <v>0</v>
      </c>
      <c r="C27" s="882"/>
      <c r="D27" s="882"/>
      <c r="E27" s="882">
        <v>0</v>
      </c>
      <c r="F27" s="1006">
        <f>SUM(B27:E27)</f>
        <v>0</v>
      </c>
    </row>
    <row r="28" spans="1:6" ht="15" x14ac:dyDescent="0.25">
      <c r="A28" s="881" t="s">
        <v>73</v>
      </c>
      <c r="B28" s="882">
        <v>0</v>
      </c>
      <c r="C28" s="882"/>
      <c r="D28" s="882"/>
      <c r="E28" s="882">
        <v>0</v>
      </c>
      <c r="F28" s="1006">
        <f>SUM(B28:E28)</f>
        <v>0</v>
      </c>
    </row>
    <row r="29" spans="1:6" ht="15" x14ac:dyDescent="0.25">
      <c r="A29" s="881" t="s">
        <v>74</v>
      </c>
      <c r="B29" s="882">
        <v>0</v>
      </c>
      <c r="C29" s="882"/>
      <c r="D29" s="882"/>
      <c r="E29" s="882">
        <v>0</v>
      </c>
      <c r="F29" s="1006">
        <f>SUM(B29:E29)</f>
        <v>0</v>
      </c>
    </row>
    <row r="30" spans="1:6" ht="15" x14ac:dyDescent="0.25">
      <c r="A30" s="879"/>
      <c r="B30" s="882"/>
      <c r="C30" s="882"/>
      <c r="D30" s="882"/>
      <c r="E30" s="882"/>
      <c r="F30" s="1004"/>
    </row>
    <row r="31" spans="1:6" ht="15" x14ac:dyDescent="0.25">
      <c r="A31" s="879" t="s">
        <v>1267</v>
      </c>
      <c r="B31" s="880"/>
      <c r="C31" s="880">
        <f>SUM(C33:C35)</f>
        <v>3476299.32</v>
      </c>
      <c r="D31" s="880">
        <f>SUM(D32:D36)</f>
        <v>-5112692.2699999986</v>
      </c>
      <c r="E31" s="880">
        <f>SUM(E32:E35)</f>
        <v>0</v>
      </c>
      <c r="F31" s="1005">
        <f>SUM(B31:E31)</f>
        <v>-1636392.9499999988</v>
      </c>
    </row>
    <row r="32" spans="1:6" ht="15" x14ac:dyDescent="0.25">
      <c r="A32" s="881" t="s">
        <v>256</v>
      </c>
      <c r="B32" s="882"/>
      <c r="C32" s="264"/>
      <c r="D32" s="882">
        <f>'ETCA-I-03'!C66</f>
        <v>-1612752.3999999985</v>
      </c>
      <c r="E32" s="882">
        <v>0</v>
      </c>
      <c r="F32" s="1006">
        <f>SUM(B32:E32)</f>
        <v>-1612752.3999999985</v>
      </c>
    </row>
    <row r="33" spans="1:6" ht="15" x14ac:dyDescent="0.25">
      <c r="A33" s="881" t="s">
        <v>77</v>
      </c>
      <c r="B33" s="882"/>
      <c r="C33" s="882">
        <f>D24</f>
        <v>3476299.32</v>
      </c>
      <c r="D33" s="882">
        <v>-3476299.32</v>
      </c>
      <c r="E33" s="882">
        <v>0</v>
      </c>
      <c r="F33" s="1006">
        <f>SUM(B33:E33)</f>
        <v>0</v>
      </c>
    </row>
    <row r="34" spans="1:6" ht="15" x14ac:dyDescent="0.25">
      <c r="A34" s="881" t="s">
        <v>78</v>
      </c>
      <c r="B34" s="882"/>
      <c r="C34" s="882">
        <v>0</v>
      </c>
      <c r="D34" s="882">
        <v>0</v>
      </c>
      <c r="E34" s="882">
        <v>0</v>
      </c>
      <c r="F34" s="1006">
        <f>SUM(B34:E34)</f>
        <v>0</v>
      </c>
    </row>
    <row r="35" spans="1:6" ht="15" x14ac:dyDescent="0.25">
      <c r="A35" s="881" t="s">
        <v>79</v>
      </c>
      <c r="B35" s="882"/>
      <c r="C35" s="882">
        <v>0</v>
      </c>
      <c r="D35" s="882">
        <v>0</v>
      </c>
      <c r="E35" s="882">
        <v>0</v>
      </c>
      <c r="F35" s="1006">
        <f>SUM(B35:E35)</f>
        <v>0</v>
      </c>
    </row>
    <row r="36" spans="1:6" ht="15" x14ac:dyDescent="0.25">
      <c r="A36" s="881" t="s">
        <v>80</v>
      </c>
      <c r="B36" s="884"/>
      <c r="C36" s="884"/>
      <c r="D36" s="884">
        <v>-23640.55</v>
      </c>
      <c r="E36" s="884"/>
      <c r="F36" s="1008"/>
    </row>
    <row r="37" spans="1:6" ht="15" x14ac:dyDescent="0.25">
      <c r="A37" s="881"/>
      <c r="B37" s="884"/>
      <c r="C37" s="884"/>
      <c r="D37" s="884"/>
      <c r="E37" s="884"/>
      <c r="F37" s="1008"/>
    </row>
    <row r="38" spans="1:6" ht="27" x14ac:dyDescent="0.25">
      <c r="A38" s="879" t="s">
        <v>1268</v>
      </c>
      <c r="B38" s="884"/>
      <c r="C38" s="884"/>
      <c r="D38" s="884"/>
      <c r="E38" s="884">
        <f>E39+E40</f>
        <v>0</v>
      </c>
      <c r="F38" s="884">
        <f>F39+F40</f>
        <v>0</v>
      </c>
    </row>
    <row r="39" spans="1:6" ht="15" x14ac:dyDescent="0.25">
      <c r="A39" s="881" t="s">
        <v>82</v>
      </c>
      <c r="B39" s="884"/>
      <c r="C39" s="884"/>
      <c r="D39" s="884"/>
      <c r="E39" s="884">
        <v>0</v>
      </c>
      <c r="F39" s="884">
        <v>0</v>
      </c>
    </row>
    <row r="40" spans="1:6" ht="15" x14ac:dyDescent="0.25">
      <c r="A40" s="881" t="s">
        <v>1265</v>
      </c>
      <c r="B40" s="884"/>
      <c r="C40" s="884"/>
      <c r="D40" s="884"/>
      <c r="E40" s="884">
        <v>0</v>
      </c>
      <c r="F40" s="884">
        <v>0</v>
      </c>
    </row>
    <row r="41" spans="1:6" ht="15" x14ac:dyDescent="0.25">
      <c r="A41" s="881"/>
      <c r="B41" s="884"/>
      <c r="C41" s="884"/>
      <c r="D41" s="884"/>
      <c r="E41" s="884"/>
      <c r="F41" s="1008"/>
    </row>
    <row r="42" spans="1:6" ht="15" x14ac:dyDescent="0.25">
      <c r="A42" s="881"/>
      <c r="B42" s="884"/>
      <c r="C42" s="884"/>
      <c r="D42" s="884"/>
      <c r="E42" s="884"/>
      <c r="F42" s="1008"/>
    </row>
    <row r="43" spans="1:6" ht="15" x14ac:dyDescent="0.25">
      <c r="A43" s="879" t="s">
        <v>1269</v>
      </c>
      <c r="B43" s="885">
        <f>+B24+B26</f>
        <v>4749917.68</v>
      </c>
      <c r="C43" s="885">
        <f>+C24+C31</f>
        <v>36595397.340000004</v>
      </c>
      <c r="D43" s="885">
        <f>D24+D31</f>
        <v>-1636392.9499999988</v>
      </c>
      <c r="E43" s="885">
        <f>+E24+E26+E31</f>
        <v>0</v>
      </c>
      <c r="F43" s="1005">
        <f>SUM(B43:E43)</f>
        <v>39708922.070000008</v>
      </c>
    </row>
    <row r="44" spans="1:6" ht="15.75" thickBot="1" x14ac:dyDescent="0.3">
      <c r="A44" s="886"/>
      <c r="B44" s="887"/>
      <c r="C44" s="887"/>
      <c r="D44" s="887"/>
      <c r="E44" s="887"/>
      <c r="F44" s="1009"/>
    </row>
    <row r="45" spans="1:6" x14ac:dyDescent="0.3">
      <c r="A45" s="410" t="s">
        <v>86</v>
      </c>
      <c r="B45" s="419"/>
      <c r="C45" s="419"/>
      <c r="D45" s="46"/>
      <c r="E45" s="412" t="s">
        <v>258</v>
      </c>
      <c r="F45" s="994"/>
    </row>
    <row r="46" spans="1:6" x14ac:dyDescent="0.3">
      <c r="A46" s="410"/>
      <c r="B46" s="419"/>
      <c r="C46" s="419"/>
      <c r="D46" s="46"/>
      <c r="E46" s="412"/>
      <c r="F46" s="994"/>
    </row>
    <row r="47" spans="1:6" x14ac:dyDescent="0.3">
      <c r="A47" s="410"/>
      <c r="B47" s="419"/>
      <c r="C47" s="419"/>
      <c r="D47" s="1010"/>
      <c r="E47" s="412"/>
      <c r="F47" s="412"/>
    </row>
    <row r="48" spans="1:6" x14ac:dyDescent="0.3">
      <c r="A48" s="410"/>
      <c r="B48" s="419"/>
      <c r="C48" s="419"/>
      <c r="D48" s="46"/>
      <c r="E48" s="412"/>
      <c r="F48" s="412"/>
    </row>
    <row r="49" spans="1:6" x14ac:dyDescent="0.25">
      <c r="A49" s="412" t="s">
        <v>258</v>
      </c>
      <c r="B49" s="888" t="s">
        <v>258</v>
      </c>
      <c r="C49" s="1011"/>
      <c r="D49" s="412" t="s">
        <v>258</v>
      </c>
      <c r="E49" s="412" t="s">
        <v>258</v>
      </c>
      <c r="F49" s="412" t="s">
        <v>258</v>
      </c>
    </row>
    <row r="50" spans="1:6" x14ac:dyDescent="0.3">
      <c r="A50" s="412" t="s">
        <v>258</v>
      </c>
      <c r="B50" s="44" t="s">
        <v>258</v>
      </c>
      <c r="C50" s="44" t="s">
        <v>258</v>
      </c>
      <c r="D50" s="44" t="s">
        <v>258</v>
      </c>
    </row>
    <row r="51" spans="1:6" x14ac:dyDescent="0.3">
      <c r="A51" s="412"/>
      <c r="B51" s="44" t="s">
        <v>258</v>
      </c>
      <c r="C51" s="44" t="s">
        <v>258</v>
      </c>
      <c r="D51" s="44" t="s">
        <v>258</v>
      </c>
    </row>
    <row r="52" spans="1:6" x14ac:dyDescent="0.3">
      <c r="A52" s="412"/>
      <c r="B52" s="44" t="s">
        <v>258</v>
      </c>
      <c r="C52" s="44" t="s">
        <v>258</v>
      </c>
      <c r="D52" s="44" t="s">
        <v>258</v>
      </c>
    </row>
    <row r="53" spans="1:6" ht="18.75" x14ac:dyDescent="0.3">
      <c r="B53" s="889" t="s">
        <v>258</v>
      </c>
      <c r="D53" s="889"/>
      <c r="E53" s="889"/>
      <c r="F53" s="889"/>
    </row>
    <row r="54" spans="1:6" x14ac:dyDescent="0.3">
      <c r="A54" s="107"/>
    </row>
    <row r="55" spans="1:6" x14ac:dyDescent="0.3">
      <c r="A55" s="107"/>
    </row>
    <row r="56" spans="1:6" x14ac:dyDescent="0.3">
      <c r="A56" s="107"/>
    </row>
    <row r="57" spans="1:6" x14ac:dyDescent="0.3">
      <c r="A57" s="107"/>
    </row>
    <row r="58" spans="1:6" x14ac:dyDescent="0.3">
      <c r="A58" s="107"/>
    </row>
  </sheetData>
  <protectedRanges>
    <protectedRange algorithmName="SHA-512" hashValue="DnxZCsiWzkVfajEoNeh3bWR/KSkaQlGg69WdGxxA6j9+CqYObjdoi330+Pa3qIXionKkr1yfl1vUWI4ywnjIJA==" saltValue="PnCamTnDeR83jrwH4hVKjg==" spinCount="100000" sqref="B53:F53" name="Rango1"/>
  </protectedRanges>
  <mergeCells count="5">
    <mergeCell ref="A1:F1"/>
    <mergeCell ref="A2:F2"/>
    <mergeCell ref="A3:F3"/>
    <mergeCell ref="A4:F4"/>
    <mergeCell ref="A5:D5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workbookViewId="0">
      <selection activeCell="E40" sqref="E40"/>
    </sheetView>
  </sheetViews>
  <sheetFormatPr baseColWidth="10" defaultColWidth="11.28515625" defaultRowHeight="16.5" x14ac:dyDescent="0.3"/>
  <cols>
    <col min="1" max="1" width="80.85546875" style="906" bestFit="1" customWidth="1"/>
    <col min="2" max="3" width="17" style="906" customWidth="1"/>
    <col min="4" max="5" width="12.28515625" style="104" bestFit="1" customWidth="1"/>
    <col min="6" max="16384" width="11.28515625" style="104"/>
  </cols>
  <sheetData>
    <row r="1" spans="1:4" x14ac:dyDescent="0.3">
      <c r="A1" s="1049" t="s">
        <v>25</v>
      </c>
      <c r="B1" s="1049"/>
      <c r="C1" s="1049"/>
    </row>
    <row r="2" spans="1:4" s="87" customFormat="1" ht="15.75" x14ac:dyDescent="0.25">
      <c r="A2" s="1050" t="s">
        <v>3</v>
      </c>
      <c r="B2" s="1050"/>
      <c r="C2" s="1050"/>
    </row>
    <row r="3" spans="1:4" s="87" customFormat="1" ht="15.75" x14ac:dyDescent="0.25">
      <c r="A3" s="1058" t="str">
        <f>'ETCA-I-01'!A3:G3</f>
        <v>Centro de Evaluacion y Control de Confianza del Estado de Sonora</v>
      </c>
      <c r="B3" s="1058"/>
      <c r="C3" s="1058"/>
    </row>
    <row r="4" spans="1:4" s="87" customFormat="1" x14ac:dyDescent="0.25">
      <c r="A4" s="1060" t="str">
        <f>'ETCA-I-03'!A4:D4</f>
        <v>Del 01 de Enero  al 31 de Marzo de 2018</v>
      </c>
      <c r="B4" s="1060"/>
      <c r="C4" s="1060"/>
    </row>
    <row r="5" spans="1:4" s="88" customFormat="1" ht="17.25" thickBot="1" x14ac:dyDescent="0.35">
      <c r="A5" s="890" t="s">
        <v>1084</v>
      </c>
      <c r="B5" s="45"/>
      <c r="C5" s="891"/>
    </row>
    <row r="6" spans="1:4" ht="30" customHeight="1" thickBot="1" x14ac:dyDescent="0.35">
      <c r="A6" s="892"/>
      <c r="B6" s="893" t="s">
        <v>266</v>
      </c>
      <c r="C6" s="894" t="s">
        <v>267</v>
      </c>
    </row>
    <row r="7" spans="1:4" ht="17.25" thickTop="1" x14ac:dyDescent="0.3">
      <c r="A7" s="895" t="s">
        <v>268</v>
      </c>
      <c r="B7" s="1012">
        <f>B8+B17</f>
        <v>1240237.06</v>
      </c>
      <c r="C7" s="1013">
        <f>C8+C17</f>
        <v>23877.65</v>
      </c>
    </row>
    <row r="8" spans="1:4" x14ac:dyDescent="0.3">
      <c r="A8" s="896" t="s">
        <v>30</v>
      </c>
      <c r="B8" s="1014">
        <f>SUM(B9:B15)</f>
        <v>1240237.06</v>
      </c>
      <c r="C8" s="1015">
        <f>SUM(C9:C15)</f>
        <v>0</v>
      </c>
    </row>
    <row r="9" spans="1:4" s="105" customFormat="1" ht="13.5" x14ac:dyDescent="0.25">
      <c r="A9" s="897" t="s">
        <v>32</v>
      </c>
      <c r="B9" s="1016">
        <v>977085.81</v>
      </c>
      <c r="C9" s="1017"/>
      <c r="D9" s="411"/>
    </row>
    <row r="10" spans="1:4" s="105" customFormat="1" ht="13.5" x14ac:dyDescent="0.25">
      <c r="A10" s="897" t="s">
        <v>34</v>
      </c>
      <c r="B10" s="1016">
        <v>263151.25</v>
      </c>
      <c r="C10" s="1017"/>
    </row>
    <row r="11" spans="1:4" s="105" customFormat="1" ht="13.5" x14ac:dyDescent="0.25">
      <c r="A11" s="897" t="s">
        <v>36</v>
      </c>
      <c r="B11" s="898"/>
      <c r="C11" s="1017"/>
    </row>
    <row r="12" spans="1:4" s="105" customFormat="1" ht="13.5" x14ac:dyDescent="0.25">
      <c r="A12" s="897" t="s">
        <v>269</v>
      </c>
      <c r="B12" s="898"/>
      <c r="C12" s="1017"/>
    </row>
    <row r="13" spans="1:4" s="105" customFormat="1" ht="13.5" x14ac:dyDescent="0.25">
      <c r="A13" s="897" t="s">
        <v>40</v>
      </c>
      <c r="B13" s="898"/>
      <c r="C13" s="1018"/>
    </row>
    <row r="14" spans="1:4" s="105" customFormat="1" ht="13.5" x14ac:dyDescent="0.25">
      <c r="A14" s="897" t="s">
        <v>42</v>
      </c>
      <c r="B14" s="898"/>
      <c r="C14" s="1017"/>
    </row>
    <row r="15" spans="1:4" s="105" customFormat="1" ht="13.5" x14ac:dyDescent="0.25">
      <c r="A15" s="897" t="s">
        <v>44</v>
      </c>
      <c r="B15" s="898"/>
      <c r="C15" s="1017"/>
    </row>
    <row r="16" spans="1:4" ht="5.25" customHeight="1" x14ac:dyDescent="0.3">
      <c r="A16" s="895"/>
      <c r="B16" s="1019"/>
      <c r="C16" s="1020"/>
    </row>
    <row r="17" spans="1:3" x14ac:dyDescent="0.3">
      <c r="A17" s="896" t="s">
        <v>49</v>
      </c>
      <c r="B17" s="1014">
        <f>SUM(B18:B26)</f>
        <v>0</v>
      </c>
      <c r="C17" s="1015">
        <f>SUM(C18:C26)</f>
        <v>23877.65</v>
      </c>
    </row>
    <row r="18" spans="1:3" s="105" customFormat="1" ht="13.5" x14ac:dyDescent="0.25">
      <c r="A18" s="897" t="s">
        <v>51</v>
      </c>
      <c r="B18" s="898"/>
      <c r="C18" s="899"/>
    </row>
    <row r="19" spans="1:3" s="105" customFormat="1" ht="13.5" x14ac:dyDescent="0.25">
      <c r="A19" s="897" t="s">
        <v>53</v>
      </c>
      <c r="B19" s="898"/>
      <c r="C19" s="899"/>
    </row>
    <row r="20" spans="1:3" s="105" customFormat="1" ht="13.5" x14ac:dyDescent="0.25">
      <c r="A20" s="897" t="s">
        <v>55</v>
      </c>
      <c r="B20" s="898"/>
      <c r="C20" s="899"/>
    </row>
    <row r="21" spans="1:3" s="105" customFormat="1" ht="13.5" x14ac:dyDescent="0.25">
      <c r="A21" s="897" t="s">
        <v>57</v>
      </c>
      <c r="B21" s="898"/>
      <c r="C21" s="1016">
        <v>23877.65</v>
      </c>
    </row>
    <row r="22" spans="1:3" s="105" customFormat="1" ht="13.5" x14ac:dyDescent="0.25">
      <c r="A22" s="897" t="s">
        <v>59</v>
      </c>
      <c r="B22" s="898"/>
      <c r="C22" s="899"/>
    </row>
    <row r="23" spans="1:3" s="105" customFormat="1" ht="13.5" x14ac:dyDescent="0.25">
      <c r="A23" s="897" t="s">
        <v>61</v>
      </c>
      <c r="B23" s="898"/>
      <c r="C23" s="899"/>
    </row>
    <row r="24" spans="1:3" s="105" customFormat="1" ht="13.5" x14ac:dyDescent="0.25">
      <c r="A24" s="897" t="s">
        <v>63</v>
      </c>
      <c r="B24" s="898"/>
      <c r="C24" s="899"/>
    </row>
    <row r="25" spans="1:3" s="105" customFormat="1" ht="13.5" x14ac:dyDescent="0.25">
      <c r="A25" s="897" t="s">
        <v>64</v>
      </c>
      <c r="B25" s="898"/>
      <c r="C25" s="899"/>
    </row>
    <row r="26" spans="1:3" s="105" customFormat="1" ht="13.5" x14ac:dyDescent="0.25">
      <c r="A26" s="897" t="s">
        <v>65</v>
      </c>
      <c r="B26" s="898"/>
      <c r="C26" s="899"/>
    </row>
    <row r="27" spans="1:3" ht="6.75" customHeight="1" x14ac:dyDescent="0.3">
      <c r="A27" s="900"/>
      <c r="B27" s="1019"/>
      <c r="C27" s="1020"/>
    </row>
    <row r="28" spans="1:3" x14ac:dyDescent="0.3">
      <c r="A28" s="895" t="s">
        <v>270</v>
      </c>
      <c r="B28" s="1012">
        <f>B29+B39</f>
        <v>420033.54</v>
      </c>
      <c r="C28" s="1013">
        <f>C29+C39</f>
        <v>0</v>
      </c>
    </row>
    <row r="29" spans="1:3" x14ac:dyDescent="0.3">
      <c r="A29" s="896" t="s">
        <v>31</v>
      </c>
      <c r="B29" s="1014">
        <f>SUM(B30:B37)</f>
        <v>420033.54</v>
      </c>
      <c r="C29" s="1015">
        <f>SUM(C30:C37)</f>
        <v>0</v>
      </c>
    </row>
    <row r="30" spans="1:3" s="105" customFormat="1" ht="13.5" x14ac:dyDescent="0.25">
      <c r="A30" s="897" t="s">
        <v>33</v>
      </c>
      <c r="B30" s="898">
        <v>420033.54</v>
      </c>
      <c r="C30" s="899"/>
    </row>
    <row r="31" spans="1:3" s="105" customFormat="1" ht="13.5" x14ac:dyDescent="0.25">
      <c r="A31" s="897" t="s">
        <v>35</v>
      </c>
      <c r="B31" s="898"/>
      <c r="C31" s="899"/>
    </row>
    <row r="32" spans="1:3" s="105" customFormat="1" ht="13.5" x14ac:dyDescent="0.25">
      <c r="A32" s="897" t="s">
        <v>37</v>
      </c>
      <c r="B32" s="898"/>
      <c r="C32" s="899"/>
    </row>
    <row r="33" spans="1:3" s="105" customFormat="1" ht="13.5" x14ac:dyDescent="0.25">
      <c r="A33" s="897" t="s">
        <v>39</v>
      </c>
      <c r="B33" s="898"/>
      <c r="C33" s="899"/>
    </row>
    <row r="34" spans="1:3" s="105" customFormat="1" ht="13.5" x14ac:dyDescent="0.25">
      <c r="A34" s="897" t="s">
        <v>41</v>
      </c>
      <c r="B34" s="898"/>
      <c r="C34" s="899"/>
    </row>
    <row r="35" spans="1:3" s="105" customFormat="1" ht="13.5" x14ac:dyDescent="0.25">
      <c r="A35" s="897" t="s">
        <v>43</v>
      </c>
      <c r="B35" s="898"/>
      <c r="C35" s="899"/>
    </row>
    <row r="36" spans="1:3" s="105" customFormat="1" ht="13.5" x14ac:dyDescent="0.25">
      <c r="A36" s="897" t="s">
        <v>45</v>
      </c>
      <c r="B36" s="898"/>
      <c r="C36" s="899"/>
    </row>
    <row r="37" spans="1:3" s="105" customFormat="1" ht="13.5" x14ac:dyDescent="0.25">
      <c r="A37" s="897" t="s">
        <v>46</v>
      </c>
      <c r="B37" s="898"/>
      <c r="C37" s="899"/>
    </row>
    <row r="38" spans="1:3" ht="6" customHeight="1" x14ac:dyDescent="0.3">
      <c r="A38" s="895"/>
      <c r="B38" s="1021"/>
      <c r="C38" s="1022"/>
    </row>
    <row r="39" spans="1:3" x14ac:dyDescent="0.3">
      <c r="A39" s="896" t="s">
        <v>50</v>
      </c>
      <c r="B39" s="1014">
        <f>SUM(B40:B45)</f>
        <v>0</v>
      </c>
      <c r="C39" s="1015">
        <f>SUM(C40:C45)</f>
        <v>0</v>
      </c>
    </row>
    <row r="40" spans="1:3" s="105" customFormat="1" ht="13.5" x14ac:dyDescent="0.25">
      <c r="A40" s="897" t="s">
        <v>52</v>
      </c>
      <c r="B40" s="898"/>
      <c r="C40" s="899"/>
    </row>
    <row r="41" spans="1:3" s="105" customFormat="1" ht="13.5" x14ac:dyDescent="0.25">
      <c r="A41" s="897" t="s">
        <v>54</v>
      </c>
      <c r="B41" s="898"/>
      <c r="C41" s="899"/>
    </row>
    <row r="42" spans="1:3" s="105" customFormat="1" ht="13.5" x14ac:dyDescent="0.25">
      <c r="A42" s="897" t="s">
        <v>56</v>
      </c>
      <c r="B42" s="898"/>
      <c r="C42" s="899"/>
    </row>
    <row r="43" spans="1:3" s="105" customFormat="1" ht="13.5" x14ac:dyDescent="0.25">
      <c r="A43" s="897" t="s">
        <v>58</v>
      </c>
      <c r="B43" s="898"/>
      <c r="C43" s="899"/>
    </row>
    <row r="44" spans="1:3" s="105" customFormat="1" ht="13.5" x14ac:dyDescent="0.25">
      <c r="A44" s="897" t="s">
        <v>60</v>
      </c>
      <c r="B44" s="898"/>
      <c r="C44" s="899"/>
    </row>
    <row r="45" spans="1:3" s="105" customFormat="1" ht="13.5" x14ac:dyDescent="0.25">
      <c r="A45" s="897" t="s">
        <v>62</v>
      </c>
      <c r="B45" s="898"/>
      <c r="C45" s="899"/>
    </row>
    <row r="46" spans="1:3" x14ac:dyDescent="0.3">
      <c r="A46" s="901"/>
      <c r="B46" s="1019"/>
      <c r="C46" s="1020"/>
    </row>
    <row r="47" spans="1:3" x14ac:dyDescent="0.3">
      <c r="A47" s="895" t="s">
        <v>271</v>
      </c>
      <c r="B47" s="1012">
        <f>B48+B53</f>
        <v>3476299.29</v>
      </c>
      <c r="C47" s="1013">
        <f>C48+C53</f>
        <v>5112692.24</v>
      </c>
    </row>
    <row r="48" spans="1:3" x14ac:dyDescent="0.3">
      <c r="A48" s="896" t="s">
        <v>71</v>
      </c>
      <c r="B48" s="1014">
        <f>SUM(B49:B51)</f>
        <v>0</v>
      </c>
      <c r="C48" s="1015">
        <f>SUM(C49:C51)</f>
        <v>0</v>
      </c>
    </row>
    <row r="49" spans="1:5" s="105" customFormat="1" ht="13.5" x14ac:dyDescent="0.25">
      <c r="A49" s="897" t="s">
        <v>72</v>
      </c>
      <c r="B49" s="898"/>
      <c r="C49" s="899"/>
    </row>
    <row r="50" spans="1:5" s="105" customFormat="1" ht="13.5" x14ac:dyDescent="0.25">
      <c r="A50" s="897" t="s">
        <v>73</v>
      </c>
      <c r="B50" s="898"/>
      <c r="C50" s="899"/>
    </row>
    <row r="51" spans="1:5" s="105" customFormat="1" ht="13.5" x14ac:dyDescent="0.25">
      <c r="A51" s="897" t="s">
        <v>74</v>
      </c>
      <c r="B51" s="898"/>
      <c r="C51" s="899"/>
    </row>
    <row r="52" spans="1:5" ht="6" customHeight="1" x14ac:dyDescent="0.3">
      <c r="A52" s="896"/>
      <c r="B52" s="1021"/>
      <c r="C52" s="1022"/>
    </row>
    <row r="53" spans="1:5" ht="15.75" customHeight="1" x14ac:dyDescent="0.3">
      <c r="A53" s="896" t="s">
        <v>75</v>
      </c>
      <c r="B53" s="1014">
        <f>SUM(B54:B58)</f>
        <v>3476299.29</v>
      </c>
      <c r="C53" s="1015">
        <f>SUM(C54:C58)</f>
        <v>5112692.24</v>
      </c>
      <c r="D53" s="938"/>
      <c r="E53" s="938"/>
    </row>
    <row r="54" spans="1:5" s="105" customFormat="1" ht="13.5" x14ac:dyDescent="0.25">
      <c r="A54" s="897" t="s">
        <v>76</v>
      </c>
      <c r="B54" s="898">
        <v>0</v>
      </c>
      <c r="C54" s="899">
        <v>5089051.6900000004</v>
      </c>
      <c r="E54" s="939"/>
    </row>
    <row r="55" spans="1:5" s="105" customFormat="1" ht="13.5" x14ac:dyDescent="0.25">
      <c r="A55" s="897" t="s">
        <v>77</v>
      </c>
      <c r="B55" s="898">
        <v>3476299.29</v>
      </c>
      <c r="C55" s="899">
        <v>0</v>
      </c>
    </row>
    <row r="56" spans="1:5" s="105" customFormat="1" ht="13.5" x14ac:dyDescent="0.25">
      <c r="A56" s="897" t="s">
        <v>78</v>
      </c>
      <c r="B56" s="898"/>
      <c r="C56" s="899"/>
    </row>
    <row r="57" spans="1:5" s="105" customFormat="1" ht="13.5" x14ac:dyDescent="0.25">
      <c r="A57" s="897" t="s">
        <v>79</v>
      </c>
      <c r="B57" s="898"/>
      <c r="C57" s="899"/>
    </row>
    <row r="58" spans="1:5" s="105" customFormat="1" ht="13.5" x14ac:dyDescent="0.25">
      <c r="A58" s="897" t="s">
        <v>80</v>
      </c>
      <c r="B58" s="898"/>
      <c r="C58" s="899">
        <v>23640.55</v>
      </c>
    </row>
    <row r="59" spans="1:5" ht="7.5" customHeight="1" x14ac:dyDescent="0.3">
      <c r="A59" s="896"/>
      <c r="B59" s="1019"/>
      <c r="C59" s="1020"/>
    </row>
    <row r="60" spans="1:5" x14ac:dyDescent="0.3">
      <c r="A60" s="896" t="s">
        <v>272</v>
      </c>
      <c r="B60" s="1014">
        <f>SUM(B61:B62)</f>
        <v>0</v>
      </c>
      <c r="C60" s="1015">
        <f>SUM(C61:C62)</f>
        <v>0</v>
      </c>
    </row>
    <row r="61" spans="1:5" s="105" customFormat="1" ht="13.5" x14ac:dyDescent="0.25">
      <c r="A61" s="897" t="s">
        <v>82</v>
      </c>
      <c r="B61" s="898"/>
      <c r="C61" s="899"/>
    </row>
    <row r="62" spans="1:5" s="105" customFormat="1" ht="14.25" thickBot="1" x14ac:dyDescent="0.3">
      <c r="A62" s="902" t="s">
        <v>83</v>
      </c>
      <c r="B62" s="903"/>
      <c r="C62" s="904"/>
    </row>
    <row r="63" spans="1:5" s="105" customFormat="1" ht="13.5" x14ac:dyDescent="0.25">
      <c r="A63" s="410" t="s">
        <v>257</v>
      </c>
      <c r="B63" s="898"/>
      <c r="C63" s="898"/>
    </row>
    <row r="64" spans="1:5" s="105" customFormat="1" ht="13.5" x14ac:dyDescent="0.25">
      <c r="A64" s="410"/>
      <c r="B64" s="898"/>
      <c r="C64" s="898"/>
    </row>
    <row r="65" spans="1:3" s="105" customFormat="1" ht="13.5" x14ac:dyDescent="0.25">
      <c r="A65" s="410"/>
      <c r="B65" s="898"/>
      <c r="C65" s="898"/>
    </row>
    <row r="66" spans="1:3" s="105" customFormat="1" ht="13.5" x14ac:dyDescent="0.25">
      <c r="A66" s="905"/>
      <c r="B66" s="898"/>
      <c r="C66" s="898"/>
    </row>
    <row r="67" spans="1:3" s="105" customFormat="1" ht="13.5" x14ac:dyDescent="0.25">
      <c r="A67" s="905" t="s">
        <v>258</v>
      </c>
      <c r="B67" s="898"/>
      <c r="C67" s="898"/>
    </row>
    <row r="68" spans="1:3" s="105" customFormat="1" ht="13.5" x14ac:dyDescent="0.25">
      <c r="A68" s="905" t="s">
        <v>258</v>
      </c>
      <c r="B68" s="898"/>
      <c r="C68" s="898"/>
    </row>
    <row r="69" spans="1:3" x14ac:dyDescent="0.3">
      <c r="A69" s="410" t="s">
        <v>258</v>
      </c>
    </row>
  </sheetData>
  <sheetProtection formatColumns="0" formatRows="0"/>
  <mergeCells count="4">
    <mergeCell ref="A1:C1"/>
    <mergeCell ref="A2:C2"/>
    <mergeCell ref="A3:C3"/>
    <mergeCell ref="A4:C4"/>
  </mergeCells>
  <pageMargins left="0.9055118110236221" right="0.70866141732283472" top="0.74803149606299213" bottom="0.74803149606299213" header="0.31496062992125984" footer="0.31496062992125984"/>
  <pageSetup scale="72" orientation="portrait" r:id="rId1"/>
  <rowBreaks count="1" manualBreakCount="1">
    <brk id="7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72"/>
  <sheetViews>
    <sheetView tabSelected="1" view="pageBreakPreview" topLeftCell="A32" zoomScale="130" zoomScaleNormal="100" zoomScaleSheetLayoutView="130" workbookViewId="0">
      <selection activeCell="D48" sqref="D48"/>
    </sheetView>
  </sheetViews>
  <sheetFormatPr baseColWidth="10" defaultColWidth="11.28515625" defaultRowHeight="16.5" x14ac:dyDescent="0.3"/>
  <cols>
    <col min="1" max="1" width="2.85546875" style="44" customWidth="1"/>
    <col min="2" max="2" width="63.85546875" style="44" customWidth="1"/>
    <col min="3" max="4" width="12.7109375" style="44" customWidth="1"/>
    <col min="5" max="16384" width="11.28515625" style="44"/>
  </cols>
  <sheetData>
    <row r="1" spans="1:4" x14ac:dyDescent="0.3">
      <c r="A1" s="1049" t="s">
        <v>25</v>
      </c>
      <c r="B1" s="1049"/>
      <c r="C1" s="1049"/>
      <c r="D1" s="1049"/>
    </row>
    <row r="2" spans="1:4" x14ac:dyDescent="0.3">
      <c r="A2" s="1050" t="s">
        <v>4</v>
      </c>
      <c r="B2" s="1050"/>
      <c r="C2" s="1050"/>
      <c r="D2" s="1050"/>
    </row>
    <row r="3" spans="1:4" x14ac:dyDescent="0.3">
      <c r="A3" s="1058" t="str">
        <f>'ETCA-I-01'!A3</f>
        <v>Centro de Evaluacion y Control de Confianza del Estado de Sonora</v>
      </c>
      <c r="B3" s="1058"/>
      <c r="C3" s="1058"/>
      <c r="D3" s="1058"/>
    </row>
    <row r="4" spans="1:4" x14ac:dyDescent="0.3">
      <c r="A4" s="1060" t="str">
        <f>'ETCA-I-01'!A4:G4</f>
        <v>Al 31 de Marzo de 2018</v>
      </c>
      <c r="B4" s="1060"/>
      <c r="C4" s="1060"/>
      <c r="D4" s="1060"/>
    </row>
    <row r="5" spans="1:4" ht="17.25" thickBot="1" x14ac:dyDescent="0.35">
      <c r="A5" s="1048" t="s">
        <v>273</v>
      </c>
      <c r="B5" s="1048"/>
      <c r="C5" s="45"/>
      <c r="D5" s="43"/>
    </row>
    <row r="6" spans="1:4" ht="23.25" customHeight="1" thickBot="1" x14ac:dyDescent="0.35">
      <c r="A6" s="1063" t="s">
        <v>261</v>
      </c>
      <c r="B6" s="1064"/>
      <c r="C6" s="140">
        <v>2018</v>
      </c>
      <c r="D6" s="141">
        <v>2017</v>
      </c>
    </row>
    <row r="7" spans="1:4" s="107" customFormat="1" ht="12" customHeight="1" thickTop="1" x14ac:dyDescent="0.25">
      <c r="A7" s="1061" t="s">
        <v>274</v>
      </c>
      <c r="B7" s="1062"/>
      <c r="C7" s="1062"/>
      <c r="D7" s="106"/>
    </row>
    <row r="8" spans="1:4" s="107" customFormat="1" ht="12.75" customHeight="1" x14ac:dyDescent="0.25">
      <c r="A8" s="108"/>
      <c r="B8" s="109" t="s">
        <v>266</v>
      </c>
      <c r="C8" s="124">
        <f>SUM(C9:C19)</f>
        <v>11025902.609999999</v>
      </c>
      <c r="D8" s="125">
        <f>SUM(D9:D19)</f>
        <v>63389055.859999999</v>
      </c>
    </row>
    <row r="9" spans="1:4" s="111" customFormat="1" ht="11.1" customHeight="1" x14ac:dyDescent="0.25">
      <c r="A9" s="110"/>
      <c r="B9" s="122" t="s">
        <v>205</v>
      </c>
      <c r="C9" s="126"/>
      <c r="D9" s="127"/>
    </row>
    <row r="10" spans="1:4" s="111" customFormat="1" ht="11.1" customHeight="1" x14ac:dyDescent="0.25">
      <c r="A10" s="110"/>
      <c r="B10" s="122" t="s">
        <v>206</v>
      </c>
      <c r="C10" s="126"/>
      <c r="D10" s="127"/>
    </row>
    <row r="11" spans="1:4" s="111" customFormat="1" ht="11.1" customHeight="1" x14ac:dyDescent="0.25">
      <c r="A11" s="110"/>
      <c r="B11" s="122" t="s">
        <v>275</v>
      </c>
      <c r="C11" s="126"/>
      <c r="D11" s="127"/>
    </row>
    <row r="12" spans="1:4" s="111" customFormat="1" ht="11.1" customHeight="1" x14ac:dyDescent="0.25">
      <c r="A12" s="110"/>
      <c r="B12" s="122" t="s">
        <v>208</v>
      </c>
      <c r="C12" s="126">
        <v>546500</v>
      </c>
      <c r="D12" s="127">
        <v>11434500</v>
      </c>
    </row>
    <row r="13" spans="1:4" s="111" customFormat="1" ht="11.1" customHeight="1" x14ac:dyDescent="0.25">
      <c r="A13" s="110"/>
      <c r="B13" s="122" t="s">
        <v>276</v>
      </c>
      <c r="C13" s="126"/>
      <c r="D13" s="127"/>
    </row>
    <row r="14" spans="1:4" s="111" customFormat="1" ht="11.1" customHeight="1" x14ac:dyDescent="0.25">
      <c r="A14" s="110"/>
      <c r="B14" s="122" t="s">
        <v>210</v>
      </c>
      <c r="C14" s="126"/>
      <c r="D14" s="127"/>
    </row>
    <row r="15" spans="1:4" s="111" customFormat="1" ht="11.1" customHeight="1" x14ac:dyDescent="0.25">
      <c r="A15" s="110"/>
      <c r="B15" s="122" t="s">
        <v>211</v>
      </c>
      <c r="C15" s="126"/>
      <c r="D15" s="127">
        <v>765000</v>
      </c>
    </row>
    <row r="16" spans="1:4" s="111" customFormat="1" ht="22.5" customHeight="1" x14ac:dyDescent="0.25">
      <c r="A16" s="110"/>
      <c r="B16" s="122" t="s">
        <v>212</v>
      </c>
      <c r="C16" s="126"/>
      <c r="D16" s="127"/>
    </row>
    <row r="17" spans="1:4" s="111" customFormat="1" ht="12" customHeight="1" x14ac:dyDescent="0.25">
      <c r="A17" s="110"/>
      <c r="B17" s="122" t="s">
        <v>214</v>
      </c>
      <c r="C17" s="126"/>
      <c r="D17" s="111">
        <v>5031028.8</v>
      </c>
    </row>
    <row r="18" spans="1:4" s="111" customFormat="1" ht="12" customHeight="1" x14ac:dyDescent="0.25">
      <c r="A18" s="110"/>
      <c r="B18" s="122" t="s">
        <v>277</v>
      </c>
      <c r="C18" s="126">
        <v>10431162.24</v>
      </c>
      <c r="D18" s="127">
        <v>44830739.219999999</v>
      </c>
    </row>
    <row r="19" spans="1:4" s="111" customFormat="1" ht="12" customHeight="1" x14ac:dyDescent="0.25">
      <c r="A19" s="110"/>
      <c r="B19" s="122" t="s">
        <v>278</v>
      </c>
      <c r="C19" s="126">
        <v>48240.37</v>
      </c>
      <c r="D19" s="127">
        <v>1327787.8400000001</v>
      </c>
    </row>
    <row r="20" spans="1:4" s="107" customFormat="1" ht="13.5" customHeight="1" x14ac:dyDescent="0.25">
      <c r="A20" s="108"/>
      <c r="B20" s="109" t="s">
        <v>267</v>
      </c>
      <c r="C20" s="124">
        <f>SUM(C21:C36)</f>
        <v>11979110.77</v>
      </c>
      <c r="D20" s="125">
        <f>SUM(D21:D36)</f>
        <v>55157667.480000004</v>
      </c>
    </row>
    <row r="21" spans="1:4" s="107" customFormat="1" ht="11.1" customHeight="1" x14ac:dyDescent="0.25">
      <c r="A21" s="108"/>
      <c r="B21" s="122" t="s">
        <v>225</v>
      </c>
      <c r="C21" s="126">
        <v>10425050.76</v>
      </c>
      <c r="D21" s="127">
        <v>44726278.93</v>
      </c>
    </row>
    <row r="22" spans="1:4" s="107" customFormat="1" ht="11.1" customHeight="1" x14ac:dyDescent="0.25">
      <c r="A22" s="108"/>
      <c r="B22" s="122" t="s">
        <v>226</v>
      </c>
      <c r="C22" s="126">
        <v>230415.09</v>
      </c>
      <c r="D22" s="127">
        <v>1489057.99</v>
      </c>
    </row>
    <row r="23" spans="1:4" s="107" customFormat="1" ht="11.1" customHeight="1" x14ac:dyDescent="0.25">
      <c r="A23" s="108"/>
      <c r="B23" s="122" t="s">
        <v>227</v>
      </c>
      <c r="C23" s="126">
        <v>1323644.92</v>
      </c>
      <c r="D23" s="127">
        <v>8942330.5600000005</v>
      </c>
    </row>
    <row r="24" spans="1:4" s="107" customFormat="1" ht="11.1" customHeight="1" x14ac:dyDescent="0.25">
      <c r="A24" s="108"/>
      <c r="B24" s="122" t="s">
        <v>228</v>
      </c>
      <c r="C24" s="126"/>
      <c r="D24" s="127"/>
    </row>
    <row r="25" spans="1:4" s="107" customFormat="1" ht="11.1" customHeight="1" x14ac:dyDescent="0.25">
      <c r="A25" s="108"/>
      <c r="B25" s="122" t="s">
        <v>279</v>
      </c>
      <c r="C25" s="126"/>
      <c r="D25" s="127"/>
    </row>
    <row r="26" spans="1:4" s="107" customFormat="1" ht="11.1" customHeight="1" x14ac:dyDescent="0.25">
      <c r="A26" s="108"/>
      <c r="B26" s="122" t="s">
        <v>280</v>
      </c>
      <c r="C26" s="126"/>
      <c r="D26" s="127"/>
    </row>
    <row r="27" spans="1:4" s="107" customFormat="1" ht="11.1" customHeight="1" x14ac:dyDescent="0.25">
      <c r="A27" s="108"/>
      <c r="B27" s="122" t="s">
        <v>231</v>
      </c>
      <c r="C27" s="126"/>
      <c r="D27" s="127"/>
    </row>
    <row r="28" spans="1:4" s="107" customFormat="1" ht="11.1" customHeight="1" x14ac:dyDescent="0.25">
      <c r="A28" s="108"/>
      <c r="B28" s="122" t="s">
        <v>232</v>
      </c>
      <c r="C28" s="126"/>
      <c r="D28" s="127"/>
    </row>
    <row r="29" spans="1:4" s="107" customFormat="1" ht="11.1" customHeight="1" x14ac:dyDescent="0.25">
      <c r="A29" s="108"/>
      <c r="B29" s="122" t="s">
        <v>233</v>
      </c>
      <c r="C29" s="126"/>
      <c r="D29" s="127"/>
    </row>
    <row r="30" spans="1:4" s="107" customFormat="1" ht="11.1" customHeight="1" x14ac:dyDescent="0.25">
      <c r="A30" s="108"/>
      <c r="B30" s="122" t="s">
        <v>234</v>
      </c>
      <c r="C30" s="126"/>
      <c r="D30" s="127"/>
    </row>
    <row r="31" spans="1:4" s="107" customFormat="1" ht="11.1" customHeight="1" x14ac:dyDescent="0.25">
      <c r="A31" s="108"/>
      <c r="B31" s="122" t="s">
        <v>235</v>
      </c>
      <c r="C31" s="126"/>
      <c r="D31" s="127"/>
    </row>
    <row r="32" spans="1:4" s="107" customFormat="1" ht="11.1" customHeight="1" x14ac:dyDescent="0.25">
      <c r="A32" s="108"/>
      <c r="B32" s="122" t="s">
        <v>236</v>
      </c>
      <c r="C32" s="126"/>
      <c r="D32" s="127"/>
    </row>
    <row r="33" spans="1:4" s="107" customFormat="1" ht="11.1" customHeight="1" x14ac:dyDescent="0.25">
      <c r="A33" s="108"/>
      <c r="B33" s="122" t="s">
        <v>281</v>
      </c>
      <c r="C33" s="126"/>
      <c r="D33" s="127"/>
    </row>
    <row r="34" spans="1:4" s="107" customFormat="1" ht="11.1" customHeight="1" x14ac:dyDescent="0.25">
      <c r="A34" s="108"/>
      <c r="B34" s="122" t="s">
        <v>72</v>
      </c>
      <c r="C34" s="126"/>
      <c r="D34" s="127"/>
    </row>
    <row r="35" spans="1:4" s="107" customFormat="1" ht="11.1" customHeight="1" x14ac:dyDescent="0.25">
      <c r="A35" s="108"/>
      <c r="B35" s="122" t="s">
        <v>239</v>
      </c>
      <c r="C35" s="126"/>
      <c r="D35" s="127"/>
    </row>
    <row r="36" spans="1:4" s="107" customFormat="1" ht="11.1" customHeight="1" x14ac:dyDescent="0.25">
      <c r="A36" s="108"/>
      <c r="B36" s="122" t="s">
        <v>282</v>
      </c>
      <c r="D36" s="126"/>
    </row>
    <row r="37" spans="1:4" s="107" customFormat="1" ht="12" customHeight="1" x14ac:dyDescent="0.25">
      <c r="A37" s="112" t="s">
        <v>283</v>
      </c>
      <c r="B37" s="113"/>
      <c r="C37" s="128">
        <f>C8-C20</f>
        <v>-953208.16000000015</v>
      </c>
      <c r="D37" s="129">
        <f>D8-D20</f>
        <v>8231388.3799999952</v>
      </c>
    </row>
    <row r="38" spans="1:4" s="107" customFormat="1" ht="4.5" customHeight="1" x14ac:dyDescent="0.25">
      <c r="A38" s="114"/>
      <c r="B38" s="115"/>
      <c r="C38" s="130"/>
      <c r="D38" s="131"/>
    </row>
    <row r="39" spans="1:4" s="107" customFormat="1" ht="12.75" x14ac:dyDescent="0.25">
      <c r="A39" s="116" t="s">
        <v>284</v>
      </c>
      <c r="B39" s="109"/>
      <c r="C39" s="132"/>
      <c r="D39" s="133"/>
    </row>
    <row r="40" spans="1:4" s="107" customFormat="1" ht="10.5" customHeight="1" x14ac:dyDescent="0.25">
      <c r="A40" s="108"/>
      <c r="B40" s="109" t="s">
        <v>266</v>
      </c>
      <c r="C40" s="124">
        <f>SUM(C41:C43)</f>
        <v>0</v>
      </c>
      <c r="D40" s="125">
        <f>SUM(D41:D43)</f>
        <v>0</v>
      </c>
    </row>
    <row r="41" spans="1:4" s="107" customFormat="1" ht="11.1" customHeight="1" x14ac:dyDescent="0.25">
      <c r="A41" s="108"/>
      <c r="B41" s="123" t="s">
        <v>55</v>
      </c>
      <c r="C41" s="126"/>
      <c r="D41" s="127"/>
    </row>
    <row r="42" spans="1:4" s="107" customFormat="1" ht="11.1" customHeight="1" x14ac:dyDescent="0.25">
      <c r="A42" s="108"/>
      <c r="B42" s="123" t="s">
        <v>57</v>
      </c>
      <c r="D42" s="127"/>
    </row>
    <row r="43" spans="1:4" s="107" customFormat="1" ht="11.1" customHeight="1" x14ac:dyDescent="0.25">
      <c r="A43" s="108"/>
      <c r="B43" s="123" t="s">
        <v>285</v>
      </c>
      <c r="C43" s="126"/>
      <c r="D43" s="127"/>
    </row>
    <row r="44" spans="1:4" s="107" customFormat="1" ht="10.5" customHeight="1" x14ac:dyDescent="0.25">
      <c r="A44" s="108"/>
      <c r="B44" s="109" t="s">
        <v>267</v>
      </c>
      <c r="C44" s="124">
        <f>SUM(C45:C47)</f>
        <v>23877.65</v>
      </c>
      <c r="D44" s="125">
        <f>SUM(D45:D47)</f>
        <v>4020367.41</v>
      </c>
    </row>
    <row r="45" spans="1:4" s="107" customFormat="1" ht="11.1" customHeight="1" x14ac:dyDescent="0.25">
      <c r="A45" s="108"/>
      <c r="B45" s="123" t="s">
        <v>55</v>
      </c>
      <c r="C45" s="126"/>
      <c r="D45" s="127">
        <v>210570.55</v>
      </c>
    </row>
    <row r="46" spans="1:4" s="107" customFormat="1" ht="11.1" customHeight="1" x14ac:dyDescent="0.25">
      <c r="A46" s="108"/>
      <c r="B46" s="123" t="s">
        <v>57</v>
      </c>
      <c r="C46" s="126">
        <v>23877.65</v>
      </c>
      <c r="D46" s="127">
        <v>3573822.18</v>
      </c>
    </row>
    <row r="47" spans="1:4" s="107" customFormat="1" ht="11.1" customHeight="1" x14ac:dyDescent="0.25">
      <c r="A47" s="108"/>
      <c r="B47" s="123" t="s">
        <v>286</v>
      </c>
      <c r="C47" s="126"/>
      <c r="D47" s="127">
        <v>235974.68</v>
      </c>
    </row>
    <row r="48" spans="1:4" s="107" customFormat="1" ht="12" customHeight="1" x14ac:dyDescent="0.25">
      <c r="A48" s="112" t="s">
        <v>287</v>
      </c>
      <c r="B48" s="113"/>
      <c r="C48" s="128">
        <f>C40-C44</f>
        <v>-23877.65</v>
      </c>
      <c r="D48" s="129">
        <f>D40-D44</f>
        <v>-4020367.41</v>
      </c>
    </row>
    <row r="49" spans="1:4" s="107" customFormat="1" ht="2.25" customHeight="1" x14ac:dyDescent="0.25">
      <c r="A49" s="114"/>
      <c r="B49" s="115"/>
      <c r="C49" s="134"/>
      <c r="D49" s="135"/>
    </row>
    <row r="50" spans="1:4" s="107" customFormat="1" ht="12" customHeight="1" x14ac:dyDescent="0.25">
      <c r="A50" s="116" t="s">
        <v>288</v>
      </c>
      <c r="B50" s="109"/>
      <c r="C50" s="132"/>
      <c r="D50" s="133"/>
    </row>
    <row r="51" spans="1:4" s="107" customFormat="1" ht="12.75" x14ac:dyDescent="0.25">
      <c r="A51" s="108"/>
      <c r="B51" s="109" t="s">
        <v>266</v>
      </c>
      <c r="C51" s="124">
        <f>SUM(C52:C55)</f>
        <v>0</v>
      </c>
      <c r="D51" s="125">
        <f>SUM(D52:D55)</f>
        <v>0</v>
      </c>
    </row>
    <row r="52" spans="1:4" s="107" customFormat="1" ht="11.1" customHeight="1" x14ac:dyDescent="0.25">
      <c r="A52" s="108"/>
      <c r="B52" s="123" t="s">
        <v>289</v>
      </c>
      <c r="C52" s="126"/>
      <c r="D52" s="127"/>
    </row>
    <row r="53" spans="1:4" s="107" customFormat="1" ht="11.1" customHeight="1" x14ac:dyDescent="0.25">
      <c r="A53" s="108"/>
      <c r="B53" s="123" t="s">
        <v>290</v>
      </c>
      <c r="C53" s="126"/>
      <c r="D53" s="127"/>
    </row>
    <row r="54" spans="1:4" s="107" customFormat="1" ht="11.1" customHeight="1" x14ac:dyDescent="0.25">
      <c r="A54" s="108"/>
      <c r="B54" s="123" t="s">
        <v>291</v>
      </c>
      <c r="C54" s="126"/>
      <c r="D54" s="127"/>
    </row>
    <row r="55" spans="1:4" s="107" customFormat="1" ht="11.1" customHeight="1" x14ac:dyDescent="0.25">
      <c r="A55" s="108"/>
      <c r="B55" s="123" t="s">
        <v>292</v>
      </c>
      <c r="C55" s="126"/>
      <c r="D55" s="127"/>
    </row>
    <row r="56" spans="1:4" s="107" customFormat="1" ht="11.25" customHeight="1" x14ac:dyDescent="0.25">
      <c r="A56" s="108"/>
      <c r="B56" s="109" t="s">
        <v>267</v>
      </c>
      <c r="C56" s="124">
        <f>SUM(C57:C60)</f>
        <v>0</v>
      </c>
      <c r="D56" s="125">
        <f>SUM(D57:D60)</f>
        <v>0</v>
      </c>
    </row>
    <row r="57" spans="1:4" s="107" customFormat="1" ht="11.1" customHeight="1" x14ac:dyDescent="0.25">
      <c r="A57" s="108"/>
      <c r="B57" s="123" t="s">
        <v>293</v>
      </c>
      <c r="C57" s="126"/>
      <c r="D57" s="127"/>
    </row>
    <row r="58" spans="1:4" s="107" customFormat="1" ht="11.1" customHeight="1" x14ac:dyDescent="0.25">
      <c r="A58" s="108"/>
      <c r="B58" s="123" t="s">
        <v>290</v>
      </c>
      <c r="C58" s="126"/>
      <c r="D58" s="127"/>
    </row>
    <row r="59" spans="1:4" s="107" customFormat="1" ht="11.1" customHeight="1" x14ac:dyDescent="0.25">
      <c r="A59" s="108"/>
      <c r="B59" s="123" t="s">
        <v>291</v>
      </c>
      <c r="C59" s="126"/>
      <c r="D59" s="127"/>
    </row>
    <row r="60" spans="1:4" s="107" customFormat="1" ht="11.1" customHeight="1" x14ac:dyDescent="0.25">
      <c r="A60" s="108"/>
      <c r="B60" s="123" t="s">
        <v>294</v>
      </c>
      <c r="C60" s="126"/>
      <c r="D60" s="127"/>
    </row>
    <row r="61" spans="1:4" s="107" customFormat="1" ht="12" customHeight="1" x14ac:dyDescent="0.25">
      <c r="A61" s="112" t="s">
        <v>295</v>
      </c>
      <c r="B61" s="113"/>
      <c r="C61" s="128">
        <f>C51-C56</f>
        <v>0</v>
      </c>
      <c r="D61" s="129">
        <f>D51-D56</f>
        <v>0</v>
      </c>
    </row>
    <row r="62" spans="1:4" s="107" customFormat="1" ht="2.25" customHeight="1" x14ac:dyDescent="0.25">
      <c r="A62" s="114"/>
      <c r="B62" s="115"/>
      <c r="C62" s="134"/>
      <c r="D62" s="135"/>
    </row>
    <row r="63" spans="1:4" s="107" customFormat="1" ht="12" customHeight="1" x14ac:dyDescent="0.25">
      <c r="A63" s="112" t="s">
        <v>296</v>
      </c>
      <c r="B63" s="117"/>
      <c r="C63" s="136">
        <f>C61+C48+C37</f>
        <v>-977085.81000000017</v>
      </c>
      <c r="D63" s="137">
        <f>D61+D48+D37</f>
        <v>4211020.9699999951</v>
      </c>
    </row>
    <row r="64" spans="1:4" ht="2.25" customHeight="1" x14ac:dyDescent="0.3">
      <c r="A64" s="118"/>
      <c r="B64" s="119"/>
      <c r="C64" s="134"/>
      <c r="D64" s="135"/>
    </row>
    <row r="65" spans="1:5" s="107" customFormat="1" ht="12" customHeight="1" x14ac:dyDescent="0.25">
      <c r="A65" s="112" t="s">
        <v>297</v>
      </c>
      <c r="B65" s="113"/>
      <c r="C65" s="126">
        <v>7383067.2399999946</v>
      </c>
      <c r="D65" s="126">
        <v>3172046.27</v>
      </c>
      <c r="E65" s="409" t="e">
        <f>IF(C65-'ETCA-I-01'!#REF!&gt;0.99,"ERROR!!!, NO COINCIDEN LOS MONTOS CON LO REPORTADO EN EL FORMATO ETCA-I-01 EN EL EJERCICIO 2015","")</f>
        <v>#REF!</v>
      </c>
    </row>
    <row r="66" spans="1:5" s="107" customFormat="1" ht="12" customHeight="1" thickBot="1" x14ac:dyDescent="0.3">
      <c r="A66" s="121" t="s">
        <v>298</v>
      </c>
      <c r="B66" s="120"/>
      <c r="C66" s="138">
        <f>C65+C63</f>
        <v>6405981.4299999941</v>
      </c>
      <c r="D66" s="139">
        <f>D65+D63</f>
        <v>7383067.2399999946</v>
      </c>
      <c r="E66" s="409" t="str">
        <f>IF(C66-'ETCA-I-01'!C9&gt;0.99,"ERROR!!!, NO COINCIDEN LOS MONTOS CON LO REPORTADO EN EL FORMATO ETCA-I-01 EN EL EJERCICIO 2016","")</f>
        <v/>
      </c>
    </row>
    <row r="67" spans="1:5" s="107" customFormat="1" ht="12" customHeight="1" x14ac:dyDescent="0.25">
      <c r="A67" s="107" t="s">
        <v>257</v>
      </c>
      <c r="E67" s="486"/>
    </row>
    <row r="68" spans="1:5" s="107" customFormat="1" ht="12" customHeight="1" x14ac:dyDescent="0.25">
      <c r="E68" s="486"/>
    </row>
    <row r="69" spans="1:5" s="107" customFormat="1" ht="12" customHeight="1" x14ac:dyDescent="0.25">
      <c r="A69" s="113"/>
      <c r="B69" s="117"/>
      <c r="C69" s="136"/>
      <c r="D69" s="136"/>
      <c r="E69" s="409"/>
    </row>
    <row r="70" spans="1:5" s="107" customFormat="1" ht="12" customHeight="1" x14ac:dyDescent="0.25">
      <c r="A70" s="113"/>
      <c r="B70" s="117"/>
      <c r="C70" s="136"/>
      <c r="D70" s="136"/>
      <c r="E70" s="409"/>
    </row>
    <row r="71" spans="1:5" s="107" customFormat="1" ht="12" customHeight="1" x14ac:dyDescent="0.25">
      <c r="A71" s="113"/>
      <c r="B71" s="117"/>
      <c r="C71" s="136"/>
      <c r="D71" s="136"/>
      <c r="E71" s="409"/>
    </row>
    <row r="72" spans="1:5" ht="12" customHeight="1" x14ac:dyDescent="0.3">
      <c r="A72" s="410" t="s">
        <v>258</v>
      </c>
    </row>
  </sheetData>
  <sheetProtection password="C035" sheet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4"/>
  <sheetViews>
    <sheetView view="pageBreakPreview" topLeftCell="A13" zoomScaleNormal="100" zoomScaleSheetLayoutView="100" workbookViewId="0">
      <selection activeCell="H14" sqref="H14"/>
    </sheetView>
  </sheetViews>
  <sheetFormatPr baseColWidth="10" defaultColWidth="11.28515625" defaultRowHeight="16.5" x14ac:dyDescent="0.25"/>
  <cols>
    <col min="1" max="1" width="1.28515625" style="103" customWidth="1"/>
    <col min="2" max="2" width="32.28515625" style="103" customWidth="1"/>
    <col min="3" max="7" width="12.7109375" style="103" customWidth="1"/>
    <col min="8" max="8" width="63.85546875" style="103" customWidth="1"/>
    <col min="9" max="16384" width="11.28515625" style="103"/>
  </cols>
  <sheetData>
    <row r="1" spans="1:8" x14ac:dyDescent="0.25">
      <c r="A1" s="1067" t="s">
        <v>25</v>
      </c>
      <c r="B1" s="1067"/>
      <c r="C1" s="1067"/>
      <c r="D1" s="1067"/>
      <c r="E1" s="1067"/>
      <c r="F1" s="1067"/>
      <c r="G1" s="1067"/>
    </row>
    <row r="2" spans="1:8" s="142" customFormat="1" ht="18" x14ac:dyDescent="0.25">
      <c r="A2" s="1067" t="s">
        <v>5</v>
      </c>
      <c r="B2" s="1067"/>
      <c r="C2" s="1067"/>
      <c r="D2" s="1067"/>
      <c r="E2" s="1067"/>
      <c r="F2" s="1067"/>
      <c r="G2" s="1067"/>
      <c r="H2" s="399"/>
    </row>
    <row r="3" spans="1:8" s="142" customFormat="1" ht="15.75" x14ac:dyDescent="0.25">
      <c r="A3" s="1068" t="str">
        <f>'ETCA-I-01'!A3</f>
        <v>Centro de Evaluacion y Control de Confianza del Estado de Sonora</v>
      </c>
      <c r="B3" s="1068"/>
      <c r="C3" s="1068"/>
      <c r="D3" s="1068"/>
      <c r="E3" s="1068"/>
      <c r="F3" s="1068"/>
      <c r="G3" s="1068"/>
    </row>
    <row r="4" spans="1:8" s="142" customFormat="1" x14ac:dyDescent="0.25">
      <c r="A4" s="1069" t="str">
        <f>'ETCA-I-03'!A4:D4</f>
        <v>Del 01 de Enero  al 31 de Marzo de 2018</v>
      </c>
      <c r="B4" s="1069"/>
      <c r="C4" s="1069"/>
      <c r="D4" s="1069"/>
      <c r="E4" s="1069"/>
      <c r="F4" s="1069"/>
      <c r="G4" s="1069"/>
    </row>
    <row r="5" spans="1:8" s="144" customFormat="1" ht="17.25" thickBot="1" x14ac:dyDescent="0.3">
      <c r="A5" s="143"/>
      <c r="B5" s="143"/>
      <c r="C5" s="1070" t="s">
        <v>299</v>
      </c>
      <c r="D5" s="1070"/>
      <c r="E5" s="143"/>
      <c r="F5" s="45"/>
      <c r="G5" s="143"/>
    </row>
    <row r="6" spans="1:8" s="145" customFormat="1" ht="50.25" thickBot="1" x14ac:dyDescent="0.3">
      <c r="A6" s="1065" t="s">
        <v>261</v>
      </c>
      <c r="B6" s="1066"/>
      <c r="C6" s="148" t="s">
        <v>300</v>
      </c>
      <c r="D6" s="148" t="s">
        <v>301</v>
      </c>
      <c r="E6" s="148" t="s">
        <v>302</v>
      </c>
      <c r="F6" s="148" t="s">
        <v>303</v>
      </c>
      <c r="G6" s="149" t="s">
        <v>304</v>
      </c>
    </row>
    <row r="7" spans="1:8" ht="20.100000000000001" customHeight="1" x14ac:dyDescent="0.25">
      <c r="A7" s="458"/>
      <c r="B7" s="459"/>
      <c r="C7" s="460"/>
      <c r="D7" s="460"/>
      <c r="E7" s="460"/>
      <c r="F7" s="460"/>
      <c r="G7" s="461"/>
    </row>
    <row r="8" spans="1:8" ht="20.100000000000001" customHeight="1" x14ac:dyDescent="0.25">
      <c r="A8" s="462" t="s">
        <v>28</v>
      </c>
      <c r="B8" s="463"/>
      <c r="C8" s="464">
        <f>C10+C19</f>
        <v>41990775.890000001</v>
      </c>
      <c r="D8" s="464">
        <f>D10+D19</f>
        <v>20049096.059999999</v>
      </c>
      <c r="E8" s="464">
        <f>E10+E19</f>
        <v>21265455.469999999</v>
      </c>
      <c r="F8" s="464">
        <f>F10+F19</f>
        <v>40774416.480000004</v>
      </c>
      <c r="G8" s="464">
        <f>G10+G19</f>
        <v>-1216359.4100000001</v>
      </c>
      <c r="H8" s="390" t="str">
        <f>IF(F8&lt;&gt;'ETCA-I-01'!B33,"ERROR!!!!! EL MONTO NO COINCIDE CON LO REPORTADO EN EL FORMATO ETCA-I-01 EN EL TOTAL ","")</f>
        <v/>
      </c>
    </row>
    <row r="9" spans="1:8" ht="20.100000000000001" customHeight="1" x14ac:dyDescent="0.25">
      <c r="A9" s="467"/>
      <c r="B9" s="468"/>
      <c r="C9" s="469"/>
      <c r="D9" s="469"/>
      <c r="E9" s="469"/>
      <c r="F9" s="469"/>
      <c r="G9" s="470"/>
    </row>
    <row r="10" spans="1:8" ht="20.100000000000001" customHeight="1" x14ac:dyDescent="0.25">
      <c r="A10" s="467"/>
      <c r="B10" s="468" t="s">
        <v>30</v>
      </c>
      <c r="C10" s="464">
        <f>SUM(C11:C17)</f>
        <v>11412903.670000002</v>
      </c>
      <c r="D10" s="464">
        <f>SUM(D11:D17)</f>
        <v>20025218.41</v>
      </c>
      <c r="E10" s="464">
        <f>SUM(E11:E17)</f>
        <v>21265455.469999999</v>
      </c>
      <c r="F10" s="465">
        <f>C10+D10-E10</f>
        <v>10172666.610000003</v>
      </c>
      <c r="G10" s="466">
        <f>F10-C10</f>
        <v>-1240237.0599999987</v>
      </c>
      <c r="H10" s="390" t="str">
        <f>IF(F10&lt;&gt;'ETCA-I-01'!B18,"ERROR!!!!! EL MONTO NO COINCIDE CON LO REPORTADO EN EL FORMATO ETCA-I-01 EN EL TOTAL","")</f>
        <v/>
      </c>
    </row>
    <row r="11" spans="1:8" ht="20.100000000000001" customHeight="1" x14ac:dyDescent="0.25">
      <c r="A11" s="471"/>
      <c r="B11" s="472" t="s">
        <v>32</v>
      </c>
      <c r="C11" s="469">
        <v>7383067.2400000021</v>
      </c>
      <c r="D11" s="469">
        <v>8734387.8200000003</v>
      </c>
      <c r="E11" s="469">
        <v>9711473.6300000008</v>
      </c>
      <c r="F11" s="473">
        <f>C11+D11-E11</f>
        <v>6405981.4300000016</v>
      </c>
      <c r="G11" s="474">
        <f>F11-C11</f>
        <v>-977085.81000000052</v>
      </c>
    </row>
    <row r="12" spans="1:8" ht="20.100000000000001" customHeight="1" x14ac:dyDescent="0.25">
      <c r="A12" s="471"/>
      <c r="B12" s="472" t="s">
        <v>34</v>
      </c>
      <c r="C12" s="469">
        <v>33859225.399999999</v>
      </c>
      <c r="D12" s="469">
        <v>11290830.59</v>
      </c>
      <c r="E12" s="469">
        <v>11553981.84</v>
      </c>
      <c r="F12" s="473">
        <v>33859225.399999999</v>
      </c>
      <c r="G12" s="474">
        <f t="shared" ref="G12:G17" si="0">F12-C12</f>
        <v>0</v>
      </c>
    </row>
    <row r="13" spans="1:8" ht="20.100000000000001" customHeight="1" x14ac:dyDescent="0.25">
      <c r="A13" s="471"/>
      <c r="B13" s="472" t="s">
        <v>36</v>
      </c>
      <c r="C13" s="103">
        <v>0</v>
      </c>
      <c r="D13" s="469">
        <v>0</v>
      </c>
      <c r="E13" s="469">
        <v>0</v>
      </c>
      <c r="F13" s="473">
        <v>0</v>
      </c>
      <c r="G13" s="474">
        <v>0</v>
      </c>
    </row>
    <row r="14" spans="1:8" ht="20.100000000000001" customHeight="1" x14ac:dyDescent="0.25">
      <c r="A14" s="471"/>
      <c r="B14" s="472" t="s">
        <v>38</v>
      </c>
      <c r="C14" s="469">
        <v>0</v>
      </c>
      <c r="D14" s="469">
        <v>0</v>
      </c>
      <c r="E14" s="469">
        <v>0</v>
      </c>
      <c r="F14" s="473">
        <f t="shared" ref="F14:F17" si="1">C14+D14-E14</f>
        <v>0</v>
      </c>
      <c r="G14" s="474">
        <f t="shared" si="0"/>
        <v>0</v>
      </c>
    </row>
    <row r="15" spans="1:8" ht="20.100000000000001" customHeight="1" x14ac:dyDescent="0.25">
      <c r="A15" s="471"/>
      <c r="B15" s="472" t="s">
        <v>40</v>
      </c>
      <c r="C15" s="469">
        <v>0</v>
      </c>
      <c r="D15" s="469">
        <v>0</v>
      </c>
      <c r="E15" s="469">
        <v>0</v>
      </c>
      <c r="F15" s="473">
        <f t="shared" si="1"/>
        <v>0</v>
      </c>
      <c r="G15" s="474">
        <f t="shared" si="0"/>
        <v>0</v>
      </c>
    </row>
    <row r="16" spans="1:8" ht="25.5" x14ac:dyDescent="0.25">
      <c r="A16" s="471"/>
      <c r="B16" s="472" t="s">
        <v>42</v>
      </c>
      <c r="C16" s="469">
        <v>-29829388.969999999</v>
      </c>
      <c r="D16" s="469"/>
      <c r="E16" s="469">
        <v>0</v>
      </c>
      <c r="F16" s="473"/>
      <c r="G16" s="474">
        <f t="shared" si="0"/>
        <v>29829388.969999999</v>
      </c>
    </row>
    <row r="17" spans="1:8" ht="20.100000000000001" customHeight="1" x14ac:dyDescent="0.25">
      <c r="A17" s="471"/>
      <c r="B17" s="472" t="s">
        <v>44</v>
      </c>
      <c r="C17" s="469"/>
      <c r="D17" s="469"/>
      <c r="E17" s="469"/>
      <c r="F17" s="473">
        <f t="shared" si="1"/>
        <v>0</v>
      </c>
      <c r="G17" s="474">
        <f t="shared" si="0"/>
        <v>0</v>
      </c>
    </row>
    <row r="18" spans="1:8" ht="20.100000000000001" customHeight="1" x14ac:dyDescent="0.25">
      <c r="A18" s="467"/>
      <c r="B18" s="468"/>
      <c r="C18" s="469"/>
      <c r="D18" s="469"/>
      <c r="E18" s="469"/>
      <c r="F18" s="469"/>
      <c r="G18" s="470"/>
    </row>
    <row r="19" spans="1:8" ht="20.100000000000001" customHeight="1" x14ac:dyDescent="0.25">
      <c r="A19" s="467"/>
      <c r="B19" s="468" t="s">
        <v>49</v>
      </c>
      <c r="C19" s="464">
        <f>SUM(C20:C28)</f>
        <v>30577872.220000003</v>
      </c>
      <c r="D19" s="464">
        <f>SUM(D20:D28)</f>
        <v>23877.65</v>
      </c>
      <c r="E19" s="464">
        <f>SUM(E20:E28)</f>
        <v>0</v>
      </c>
      <c r="F19" s="465">
        <f>C19+D19-E19</f>
        <v>30601749.870000001</v>
      </c>
      <c r="G19" s="466">
        <f>F19-C19</f>
        <v>23877.64999999851</v>
      </c>
      <c r="H19" s="390" t="str">
        <f>IF(F19&lt;&gt;'ETCA-I-01'!B31,"ERROR!!!!! EL MONTO NO COINCIDE CON LO REPORTADO EN EL FORMATO ETCA-I-01 EN EL TOTAL","")</f>
        <v/>
      </c>
    </row>
    <row r="20" spans="1:8" ht="20.100000000000001" customHeight="1" x14ac:dyDescent="0.25">
      <c r="A20" s="471"/>
      <c r="B20" s="472" t="s">
        <v>51</v>
      </c>
      <c r="C20" s="469"/>
      <c r="D20" s="469"/>
      <c r="E20" s="469"/>
      <c r="F20" s="473">
        <f>C20+D20-E20</f>
        <v>0</v>
      </c>
      <c r="G20" s="474">
        <f>F20-C20</f>
        <v>0</v>
      </c>
    </row>
    <row r="21" spans="1:8" ht="25.5" x14ac:dyDescent="0.25">
      <c r="A21" s="471"/>
      <c r="B21" s="472" t="s">
        <v>53</v>
      </c>
      <c r="C21" s="469"/>
      <c r="D21" s="469"/>
      <c r="E21" s="469"/>
      <c r="F21" s="473">
        <f t="shared" ref="F21:F26" si="2">C21+D21-E21</f>
        <v>0</v>
      </c>
      <c r="G21" s="474">
        <f t="shared" ref="G21:G26" si="3">F21-C21</f>
        <v>0</v>
      </c>
    </row>
    <row r="22" spans="1:8" ht="25.5" x14ac:dyDescent="0.25">
      <c r="A22" s="471"/>
      <c r="B22" s="472" t="s">
        <v>55</v>
      </c>
      <c r="C22" s="469">
        <v>18541158.350000001</v>
      </c>
      <c r="D22" s="469"/>
      <c r="E22" s="469"/>
      <c r="F22" s="473">
        <f t="shared" si="2"/>
        <v>18541158.350000001</v>
      </c>
      <c r="G22" s="474">
        <f t="shared" si="3"/>
        <v>0</v>
      </c>
    </row>
    <row r="23" spans="1:8" ht="20.100000000000001" customHeight="1" x14ac:dyDescent="0.25">
      <c r="A23" s="471"/>
      <c r="B23" s="472" t="s">
        <v>57</v>
      </c>
      <c r="C23" s="469">
        <v>24420168.280000001</v>
      </c>
      <c r="D23" s="469">
        <v>23877.65</v>
      </c>
      <c r="E23" s="469"/>
      <c r="F23" s="473">
        <f t="shared" si="2"/>
        <v>24444045.93</v>
      </c>
      <c r="G23" s="474">
        <f t="shared" si="3"/>
        <v>23877.64999999851</v>
      </c>
    </row>
    <row r="24" spans="1:8" ht="20.100000000000001" customHeight="1" x14ac:dyDescent="0.25">
      <c r="A24" s="471"/>
      <c r="B24" s="472" t="s">
        <v>59</v>
      </c>
      <c r="C24" s="469">
        <v>1340671.75</v>
      </c>
      <c r="D24" s="469"/>
      <c r="E24" s="469"/>
      <c r="F24" s="473">
        <f t="shared" si="2"/>
        <v>1340671.75</v>
      </c>
      <c r="G24" s="474">
        <f t="shared" si="3"/>
        <v>0</v>
      </c>
    </row>
    <row r="25" spans="1:8" ht="25.5" x14ac:dyDescent="0.25">
      <c r="A25" s="471"/>
      <c r="B25" s="472" t="s">
        <v>61</v>
      </c>
      <c r="C25" s="469">
        <v>-13724126.16</v>
      </c>
      <c r="D25" s="469"/>
      <c r="E25" s="469"/>
      <c r="F25" s="473">
        <f t="shared" si="2"/>
        <v>-13724126.16</v>
      </c>
      <c r="G25" s="474">
        <f t="shared" si="3"/>
        <v>0</v>
      </c>
    </row>
    <row r="26" spans="1:8" ht="20.100000000000001" customHeight="1" x14ac:dyDescent="0.25">
      <c r="A26" s="471"/>
      <c r="B26" s="472" t="s">
        <v>63</v>
      </c>
      <c r="C26" s="469"/>
      <c r="D26" s="469"/>
      <c r="E26" s="469"/>
      <c r="F26" s="473">
        <f t="shared" si="2"/>
        <v>0</v>
      </c>
      <c r="G26" s="474">
        <f t="shared" si="3"/>
        <v>0</v>
      </c>
    </row>
    <row r="27" spans="1:8" ht="25.5" x14ac:dyDescent="0.25">
      <c r="A27" s="471"/>
      <c r="B27" s="472" t="s">
        <v>64</v>
      </c>
      <c r="C27" s="469"/>
      <c r="D27" s="469"/>
      <c r="E27" s="469"/>
      <c r="F27" s="473">
        <f>C27+D27-E27</f>
        <v>0</v>
      </c>
      <c r="G27" s="474">
        <f>F27-C27</f>
        <v>0</v>
      </c>
    </row>
    <row r="28" spans="1:8" ht="20.100000000000001" customHeight="1" x14ac:dyDescent="0.25">
      <c r="A28" s="471"/>
      <c r="B28" s="472" t="s">
        <v>65</v>
      </c>
      <c r="C28" s="469"/>
      <c r="D28" s="469"/>
      <c r="E28" s="469"/>
      <c r="F28" s="473">
        <f>C28+D28-E28</f>
        <v>0</v>
      </c>
      <c r="G28" s="474">
        <f>F28-C28</f>
        <v>0</v>
      </c>
    </row>
    <row r="29" spans="1:8" ht="20.100000000000001" customHeight="1" thickBot="1" x14ac:dyDescent="0.3">
      <c r="A29" s="475"/>
      <c r="B29" s="476"/>
      <c r="C29" s="477"/>
      <c r="D29" s="477"/>
      <c r="E29" s="477"/>
      <c r="F29" s="477"/>
      <c r="G29" s="478"/>
    </row>
    <row r="30" spans="1:8" ht="20.100000000000001" customHeight="1" x14ac:dyDescent="0.25">
      <c r="A30" s="487" t="s">
        <v>257</v>
      </c>
      <c r="B30" s="258"/>
      <c r="C30" s="440"/>
      <c r="D30" s="440"/>
      <c r="E30" s="440"/>
      <c r="F30" s="440"/>
      <c r="G30" s="440"/>
    </row>
    <row r="31" spans="1:8" ht="20.100000000000001" customHeight="1" x14ac:dyDescent="0.25">
      <c r="A31" s="431"/>
      <c r="B31" s="431"/>
      <c r="C31" s="440"/>
      <c r="D31" s="440"/>
      <c r="E31" s="440"/>
      <c r="F31" s="440"/>
      <c r="G31" s="440"/>
    </row>
    <row r="32" spans="1:8" ht="20.100000000000001" customHeight="1" x14ac:dyDescent="0.25">
      <c r="A32" s="431"/>
      <c r="B32" s="431" t="s">
        <v>258</v>
      </c>
      <c r="C32" s="440"/>
      <c r="D32" s="440" t="s">
        <v>258</v>
      </c>
      <c r="E32" s="440"/>
      <c r="F32" s="440"/>
      <c r="G32" s="440"/>
    </row>
    <row r="33" spans="1:7" ht="20.100000000000001" customHeight="1" x14ac:dyDescent="0.25">
      <c r="A33" s="431"/>
      <c r="B33" s="431"/>
      <c r="C33" s="440"/>
      <c r="D33" s="440"/>
      <c r="E33" s="440"/>
      <c r="F33" s="440"/>
      <c r="G33" s="440"/>
    </row>
    <row r="34" spans="1:7" x14ac:dyDescent="0.25">
      <c r="A34" s="258" t="s">
        <v>258</v>
      </c>
      <c r="B34" s="258"/>
      <c r="C34" s="258"/>
      <c r="D34" s="258"/>
      <c r="E34" s="258"/>
      <c r="F34" s="258"/>
      <c r="G34" s="258"/>
    </row>
  </sheetData>
  <sheetProtection formatColumns="0" formatRows="0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41</vt:i4>
      </vt:variant>
    </vt:vector>
  </HeadingPairs>
  <TitlesOfParts>
    <vt:vector size="80" baseType="lpstr">
      <vt:lpstr>Hoja1</vt:lpstr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 III-02</vt:lpstr>
      <vt:lpstr>ETCA-III-03</vt:lpstr>
      <vt:lpstr>ETCA-IV-01</vt:lpstr>
      <vt:lpstr>ETCA-IV-02</vt:lpstr>
      <vt:lpstr>ETCA-IV-03</vt:lpstr>
      <vt:lpstr>ETCA-IV-05</vt:lpstr>
      <vt:lpstr>ANEXO</vt:lpstr>
      <vt:lpstr>'ETCA II-04'!Área_de_impresión</vt:lpstr>
      <vt:lpstr>'ETCA III-02'!Área_de_impresión</vt:lpstr>
      <vt:lpstr>'ETCA-I-01'!Área_de_impresión</vt:lpstr>
      <vt:lpstr>'ETCA-I-02'!Área_de_impresión</vt:lpstr>
      <vt:lpstr>'ETCA-I-03'!Área_de_impresión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'ETCA-IV-01'!Área_de_impresión</vt:lpstr>
      <vt:lpstr>'ETCA-IV-02'!Área_de_impresión</vt:lpstr>
      <vt:lpstr>'ETCA-IV-03'!Área_de_impresión</vt:lpstr>
      <vt:lpstr>'ETCA-IV-05'!Área_de_impresión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'ETCA-II-13'!Títulos_a_imprimir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Alba Elizabeth Miranda Ruiz</cp:lastModifiedBy>
  <cp:revision/>
  <cp:lastPrinted>2018-04-20T18:09:39Z</cp:lastPrinted>
  <dcterms:created xsi:type="dcterms:W3CDTF">2014-03-28T01:13:38Z</dcterms:created>
  <dcterms:modified xsi:type="dcterms:W3CDTF">2018-04-30T22:30:41Z</dcterms:modified>
</cp:coreProperties>
</file>