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defaultThemeVersion="124226"/>
  <bookViews>
    <workbookView xWindow="0" yWindow="0" windowWidth="9855" windowHeight="7485" tabRatio="898"/>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II-05" sheetId="82" r:id="rId34"/>
    <sheet name="ETCA-IV-01" sheetId="20" r:id="rId35"/>
    <sheet name="ETCA-IV-02" sheetId="54" r:id="rId36"/>
    <sheet name="ETCA-IV-03" sheetId="27" r:id="rId37"/>
    <sheet name="ANEXO" sheetId="64" r:id="rId38"/>
  </sheets>
  <externalReferences>
    <externalReference r:id="rId39"/>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1">'ETCA-I-01'!$A$1:$G$59</definedName>
    <definedName name="_xlnm.Print_Area" localSheetId="2">'ETCA-I-02'!$A$1:$G$77</definedName>
    <definedName name="_xlnm.Print_Area" localSheetId="3">'ETCA-I-03'!$A$1:$D$72</definedName>
    <definedName name="_xlnm.Print_Area" localSheetId="4">'ETCA-I-04'!$A$1:$F$46</definedName>
    <definedName name="_xlnm.Print_Area" localSheetId="6">'ETCA-I-06'!$A$1:$D$72</definedName>
    <definedName name="_xlnm.Print_Area" localSheetId="7">'ETCA-I-07'!$A$1:$G$34</definedName>
    <definedName name="_xlnm.Print_Area" localSheetId="8">'ETCA-I-08'!$A$1:$F$48</definedName>
    <definedName name="_xlnm.Print_Area" localSheetId="9">'ETCA-I-09'!$A$1:$I$43</definedName>
    <definedName name="_xlnm.Print_Area" localSheetId="11">'ETCA-I-11'!$A$1:$I$53</definedName>
    <definedName name="_xlnm.Print_Area" localSheetId="12">'ETCA-I-12 (NOTAS)'!$A$1:$J$50</definedName>
    <definedName name="_xlnm.Print_Area" localSheetId="13">'ETCA-II-01'!$A$1:$H$55</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'ETCA-II-07'!$A$1:$G$37</definedName>
    <definedName name="_xlnm.Print_Area" localSheetId="20">'ETCA-II-08'!$A$1:$G$41</definedName>
    <definedName name="_xlnm.Print_Area" localSheetId="21">'ETCA-II-09'!$A$1:$G$21</definedName>
    <definedName name="_xlnm.Print_Area" localSheetId="22">'ETCA-II-10'!$A$1:$G$27</definedName>
    <definedName name="_xlnm.Print_Area" localSheetId="23">'ETCA-II-11'!$A$1:$G$48</definedName>
    <definedName name="_xlnm.Print_Area" localSheetId="24">'ETCA-II-12'!$A$1:$H$86</definedName>
    <definedName name="_xlnm.Print_Area" localSheetId="25">'ETCA-II-13'!$A$1:$I$136</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4">'ETCA-IV-01'!$A$1:$E$32</definedName>
    <definedName name="_xlnm.Print_Area" localSheetId="35">'ETCA-IV-02'!$A$1:$E$93</definedName>
    <definedName name="_xlnm.Print_Area" localSheetId="36">'ETCA-IV-03'!$A$1:$D$29</definedName>
    <definedName name="_xlnm.Print_Area" localSheetId="0">'Lista  FORMATOS  '!$A$1:$C$56</definedName>
    <definedName name="_xlnm.Database" localSheetId="37">#REF!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4">#REF!</definedName>
    <definedName name="_xlnm.Database" localSheetId="36">#REF!</definedName>
    <definedName name="_xlnm.Database">#REF!</definedName>
    <definedName name="ppto">[1]Hoja2!$B$3:$M$95</definedName>
    <definedName name="qw" localSheetId="37">#REF!</definedName>
    <definedName name="qw" localSheetId="25">#REF!</definedName>
    <definedName name="qw">#REF!</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'ETCA-II-13'!$1:$8</definedName>
    <definedName name="_xlnm.Print_Titles" localSheetId="33">'ETCA-III-05'!$7:$8</definedName>
    <definedName name="_xlnm.Print_Titles" localSheetId="35">'ETCA-IV-02'!$1:$5</definedName>
  </definedNames>
  <calcPr calcId="124519"/>
  <fileRecoveryPr repairLoad="1"/>
</workbook>
</file>

<file path=xl/calcChain.xml><?xml version="1.0" encoding="utf-8"?>
<calcChain xmlns="http://schemas.openxmlformats.org/spreadsheetml/2006/main">
  <c r="S22" i="81"/>
  <c r="T22" s="1"/>
  <c r="S21"/>
  <c r="T21" s="1"/>
  <c r="S20"/>
  <c r="T20" s="1"/>
  <c r="S19"/>
  <c r="T19" s="1"/>
  <c r="S18"/>
  <c r="T18" s="1"/>
  <c r="S17"/>
  <c r="T17" s="1"/>
  <c r="S16"/>
  <c r="T16" s="1"/>
  <c r="S15"/>
  <c r="T15" s="1"/>
  <c r="S14"/>
  <c r="T14" s="1"/>
  <c r="S13"/>
  <c r="T13" s="1"/>
  <c r="S12"/>
  <c r="T12" s="1"/>
  <c r="D58" i="64" l="1"/>
  <c r="C58"/>
  <c r="E57"/>
  <c r="E56"/>
  <c r="E55"/>
  <c r="E54"/>
  <c r="E53"/>
  <c r="E52"/>
  <c r="E51"/>
  <c r="E50"/>
  <c r="E49"/>
  <c r="E48"/>
  <c r="E47"/>
  <c r="E46"/>
  <c r="E45"/>
  <c r="E44"/>
  <c r="E43"/>
  <c r="E42"/>
  <c r="E41"/>
  <c r="E40"/>
  <c r="E39"/>
  <c r="E38"/>
  <c r="E37"/>
  <c r="E36"/>
  <c r="E35"/>
  <c r="E33"/>
  <c r="E32"/>
  <c r="E31"/>
  <c r="E30"/>
  <c r="E29"/>
  <c r="E28"/>
  <c r="E27"/>
  <c r="E26"/>
  <c r="E25"/>
  <c r="E24"/>
  <c r="E23"/>
  <c r="E22"/>
  <c r="E21"/>
  <c r="E20"/>
  <c r="E19"/>
  <c r="E18"/>
  <c r="E17"/>
  <c r="E16"/>
  <c r="E15"/>
  <c r="E14"/>
  <c r="E13"/>
  <c r="E12"/>
  <c r="E11"/>
  <c r="E10"/>
  <c r="E8"/>
  <c r="E7"/>
  <c r="E5"/>
  <c r="E58" s="1"/>
  <c r="C21" i="42" l="1"/>
  <c r="D26" i="62"/>
  <c r="C25" i="72"/>
  <c r="C14" i="45"/>
  <c r="C10" i="44"/>
  <c r="G32" i="38"/>
  <c r="E131" i="50"/>
  <c r="D131"/>
  <c r="E10"/>
  <c r="D10"/>
  <c r="F32" i="38" l="1"/>
  <c r="E32"/>
  <c r="C32"/>
  <c r="E119" i="50"/>
  <c r="D119"/>
  <c r="G131"/>
  <c r="G119"/>
  <c r="F119"/>
  <c r="G70"/>
  <c r="F70"/>
  <c r="G49"/>
  <c r="F49"/>
  <c r="F131" l="1"/>
  <c r="C14" i="61"/>
  <c r="F53" i="70"/>
  <c r="E53"/>
  <c r="C53"/>
  <c r="B53"/>
  <c r="F33"/>
  <c r="E33"/>
  <c r="C33"/>
  <c r="B33"/>
  <c r="C131" i="50"/>
  <c r="I125"/>
  <c r="I124"/>
  <c r="E106"/>
  <c r="H106" s="1"/>
  <c r="H105"/>
  <c r="H10"/>
  <c r="H131" s="1"/>
  <c r="E129"/>
  <c r="H129" s="1"/>
  <c r="E128"/>
  <c r="H128" s="1"/>
  <c r="G127"/>
  <c r="F127"/>
  <c r="E127"/>
  <c r="H127" s="1"/>
  <c r="D127"/>
  <c r="C127"/>
  <c r="E125"/>
  <c r="H125" s="1"/>
  <c r="E124"/>
  <c r="H124" s="1"/>
  <c r="E123"/>
  <c r="H123" s="1"/>
  <c r="E122"/>
  <c r="H122" s="1"/>
  <c r="E121"/>
  <c r="H121" s="1"/>
  <c r="E120"/>
  <c r="H120" s="1"/>
  <c r="C119"/>
  <c r="E117"/>
  <c r="H117" s="1"/>
  <c r="E116"/>
  <c r="H116" s="1"/>
  <c r="E115"/>
  <c r="H115" s="1"/>
  <c r="E113"/>
  <c r="H113" s="1"/>
  <c r="E112"/>
  <c r="H112" s="1"/>
  <c r="E110"/>
  <c r="H110" s="1"/>
  <c r="E109"/>
  <c r="H109" s="1"/>
  <c r="E107"/>
  <c r="H107" s="1"/>
  <c r="E105"/>
  <c r="H103"/>
  <c r="E103"/>
  <c r="H102"/>
  <c r="E102"/>
  <c r="H101"/>
  <c r="E101"/>
  <c r="H100"/>
  <c r="E100"/>
  <c r="H99"/>
  <c r="E99"/>
  <c r="H98"/>
  <c r="E98"/>
  <c r="H96"/>
  <c r="E96"/>
  <c r="H95"/>
  <c r="E95"/>
  <c r="H94"/>
  <c r="E94"/>
  <c r="H93"/>
  <c r="E93"/>
  <c r="H92"/>
  <c r="E92"/>
  <c r="H90"/>
  <c r="E90"/>
  <c r="H89"/>
  <c r="E89"/>
  <c r="H88"/>
  <c r="E88"/>
  <c r="H87"/>
  <c r="E87"/>
  <c r="H86"/>
  <c r="E86"/>
  <c r="H84"/>
  <c r="E84"/>
  <c r="E83"/>
  <c r="H83" s="1"/>
  <c r="H82"/>
  <c r="E82"/>
  <c r="H81"/>
  <c r="E81"/>
  <c r="E80"/>
  <c r="H80" s="1"/>
  <c r="H78"/>
  <c r="E78"/>
  <c r="H77"/>
  <c r="E77"/>
  <c r="H76"/>
  <c r="E76"/>
  <c r="H75"/>
  <c r="E75"/>
  <c r="H74"/>
  <c r="E74"/>
  <c r="E73"/>
  <c r="H73" s="1"/>
  <c r="E72"/>
  <c r="H72" s="1"/>
  <c r="D70"/>
  <c r="C70"/>
  <c r="H68"/>
  <c r="E68"/>
  <c r="H67"/>
  <c r="E67"/>
  <c r="H65"/>
  <c r="E65"/>
  <c r="H63"/>
  <c r="E63"/>
  <c r="H61"/>
  <c r="E61"/>
  <c r="H59"/>
  <c r="E59"/>
  <c r="H58"/>
  <c r="E58"/>
  <c r="H56"/>
  <c r="E56"/>
  <c r="H54"/>
  <c r="E54"/>
  <c r="E53"/>
  <c r="H53" s="1"/>
  <c r="E52"/>
  <c r="H52" s="1"/>
  <c r="H51"/>
  <c r="E51"/>
  <c r="D49"/>
  <c r="C49"/>
  <c r="H47"/>
  <c r="E47"/>
  <c r="H45"/>
  <c r="E45"/>
  <c r="H44"/>
  <c r="E44"/>
  <c r="H43"/>
  <c r="E43"/>
  <c r="H42"/>
  <c r="E42"/>
  <c r="H41"/>
  <c r="E41"/>
  <c r="H40"/>
  <c r="E40"/>
  <c r="H38"/>
  <c r="E38"/>
  <c r="H37"/>
  <c r="E37"/>
  <c r="H36"/>
  <c r="E36"/>
  <c r="H32"/>
  <c r="E32"/>
  <c r="H29"/>
  <c r="E29"/>
  <c r="H28"/>
  <c r="E28"/>
  <c r="H21"/>
  <c r="E21"/>
  <c r="H17"/>
  <c r="E17"/>
  <c r="H14"/>
  <c r="E14"/>
  <c r="H13"/>
  <c r="E13"/>
  <c r="G10"/>
  <c r="F10"/>
  <c r="C10"/>
  <c r="E49" l="1"/>
  <c r="H49" s="1"/>
  <c r="H119"/>
  <c r="E70"/>
  <c r="H70" s="1"/>
  <c r="C39" i="74" l="1"/>
  <c r="B57" i="51"/>
  <c r="C30" i="1"/>
  <c r="F42" i="2"/>
  <c r="B31"/>
  <c r="B18"/>
  <c r="D30" i="1"/>
  <c r="D65" i="23"/>
  <c r="F11" i="61" l="1"/>
  <c r="E11"/>
  <c r="B32" i="38"/>
  <c r="F17" i="61" l="1"/>
  <c r="F16"/>
  <c r="F15"/>
  <c r="F14"/>
  <c r="F13"/>
  <c r="F12"/>
  <c r="E17"/>
  <c r="E16"/>
  <c r="E15"/>
  <c r="E14"/>
  <c r="E13"/>
  <c r="E12"/>
  <c r="C17"/>
  <c r="C16"/>
  <c r="C15"/>
  <c r="C13"/>
  <c r="C12"/>
  <c r="C11"/>
  <c r="C10" s="1"/>
  <c r="C31" s="1"/>
  <c r="B17"/>
  <c r="B16"/>
  <c r="B15"/>
  <c r="B14"/>
  <c r="B13"/>
  <c r="B12"/>
  <c r="B11"/>
  <c r="A17"/>
  <c r="A16"/>
  <c r="A15"/>
  <c r="A14"/>
  <c r="A13"/>
  <c r="A12"/>
  <c r="A11"/>
  <c r="B10" l="1"/>
  <c r="F10" i="65"/>
  <c r="E10"/>
  <c r="E9" i="37" l="1"/>
  <c r="G27" i="71"/>
  <c r="F27"/>
  <c r="G22"/>
  <c r="F22"/>
  <c r="D27"/>
  <c r="D22"/>
  <c r="C27"/>
  <c r="C22"/>
  <c r="G17"/>
  <c r="F17"/>
  <c r="D17"/>
  <c r="C17"/>
  <c r="F75" i="70"/>
  <c r="G78" i="71" s="1"/>
  <c r="E75" i="70"/>
  <c r="F78" i="71" s="1"/>
  <c r="F74" i="70"/>
  <c r="G77" i="71" s="1"/>
  <c r="E74" i="70"/>
  <c r="F77" i="71" s="1"/>
  <c r="C75" i="70"/>
  <c r="D78" i="71" s="1"/>
  <c r="C74" i="70"/>
  <c r="D77" i="71" s="1"/>
  <c r="B75" i="70"/>
  <c r="C78" i="71" s="1"/>
  <c r="B74" i="70"/>
  <c r="C77" i="71" s="1"/>
  <c r="G55"/>
  <c r="F55"/>
  <c r="F49" i="70"/>
  <c r="G51" i="71" s="1"/>
  <c r="E49" i="70"/>
  <c r="F51" i="71" s="1"/>
  <c r="F48" i="70"/>
  <c r="E48"/>
  <c r="D55" i="71"/>
  <c r="C49" i="70"/>
  <c r="D51" i="71" s="1"/>
  <c r="C48" i="70"/>
  <c r="C55" i="71"/>
  <c r="B49" i="70"/>
  <c r="C51" i="71" s="1"/>
  <c r="B48" i="70"/>
  <c r="C50" i="71" s="1"/>
  <c r="F36" i="70"/>
  <c r="G38" i="71" s="1"/>
  <c r="E36" i="70"/>
  <c r="F38" i="71" s="1"/>
  <c r="F35" i="70"/>
  <c r="G37" i="71" s="1"/>
  <c r="E35" i="70"/>
  <c r="F37" i="71" s="1"/>
  <c r="F34" i="70"/>
  <c r="G36" i="71" s="1"/>
  <c r="E34" i="70"/>
  <c r="F36" i="71" s="1"/>
  <c r="G35"/>
  <c r="F35"/>
  <c r="F32" i="70"/>
  <c r="G34" i="71" s="1"/>
  <c r="E32" i="70"/>
  <c r="F34" i="71" s="1"/>
  <c r="F31" i="70"/>
  <c r="G33" i="71" s="1"/>
  <c r="E31" i="70"/>
  <c r="F33" i="71" s="1"/>
  <c r="F30" i="70"/>
  <c r="G32" i="71" s="1"/>
  <c r="E30" i="70"/>
  <c r="F32" i="71" s="1"/>
  <c r="F29" i="70"/>
  <c r="G31" i="71" s="1"/>
  <c r="E29" i="70"/>
  <c r="F31" i="71" s="1"/>
  <c r="F28" i="70"/>
  <c r="E28"/>
  <c r="E27" s="1"/>
  <c r="C36"/>
  <c r="D38" i="71" s="1"/>
  <c r="C35" i="70"/>
  <c r="D37" i="71" s="1"/>
  <c r="C34" i="70"/>
  <c r="D36" i="71" s="1"/>
  <c r="D35"/>
  <c r="C32" i="70"/>
  <c r="D34" i="71" s="1"/>
  <c r="C31" i="70"/>
  <c r="D33" i="71" s="1"/>
  <c r="C30" i="70"/>
  <c r="D32" i="71" s="1"/>
  <c r="C29" i="70"/>
  <c r="D31" i="71" s="1"/>
  <c r="C28" i="70"/>
  <c r="D30" i="71" s="1"/>
  <c r="B36" i="70"/>
  <c r="C38" i="71" s="1"/>
  <c r="B35" i="70"/>
  <c r="C37" i="71" s="1"/>
  <c r="B34" i="70"/>
  <c r="C36" i="71" s="1"/>
  <c r="C35"/>
  <c r="B32" i="70"/>
  <c r="C34" i="71" s="1"/>
  <c r="B31" i="70"/>
  <c r="C33" i="71" s="1"/>
  <c r="B30" i="70"/>
  <c r="C32" i="71" s="1"/>
  <c r="B29" i="70"/>
  <c r="C31" i="71" s="1"/>
  <c r="B28" i="70"/>
  <c r="C30" i="71" s="1"/>
  <c r="F26" i="70"/>
  <c r="G28" i="71" s="1"/>
  <c r="E26" i="70"/>
  <c r="F28" i="71" s="1"/>
  <c r="F24" i="70"/>
  <c r="G26" i="71" s="1"/>
  <c r="E24" i="70"/>
  <c r="F26" i="71" s="1"/>
  <c r="F23" i="70"/>
  <c r="G25" i="71" s="1"/>
  <c r="E23" i="70"/>
  <c r="F25" i="71" s="1"/>
  <c r="F22" i="70"/>
  <c r="G24" i="71" s="1"/>
  <c r="E22" i="70"/>
  <c r="F24" i="71" s="1"/>
  <c r="F21" i="70"/>
  <c r="G23" i="71" s="1"/>
  <c r="E21" i="70"/>
  <c r="F23" i="71" s="1"/>
  <c r="F19" i="70"/>
  <c r="G21" i="71" s="1"/>
  <c r="E19" i="70"/>
  <c r="F21" i="71" s="1"/>
  <c r="F18" i="70"/>
  <c r="F17" s="1"/>
  <c r="E18"/>
  <c r="E17" s="1"/>
  <c r="C26"/>
  <c r="D28" i="71" s="1"/>
  <c r="C24" i="70"/>
  <c r="D26" i="71" s="1"/>
  <c r="C23" i="70"/>
  <c r="D25" i="71" s="1"/>
  <c r="C22" i="70"/>
  <c r="D24" i="71" s="1"/>
  <c r="C21" i="70"/>
  <c r="D23" i="71" s="1"/>
  <c r="C19" i="70"/>
  <c r="D21" i="71" s="1"/>
  <c r="C18" i="70"/>
  <c r="D20" i="71" s="1"/>
  <c r="B26" i="70"/>
  <c r="C28" i="71" s="1"/>
  <c r="B24" i="70"/>
  <c r="C26" i="71" s="1"/>
  <c r="B23" i="70"/>
  <c r="C25" i="71" s="1"/>
  <c r="B22" i="70"/>
  <c r="C24" i="71" s="1"/>
  <c r="B21" i="70"/>
  <c r="C23" i="71" s="1"/>
  <c r="B19" i="70"/>
  <c r="C21" i="71" s="1"/>
  <c r="B18" i="70"/>
  <c r="C20" i="71" s="1"/>
  <c r="F16" i="70"/>
  <c r="G18" i="71" s="1"/>
  <c r="E16" i="70"/>
  <c r="F18" i="71" s="1"/>
  <c r="F14" i="70"/>
  <c r="G16" i="71" s="1"/>
  <c r="E14" i="70"/>
  <c r="F16" i="71" s="1"/>
  <c r="F13" i="70"/>
  <c r="G15" i="71" s="1"/>
  <c r="E13" i="70"/>
  <c r="F15" i="71" s="1"/>
  <c r="F12" i="70"/>
  <c r="G14" i="71" s="1"/>
  <c r="E12" i="70"/>
  <c r="F14" i="71" s="1"/>
  <c r="F11" i="70"/>
  <c r="G13" i="71" s="1"/>
  <c r="E11" i="70"/>
  <c r="F13" i="71" s="1"/>
  <c r="F10" i="70"/>
  <c r="F9" s="1"/>
  <c r="E10"/>
  <c r="E9" s="1"/>
  <c r="C16"/>
  <c r="D18" i="71" s="1"/>
  <c r="C14" i="70"/>
  <c r="D16" i="71" s="1"/>
  <c r="C13" i="70"/>
  <c r="D15" i="71" s="1"/>
  <c r="C12" i="70"/>
  <c r="D14" i="71" s="1"/>
  <c r="C11" i="70"/>
  <c r="D13" i="71" s="1"/>
  <c r="C10" i="70"/>
  <c r="B16"/>
  <c r="C18" i="71" s="1"/>
  <c r="B14" i="70"/>
  <c r="C16" i="71" s="1"/>
  <c r="B13" i="70"/>
  <c r="C15" i="71" s="1"/>
  <c r="B12" i="70"/>
  <c r="C14" i="71" s="1"/>
  <c r="B11" i="70"/>
  <c r="C13" i="71" s="1"/>
  <c r="B10" i="70"/>
  <c r="C12" i="71" s="1"/>
  <c r="I129" i="50"/>
  <c r="F11" i="37"/>
  <c r="E11"/>
  <c r="C11"/>
  <c r="B11"/>
  <c r="I122" i="50"/>
  <c r="I120"/>
  <c r="F10" i="37"/>
  <c r="E10"/>
  <c r="C10"/>
  <c r="I118" i="50"/>
  <c r="I116"/>
  <c r="I114"/>
  <c r="I112"/>
  <c r="I111"/>
  <c r="I110"/>
  <c r="I108"/>
  <c r="I106"/>
  <c r="I105"/>
  <c r="I104"/>
  <c r="I102"/>
  <c r="I100"/>
  <c r="I98"/>
  <c r="I97"/>
  <c r="I96"/>
  <c r="I94"/>
  <c r="I92"/>
  <c r="I91"/>
  <c r="I90"/>
  <c r="I88"/>
  <c r="I86"/>
  <c r="I83"/>
  <c r="I81"/>
  <c r="I79"/>
  <c r="I77"/>
  <c r="I75"/>
  <c r="I73"/>
  <c r="I71"/>
  <c r="F9" i="37"/>
  <c r="F15" s="1"/>
  <c r="I69" i="50"/>
  <c r="I67"/>
  <c r="I66"/>
  <c r="I65"/>
  <c r="I64"/>
  <c r="I63"/>
  <c r="I62"/>
  <c r="I61"/>
  <c r="I60"/>
  <c r="I59"/>
  <c r="I57"/>
  <c r="I55"/>
  <c r="I53"/>
  <c r="I51"/>
  <c r="I50"/>
  <c r="I48"/>
  <c r="I47"/>
  <c r="I46"/>
  <c r="I45"/>
  <c r="I43"/>
  <c r="I41"/>
  <c r="I39"/>
  <c r="I37"/>
  <c r="I35"/>
  <c r="I34"/>
  <c r="I33"/>
  <c r="I31"/>
  <c r="I30"/>
  <c r="I29"/>
  <c r="I27"/>
  <c r="I26"/>
  <c r="I25"/>
  <c r="I24"/>
  <c r="I23"/>
  <c r="I22"/>
  <c r="I21"/>
  <c r="I20"/>
  <c r="I19"/>
  <c r="I18"/>
  <c r="I17"/>
  <c r="I16"/>
  <c r="I15"/>
  <c r="I13"/>
  <c r="I12"/>
  <c r="I11"/>
  <c r="C10" i="65"/>
  <c r="D12" i="71" l="1"/>
  <c r="D11" s="1"/>
  <c r="C9" i="70"/>
  <c r="F50" i="71"/>
  <c r="F49" s="1"/>
  <c r="E47" i="70"/>
  <c r="G30" i="71"/>
  <c r="G29" s="1"/>
  <c r="F27" i="70"/>
  <c r="D50" i="71"/>
  <c r="D49" s="1"/>
  <c r="C47" i="70"/>
  <c r="G50" i="71"/>
  <c r="G49" s="1"/>
  <c r="F47" i="70"/>
  <c r="B10" i="37"/>
  <c r="C9"/>
  <c r="C15" s="1"/>
  <c r="B9"/>
  <c r="B10" i="65"/>
  <c r="F30" i="71"/>
  <c r="F29" s="1"/>
  <c r="G12"/>
  <c r="G11" s="1"/>
  <c r="G20"/>
  <c r="G19" s="1"/>
  <c r="F12"/>
  <c r="F11" s="1"/>
  <c r="F20"/>
  <c r="F19" s="1"/>
  <c r="I14" i="50"/>
  <c r="I36"/>
  <c r="I121"/>
  <c r="I123"/>
  <c r="I38"/>
  <c r="I56"/>
  <c r="I80"/>
  <c r="I82"/>
  <c r="I84"/>
  <c r="I87"/>
  <c r="I89"/>
  <c r="I99"/>
  <c r="I101"/>
  <c r="I103"/>
  <c r="I107"/>
  <c r="I113"/>
  <c r="I28"/>
  <c r="I32"/>
  <c r="I40"/>
  <c r="I42"/>
  <c r="I44"/>
  <c r="I52"/>
  <c r="I54"/>
  <c r="I58"/>
  <c r="I68"/>
  <c r="I72"/>
  <c r="I74"/>
  <c r="I76"/>
  <c r="I78"/>
  <c r="I93"/>
  <c r="I95"/>
  <c r="I109"/>
  <c r="I115"/>
  <c r="I117"/>
  <c r="I128"/>
  <c r="I119" l="1"/>
  <c r="B21" i="42"/>
  <c r="C26" i="62"/>
  <c r="B25" i="72"/>
  <c r="B14" i="45"/>
  <c r="B10" i="44"/>
  <c r="D10" s="1"/>
  <c r="F21" i="42"/>
  <c r="F25" i="72"/>
  <c r="F14" i="45"/>
  <c r="G26" i="62"/>
  <c r="F10" i="44"/>
  <c r="E21" i="42"/>
  <c r="F26" i="62"/>
  <c r="E25" i="72"/>
  <c r="E14" i="45"/>
  <c r="E10" i="44"/>
  <c r="I131" i="50"/>
  <c r="I127"/>
  <c r="I70"/>
  <c r="I10"/>
  <c r="I49"/>
  <c r="G10" i="44" l="1"/>
  <c r="G16" i="51"/>
  <c r="G9" s="1"/>
  <c r="B8" i="74"/>
  <c r="D20" i="19"/>
  <c r="B6" i="80"/>
  <c r="F6" s="1"/>
  <c r="C8" i="74"/>
  <c r="F31" i="2"/>
  <c r="C24" i="51"/>
  <c r="A1" i="80"/>
  <c r="A3"/>
  <c r="F38"/>
  <c r="F37"/>
  <c r="E36"/>
  <c r="F36" s="1"/>
  <c r="F34"/>
  <c r="F33"/>
  <c r="F32"/>
  <c r="F31"/>
  <c r="F30"/>
  <c r="D29"/>
  <c r="C29"/>
  <c r="F27"/>
  <c r="F26"/>
  <c r="F25"/>
  <c r="B24"/>
  <c r="F24" s="1"/>
  <c r="F20"/>
  <c r="F19"/>
  <c r="E18"/>
  <c r="F18" s="1"/>
  <c r="F16"/>
  <c r="F15"/>
  <c r="F14"/>
  <c r="F13"/>
  <c r="F12"/>
  <c r="D11"/>
  <c r="D22" s="1"/>
  <c r="C11"/>
  <c r="F9"/>
  <c r="F8"/>
  <c r="F7"/>
  <c r="E40"/>
  <c r="E22"/>
  <c r="A5" i="50"/>
  <c r="A5" i="62"/>
  <c r="H21" i="44"/>
  <c r="A5" i="61"/>
  <c r="J19" i="52"/>
  <c r="J18"/>
  <c r="A4"/>
  <c r="F29" i="75"/>
  <c r="E29"/>
  <c r="F24"/>
  <c r="F35" s="1"/>
  <c r="E24"/>
  <c r="E35" s="1"/>
  <c r="F15"/>
  <c r="E15"/>
  <c r="F10"/>
  <c r="F21" s="1"/>
  <c r="E10"/>
  <c r="E21" s="1"/>
  <c r="A4"/>
  <c r="A3"/>
  <c r="A4" i="74"/>
  <c r="A3"/>
  <c r="C60"/>
  <c r="B60"/>
  <c r="C53"/>
  <c r="B53"/>
  <c r="C48"/>
  <c r="B48"/>
  <c r="B39"/>
  <c r="C29"/>
  <c r="B29"/>
  <c r="C17"/>
  <c r="B17"/>
  <c r="A5" i="65"/>
  <c r="E10" i="21"/>
  <c r="E11"/>
  <c r="E12"/>
  <c r="E13"/>
  <c r="D44" i="72"/>
  <c r="G44" s="1"/>
  <c r="D43"/>
  <c r="G43"/>
  <c r="D42"/>
  <c r="G42" s="1"/>
  <c r="D41"/>
  <c r="G41" s="1"/>
  <c r="F40"/>
  <c r="E40"/>
  <c r="C40"/>
  <c r="B40"/>
  <c r="D40" s="1"/>
  <c r="G40" s="1"/>
  <c r="G39"/>
  <c r="D39"/>
  <c r="D38"/>
  <c r="G38"/>
  <c r="D37"/>
  <c r="G37"/>
  <c r="D36"/>
  <c r="G36"/>
  <c r="D35"/>
  <c r="G35"/>
  <c r="D34"/>
  <c r="G34"/>
  <c r="D33"/>
  <c r="G33"/>
  <c r="D32"/>
  <c r="G32" s="1"/>
  <c r="D31"/>
  <c r="G31" s="1"/>
  <c r="D30"/>
  <c r="G30" s="1"/>
  <c r="F29"/>
  <c r="E29"/>
  <c r="C29"/>
  <c r="B29"/>
  <c r="D29" s="1"/>
  <c r="G29" s="1"/>
  <c r="G28"/>
  <c r="D28"/>
  <c r="D27"/>
  <c r="G27" s="1"/>
  <c r="D26"/>
  <c r="G26" s="1"/>
  <c r="D25"/>
  <c r="G25" s="1"/>
  <c r="D24"/>
  <c r="G24" s="1"/>
  <c r="D23"/>
  <c r="G23" s="1"/>
  <c r="D22"/>
  <c r="G22" s="1"/>
  <c r="D21"/>
  <c r="G21" s="1"/>
  <c r="F20"/>
  <c r="E20"/>
  <c r="C20"/>
  <c r="C45" s="1"/>
  <c r="B20"/>
  <c r="G19"/>
  <c r="D19"/>
  <c r="D18"/>
  <c r="G18" s="1"/>
  <c r="D17"/>
  <c r="G17" s="1"/>
  <c r="D16"/>
  <c r="G16" s="1"/>
  <c r="D15"/>
  <c r="G15" s="1"/>
  <c r="D14"/>
  <c r="G14" s="1"/>
  <c r="D13"/>
  <c r="G13" s="1"/>
  <c r="D12"/>
  <c r="G12" s="1"/>
  <c r="D11"/>
  <c r="G11" s="1"/>
  <c r="F10"/>
  <c r="E10"/>
  <c r="C10"/>
  <c r="B10"/>
  <c r="D10" s="1"/>
  <c r="G10" s="1"/>
  <c r="A5"/>
  <c r="A4"/>
  <c r="E158" i="71"/>
  <c r="E157"/>
  <c r="H157" s="1"/>
  <c r="E156"/>
  <c r="H156" s="1"/>
  <c r="E155"/>
  <c r="H155" s="1"/>
  <c r="E154"/>
  <c r="H154" s="1"/>
  <c r="E153"/>
  <c r="E152"/>
  <c r="H152"/>
  <c r="E151"/>
  <c r="H151"/>
  <c r="G150"/>
  <c r="F150"/>
  <c r="D150"/>
  <c r="C150"/>
  <c r="E149"/>
  <c r="H149"/>
  <c r="E148"/>
  <c r="H148"/>
  <c r="E147"/>
  <c r="G146"/>
  <c r="F146"/>
  <c r="D146"/>
  <c r="C146"/>
  <c r="E145"/>
  <c r="H145" s="1"/>
  <c r="E144"/>
  <c r="H144" s="1"/>
  <c r="E143"/>
  <c r="H143" s="1"/>
  <c r="E142"/>
  <c r="H142" s="1"/>
  <c r="E141"/>
  <c r="H141" s="1"/>
  <c r="E140"/>
  <c r="H140"/>
  <c r="E139"/>
  <c r="H139"/>
  <c r="E138"/>
  <c r="H138"/>
  <c r="G137"/>
  <c r="F137"/>
  <c r="D137"/>
  <c r="C137"/>
  <c r="E136"/>
  <c r="H136"/>
  <c r="E135"/>
  <c r="H135"/>
  <c r="E134"/>
  <c r="H134"/>
  <c r="H133" s="1"/>
  <c r="G133"/>
  <c r="F133"/>
  <c r="D133"/>
  <c r="C133"/>
  <c r="E132"/>
  <c r="H132"/>
  <c r="E131"/>
  <c r="H131"/>
  <c r="E130"/>
  <c r="H130"/>
  <c r="E129"/>
  <c r="H129"/>
  <c r="E128"/>
  <c r="H128"/>
  <c r="E127"/>
  <c r="H127"/>
  <c r="E126"/>
  <c r="H126"/>
  <c r="E125"/>
  <c r="H125"/>
  <c r="E124"/>
  <c r="H124"/>
  <c r="H123" s="1"/>
  <c r="G123"/>
  <c r="F123"/>
  <c r="D123"/>
  <c r="C123"/>
  <c r="E122"/>
  <c r="H122"/>
  <c r="E121"/>
  <c r="H121"/>
  <c r="E120"/>
  <c r="H120"/>
  <c r="E119"/>
  <c r="H119"/>
  <c r="E118"/>
  <c r="H118"/>
  <c r="E117"/>
  <c r="H117"/>
  <c r="E116"/>
  <c r="H116"/>
  <c r="E115"/>
  <c r="H115"/>
  <c r="E114"/>
  <c r="H114"/>
  <c r="H113" s="1"/>
  <c r="G113"/>
  <c r="F113"/>
  <c r="D113"/>
  <c r="C113"/>
  <c r="E112"/>
  <c r="H112"/>
  <c r="E111"/>
  <c r="H111"/>
  <c r="E110"/>
  <c r="H110"/>
  <c r="E109"/>
  <c r="H109"/>
  <c r="E108"/>
  <c r="H108"/>
  <c r="E107"/>
  <c r="H107"/>
  <c r="E106"/>
  <c r="H106"/>
  <c r="E105"/>
  <c r="H105"/>
  <c r="E104"/>
  <c r="H104"/>
  <c r="H103" s="1"/>
  <c r="G103"/>
  <c r="F103"/>
  <c r="D103"/>
  <c r="C103"/>
  <c r="E102"/>
  <c r="H102"/>
  <c r="E101"/>
  <c r="H101"/>
  <c r="E100"/>
  <c r="H100"/>
  <c r="E99"/>
  <c r="H99"/>
  <c r="E98"/>
  <c r="H98"/>
  <c r="E97"/>
  <c r="H97"/>
  <c r="E96"/>
  <c r="H96"/>
  <c r="E95"/>
  <c r="H95"/>
  <c r="E94"/>
  <c r="H94"/>
  <c r="G93"/>
  <c r="F93"/>
  <c r="D93"/>
  <c r="C93"/>
  <c r="E92"/>
  <c r="H92"/>
  <c r="E91"/>
  <c r="H91"/>
  <c r="E90"/>
  <c r="H90"/>
  <c r="E89"/>
  <c r="E88"/>
  <c r="H88" s="1"/>
  <c r="E87"/>
  <c r="H87" s="1"/>
  <c r="E86"/>
  <c r="G85"/>
  <c r="F85"/>
  <c r="F84" s="1"/>
  <c r="D85"/>
  <c r="C85"/>
  <c r="C84" s="1"/>
  <c r="E83"/>
  <c r="H83" s="1"/>
  <c r="H82"/>
  <c r="E82"/>
  <c r="E81"/>
  <c r="H81" s="1"/>
  <c r="E80"/>
  <c r="H80" s="1"/>
  <c r="E79"/>
  <c r="H79" s="1"/>
  <c r="E78"/>
  <c r="H78" s="1"/>
  <c r="E77"/>
  <c r="G76"/>
  <c r="F76"/>
  <c r="D76"/>
  <c r="C76"/>
  <c r="E75"/>
  <c r="H75" s="1"/>
  <c r="E74"/>
  <c r="H74" s="1"/>
  <c r="E73"/>
  <c r="H73" s="1"/>
  <c r="G72"/>
  <c r="F72"/>
  <c r="D72"/>
  <c r="C72"/>
  <c r="E71"/>
  <c r="H71" s="1"/>
  <c r="E70"/>
  <c r="H70" s="1"/>
  <c r="E69"/>
  <c r="H69" s="1"/>
  <c r="E68"/>
  <c r="H68" s="1"/>
  <c r="E67"/>
  <c r="H67" s="1"/>
  <c r="E66"/>
  <c r="H66" s="1"/>
  <c r="E65"/>
  <c r="E64"/>
  <c r="H64" s="1"/>
  <c r="G63"/>
  <c r="F63"/>
  <c r="D63"/>
  <c r="C63"/>
  <c r="E62"/>
  <c r="H62" s="1"/>
  <c r="E61"/>
  <c r="H61" s="1"/>
  <c r="E60"/>
  <c r="H60" s="1"/>
  <c r="H59" s="1"/>
  <c r="G59"/>
  <c r="F59"/>
  <c r="D59"/>
  <c r="C59"/>
  <c r="E58"/>
  <c r="H58" s="1"/>
  <c r="E57"/>
  <c r="H57" s="1"/>
  <c r="E56"/>
  <c r="H56" s="1"/>
  <c r="E55"/>
  <c r="H55" s="1"/>
  <c r="E54"/>
  <c r="H54" s="1"/>
  <c r="E53"/>
  <c r="H53" s="1"/>
  <c r="E52"/>
  <c r="H52"/>
  <c r="E51"/>
  <c r="H51" s="1"/>
  <c r="E50"/>
  <c r="C49"/>
  <c r="E48"/>
  <c r="H48"/>
  <c r="E47"/>
  <c r="H47"/>
  <c r="E46"/>
  <c r="H46"/>
  <c r="E45"/>
  <c r="H45"/>
  <c r="E44"/>
  <c r="H44"/>
  <c r="E43"/>
  <c r="E42"/>
  <c r="H42" s="1"/>
  <c r="E41"/>
  <c r="H41" s="1"/>
  <c r="E40"/>
  <c r="H40" s="1"/>
  <c r="G39"/>
  <c r="F39"/>
  <c r="D39"/>
  <c r="C39"/>
  <c r="E38"/>
  <c r="H38" s="1"/>
  <c r="E37"/>
  <c r="H37" s="1"/>
  <c r="E36"/>
  <c r="H36" s="1"/>
  <c r="E35"/>
  <c r="H35" s="1"/>
  <c r="E34"/>
  <c r="H34" s="1"/>
  <c r="E33"/>
  <c r="E32"/>
  <c r="H32" s="1"/>
  <c r="E31"/>
  <c r="H31" s="1"/>
  <c r="E30"/>
  <c r="H30" s="1"/>
  <c r="D29"/>
  <c r="C29"/>
  <c r="E28"/>
  <c r="H28" s="1"/>
  <c r="E27"/>
  <c r="H27" s="1"/>
  <c r="E26"/>
  <c r="H26" s="1"/>
  <c r="E25"/>
  <c r="H25" s="1"/>
  <c r="E24"/>
  <c r="H24" s="1"/>
  <c r="E23"/>
  <c r="H23" s="1"/>
  <c r="E22"/>
  <c r="H22" s="1"/>
  <c r="E21"/>
  <c r="H21" s="1"/>
  <c r="E20"/>
  <c r="D19"/>
  <c r="D10" s="1"/>
  <c r="D159" s="1"/>
  <c r="C19"/>
  <c r="E18"/>
  <c r="H18" s="1"/>
  <c r="E17"/>
  <c r="H17" s="1"/>
  <c r="E16"/>
  <c r="H16" s="1"/>
  <c r="E15"/>
  <c r="H15" s="1"/>
  <c r="E14"/>
  <c r="H14" s="1"/>
  <c r="E13"/>
  <c r="H13" s="1"/>
  <c r="E12"/>
  <c r="C11"/>
  <c r="A2"/>
  <c r="E39"/>
  <c r="E146"/>
  <c r="D84"/>
  <c r="E72"/>
  <c r="E59"/>
  <c r="E137"/>
  <c r="H93"/>
  <c r="H89"/>
  <c r="H147"/>
  <c r="H146" s="1"/>
  <c r="E93"/>
  <c r="E103"/>
  <c r="E113"/>
  <c r="E123"/>
  <c r="E133"/>
  <c r="H43"/>
  <c r="D80" i="70"/>
  <c r="G80" s="1"/>
  <c r="D79"/>
  <c r="G79" s="1"/>
  <c r="D78"/>
  <c r="G78" s="1"/>
  <c r="D77"/>
  <c r="G77" s="1"/>
  <c r="D76"/>
  <c r="G76" s="1"/>
  <c r="D75"/>
  <c r="G75" s="1"/>
  <c r="D74"/>
  <c r="G74" s="1"/>
  <c r="F73"/>
  <c r="F81" s="1"/>
  <c r="E73"/>
  <c r="C73"/>
  <c r="B73"/>
  <c r="D72"/>
  <c r="G72" s="1"/>
  <c r="D71"/>
  <c r="G71" s="1"/>
  <c r="D70"/>
  <c r="G70" s="1"/>
  <c r="F69"/>
  <c r="E69"/>
  <c r="C69"/>
  <c r="B69"/>
  <c r="D69"/>
  <c r="D68"/>
  <c r="G68"/>
  <c r="D67"/>
  <c r="G67" s="1"/>
  <c r="D66"/>
  <c r="G66" s="1"/>
  <c r="D65"/>
  <c r="G65" s="1"/>
  <c r="D64"/>
  <c r="G64" s="1"/>
  <c r="D63"/>
  <c r="G63" s="1"/>
  <c r="D62"/>
  <c r="G62" s="1"/>
  <c r="F61"/>
  <c r="E61"/>
  <c r="C61"/>
  <c r="B61"/>
  <c r="D60"/>
  <c r="G60" s="1"/>
  <c r="D59"/>
  <c r="G59" s="1"/>
  <c r="D58"/>
  <c r="G58" s="1"/>
  <c r="F57"/>
  <c r="E57"/>
  <c r="C57"/>
  <c r="B57"/>
  <c r="D56"/>
  <c r="G56" s="1"/>
  <c r="D55"/>
  <c r="G55" s="1"/>
  <c r="D54"/>
  <c r="G54" s="1"/>
  <c r="D53"/>
  <c r="G53" s="1"/>
  <c r="D52"/>
  <c r="G52" s="1"/>
  <c r="D51"/>
  <c r="G51" s="1"/>
  <c r="D50"/>
  <c r="G50" s="1"/>
  <c r="D49"/>
  <c r="G49" s="1"/>
  <c r="D48"/>
  <c r="G48" s="1"/>
  <c r="B47"/>
  <c r="D46"/>
  <c r="G46" s="1"/>
  <c r="D45"/>
  <c r="G45" s="1"/>
  <c r="D44"/>
  <c r="G44" s="1"/>
  <c r="D43"/>
  <c r="G43" s="1"/>
  <c r="D42"/>
  <c r="G42" s="1"/>
  <c r="D41"/>
  <c r="G41" s="1"/>
  <c r="D40"/>
  <c r="G40" s="1"/>
  <c r="D39"/>
  <c r="G39" s="1"/>
  <c r="D38"/>
  <c r="G38" s="1"/>
  <c r="F37"/>
  <c r="E37"/>
  <c r="C37"/>
  <c r="B37"/>
  <c r="D36"/>
  <c r="G36" s="1"/>
  <c r="D35"/>
  <c r="G35" s="1"/>
  <c r="D34"/>
  <c r="G34" s="1"/>
  <c r="D33"/>
  <c r="G33" s="1"/>
  <c r="D32"/>
  <c r="G32" s="1"/>
  <c r="D31"/>
  <c r="G31" s="1"/>
  <c r="D30"/>
  <c r="G30" s="1"/>
  <c r="D29"/>
  <c r="G29" s="1"/>
  <c r="D28"/>
  <c r="G28" s="1"/>
  <c r="C27"/>
  <c r="B27"/>
  <c r="D26"/>
  <c r="G26" s="1"/>
  <c r="D25"/>
  <c r="G25" s="1"/>
  <c r="D24"/>
  <c r="G24" s="1"/>
  <c r="D23"/>
  <c r="G23" s="1"/>
  <c r="D22"/>
  <c r="G22" s="1"/>
  <c r="D21"/>
  <c r="G21" s="1"/>
  <c r="D20"/>
  <c r="G20" s="1"/>
  <c r="D19"/>
  <c r="G19" s="1"/>
  <c r="D18"/>
  <c r="G18" s="1"/>
  <c r="C17"/>
  <c r="B17"/>
  <c r="D16"/>
  <c r="G16" s="1"/>
  <c r="D15"/>
  <c r="G15" s="1"/>
  <c r="D14"/>
  <c r="G14" s="1"/>
  <c r="D13"/>
  <c r="G13" s="1"/>
  <c r="D12"/>
  <c r="G12" s="1"/>
  <c r="D11"/>
  <c r="G11" s="1"/>
  <c r="D10"/>
  <c r="G10" s="1"/>
  <c r="B9"/>
  <c r="A5"/>
  <c r="A4"/>
  <c r="G69"/>
  <c r="I67" i="55"/>
  <c r="I68"/>
  <c r="I13"/>
  <c r="H31" i="67"/>
  <c r="F67" i="55"/>
  <c r="F68"/>
  <c r="F13"/>
  <c r="E31" i="67"/>
  <c r="A4"/>
  <c r="A3"/>
  <c r="G33"/>
  <c r="G36"/>
  <c r="G42"/>
  <c r="G48"/>
  <c r="C33"/>
  <c r="C36"/>
  <c r="C29" s="1"/>
  <c r="C42"/>
  <c r="C48"/>
  <c r="H30"/>
  <c r="H32"/>
  <c r="H34"/>
  <c r="H35"/>
  <c r="H37"/>
  <c r="H38"/>
  <c r="H39"/>
  <c r="H40"/>
  <c r="H43"/>
  <c r="H44"/>
  <c r="H45"/>
  <c r="H46"/>
  <c r="H49"/>
  <c r="H48" s="1"/>
  <c r="F33"/>
  <c r="F29" s="1"/>
  <c r="F36"/>
  <c r="F42"/>
  <c r="F48"/>
  <c r="E30"/>
  <c r="E32"/>
  <c r="E34"/>
  <c r="E33" s="1"/>
  <c r="E35"/>
  <c r="E37"/>
  <c r="E36" s="1"/>
  <c r="E38"/>
  <c r="E39"/>
  <c r="E40"/>
  <c r="E43"/>
  <c r="E44"/>
  <c r="E45"/>
  <c r="E46"/>
  <c r="E49"/>
  <c r="E48" s="1"/>
  <c r="D33"/>
  <c r="D36"/>
  <c r="D42"/>
  <c r="D48"/>
  <c r="G13"/>
  <c r="G16"/>
  <c r="C13"/>
  <c r="C16"/>
  <c r="F13"/>
  <c r="F24" s="1"/>
  <c r="D6" i="21" s="1"/>
  <c r="F16" i="67"/>
  <c r="D13"/>
  <c r="D16"/>
  <c r="D24"/>
  <c r="H23"/>
  <c r="E23"/>
  <c r="H22"/>
  <c r="E22"/>
  <c r="H21"/>
  <c r="E21"/>
  <c r="H20"/>
  <c r="E20"/>
  <c r="H19"/>
  <c r="E19"/>
  <c r="H18"/>
  <c r="E18"/>
  <c r="H17"/>
  <c r="E17"/>
  <c r="H15"/>
  <c r="E15"/>
  <c r="H14"/>
  <c r="E14"/>
  <c r="H12"/>
  <c r="E12"/>
  <c r="H11"/>
  <c r="E11"/>
  <c r="H10"/>
  <c r="E10"/>
  <c r="H9"/>
  <c r="E9"/>
  <c r="A4" i="65"/>
  <c r="A4" i="50"/>
  <c r="A4" i="54"/>
  <c r="C10" i="52"/>
  <c r="C14"/>
  <c r="D31" i="65"/>
  <c r="G31" s="1"/>
  <c r="D30"/>
  <c r="G30" s="1"/>
  <c r="D29"/>
  <c r="G29" s="1"/>
  <c r="F28"/>
  <c r="F21" s="1"/>
  <c r="E28"/>
  <c r="E21" s="1"/>
  <c r="C28"/>
  <c r="B28"/>
  <c r="B21" s="1"/>
  <c r="B16"/>
  <c r="B9"/>
  <c r="D27"/>
  <c r="G27"/>
  <c r="D26"/>
  <c r="G26"/>
  <c r="D25"/>
  <c r="G25"/>
  <c r="D24"/>
  <c r="D22"/>
  <c r="G22" s="1"/>
  <c r="D23"/>
  <c r="D10"/>
  <c r="G10" s="1"/>
  <c r="D11"/>
  <c r="G11" s="1"/>
  <c r="D12"/>
  <c r="G12" s="1"/>
  <c r="D13"/>
  <c r="G13" s="1"/>
  <c r="D14"/>
  <c r="G14" s="1"/>
  <c r="D15"/>
  <c r="G15" s="1"/>
  <c r="D17"/>
  <c r="G17" s="1"/>
  <c r="D18"/>
  <c r="G18" s="1"/>
  <c r="D19"/>
  <c r="G19" s="1"/>
  <c r="C21"/>
  <c r="F16"/>
  <c r="F9" s="1"/>
  <c r="F32" s="1"/>
  <c r="E16"/>
  <c r="E9" s="1"/>
  <c r="E32" s="1"/>
  <c r="C16"/>
  <c r="C9" s="1"/>
  <c r="C32" s="1"/>
  <c r="I39" i="55"/>
  <c r="I38" s="1"/>
  <c r="A4" i="53"/>
  <c r="A4" i="55" s="1"/>
  <c r="A5" i="71" s="1"/>
  <c r="E19" i="54"/>
  <c r="D19"/>
  <c r="C19"/>
  <c r="H31" i="55"/>
  <c r="G31"/>
  <c r="E31"/>
  <c r="D31"/>
  <c r="C57" i="51"/>
  <c r="C31"/>
  <c r="B31"/>
  <c r="C77" i="62"/>
  <c r="B9" i="51"/>
  <c r="D29" i="61"/>
  <c r="G29" s="1"/>
  <c r="D28"/>
  <c r="G28" s="1"/>
  <c r="D27"/>
  <c r="G27" s="1"/>
  <c r="D26"/>
  <c r="D25"/>
  <c r="G25"/>
  <c r="D24"/>
  <c r="G24"/>
  <c r="D23"/>
  <c r="G23"/>
  <c r="D22"/>
  <c r="D18"/>
  <c r="G18" s="1"/>
  <c r="D17"/>
  <c r="G17" s="1"/>
  <c r="D16"/>
  <c r="G16" s="1"/>
  <c r="D15"/>
  <c r="G15" s="1"/>
  <c r="D14"/>
  <c r="G14" s="1"/>
  <c r="D13"/>
  <c r="G13" s="1"/>
  <c r="D12"/>
  <c r="G12" s="1"/>
  <c r="D11"/>
  <c r="I79" i="55"/>
  <c r="I78"/>
  <c r="I73"/>
  <c r="I72" s="1"/>
  <c r="I66"/>
  <c r="I65"/>
  <c r="I64" s="1"/>
  <c r="I63"/>
  <c r="I62"/>
  <c r="I61"/>
  <c r="I60"/>
  <c r="I59" s="1"/>
  <c r="I58"/>
  <c r="I57"/>
  <c r="I56"/>
  <c r="I55"/>
  <c r="I54"/>
  <c r="I53"/>
  <c r="I52"/>
  <c r="I51"/>
  <c r="I42"/>
  <c r="I40"/>
  <c r="I41"/>
  <c r="C32" i="54"/>
  <c r="F32" s="1"/>
  <c r="A2" i="62"/>
  <c r="A2" i="61"/>
  <c r="F69" i="51"/>
  <c r="G25" i="52"/>
  <c r="G26"/>
  <c r="G27"/>
  <c r="G16"/>
  <c r="G17"/>
  <c r="G23"/>
  <c r="G22"/>
  <c r="G21"/>
  <c r="G13"/>
  <c r="G12"/>
  <c r="E81" i="62"/>
  <c r="H81" s="1"/>
  <c r="E80"/>
  <c r="H80" s="1"/>
  <c r="E79"/>
  <c r="H79" s="1"/>
  <c r="E78"/>
  <c r="H78" s="1"/>
  <c r="E75"/>
  <c r="H75" s="1"/>
  <c r="E67"/>
  <c r="H67" s="1"/>
  <c r="H68"/>
  <c r="E69"/>
  <c r="H69"/>
  <c r="E70"/>
  <c r="H70"/>
  <c r="E71"/>
  <c r="H71"/>
  <c r="E72"/>
  <c r="H72"/>
  <c r="E73"/>
  <c r="H73"/>
  <c r="E74"/>
  <c r="H74"/>
  <c r="E65"/>
  <c r="H65"/>
  <c r="E64"/>
  <c r="H64"/>
  <c r="E63"/>
  <c r="E62"/>
  <c r="H62" s="1"/>
  <c r="E61"/>
  <c r="H61" s="1"/>
  <c r="E60"/>
  <c r="H60" s="1"/>
  <c r="E59"/>
  <c r="E56"/>
  <c r="H56" s="1"/>
  <c r="E55"/>
  <c r="H55" s="1"/>
  <c r="E54"/>
  <c r="H54" s="1"/>
  <c r="E53"/>
  <c r="E52"/>
  <c r="H52" s="1"/>
  <c r="E51"/>
  <c r="E50"/>
  <c r="H50" s="1"/>
  <c r="E49"/>
  <c r="E45"/>
  <c r="H45" s="1"/>
  <c r="E44"/>
  <c r="H44" s="1"/>
  <c r="E43"/>
  <c r="H43" s="1"/>
  <c r="E42"/>
  <c r="E39"/>
  <c r="H39" s="1"/>
  <c r="E38"/>
  <c r="H38" s="1"/>
  <c r="E37"/>
  <c r="H37" s="1"/>
  <c r="E36"/>
  <c r="E35"/>
  <c r="H35" s="1"/>
  <c r="E34"/>
  <c r="H34" s="1"/>
  <c r="E33"/>
  <c r="H33" s="1"/>
  <c r="E32"/>
  <c r="E31"/>
  <c r="H31" s="1"/>
  <c r="E28"/>
  <c r="H28"/>
  <c r="E27"/>
  <c r="E26"/>
  <c r="H26" s="1"/>
  <c r="E25"/>
  <c r="H25"/>
  <c r="E24"/>
  <c r="H24"/>
  <c r="E22"/>
  <c r="E23"/>
  <c r="E19"/>
  <c r="H19" s="1"/>
  <c r="E18"/>
  <c r="H18" s="1"/>
  <c r="E17"/>
  <c r="H17" s="1"/>
  <c r="E16"/>
  <c r="H16" s="1"/>
  <c r="E15"/>
  <c r="H15" s="1"/>
  <c r="E14"/>
  <c r="H14" s="1"/>
  <c r="E12"/>
  <c r="H12" s="1"/>
  <c r="E13"/>
  <c r="H13" s="1"/>
  <c r="F12" i="55"/>
  <c r="D18"/>
  <c r="G42" i="51"/>
  <c r="F42"/>
  <c r="F20" i="52"/>
  <c r="F27" i="51"/>
  <c r="C25"/>
  <c r="C17"/>
  <c r="E45" i="54"/>
  <c r="F47" s="1"/>
  <c r="D45"/>
  <c r="F46" s="1"/>
  <c r="C45"/>
  <c r="F45" s="1"/>
  <c r="E42"/>
  <c r="F44" s="1"/>
  <c r="D42"/>
  <c r="F43" s="1"/>
  <c r="C42"/>
  <c r="F42" s="1"/>
  <c r="E32"/>
  <c r="F34" s="1"/>
  <c r="D32"/>
  <c r="F33" s="1"/>
  <c r="E10"/>
  <c r="E9" i="20"/>
  <c r="E15" i="54"/>
  <c r="E12" i="20"/>
  <c r="F17" i="54" s="1"/>
  <c r="D15"/>
  <c r="D12" i="20"/>
  <c r="C15" i="54"/>
  <c r="C12" i="20"/>
  <c r="F15" i="54" s="1"/>
  <c r="D10"/>
  <c r="D9" i="20"/>
  <c r="D15" s="1"/>
  <c r="D19" s="1"/>
  <c r="D21" s="1"/>
  <c r="C10" i="54"/>
  <c r="C9" i="20"/>
  <c r="H22" i="62"/>
  <c r="H23"/>
  <c r="H27"/>
  <c r="H32"/>
  <c r="H36"/>
  <c r="H42"/>
  <c r="H49"/>
  <c r="H53"/>
  <c r="H59"/>
  <c r="H63"/>
  <c r="C11"/>
  <c r="C21"/>
  <c r="C10" s="1"/>
  <c r="C30"/>
  <c r="C41"/>
  <c r="C48"/>
  <c r="C58"/>
  <c r="C66"/>
  <c r="G11"/>
  <c r="G21"/>
  <c r="G30"/>
  <c r="G41"/>
  <c r="G48"/>
  <c r="G58"/>
  <c r="G66"/>
  <c r="G77"/>
  <c r="F11"/>
  <c r="F21"/>
  <c r="F30"/>
  <c r="F41"/>
  <c r="F48"/>
  <c r="F58"/>
  <c r="F66"/>
  <c r="F77"/>
  <c r="D11"/>
  <c r="D21"/>
  <c r="D30"/>
  <c r="D41"/>
  <c r="D48"/>
  <c r="D58"/>
  <c r="D66"/>
  <c r="D77"/>
  <c r="C21" i="61"/>
  <c r="F10"/>
  <c r="F31" s="1"/>
  <c r="F21"/>
  <c r="D10" i="52"/>
  <c r="D9" s="1"/>
  <c r="D19" s="1"/>
  <c r="D14"/>
  <c r="E10"/>
  <c r="E9" s="1"/>
  <c r="E19" s="1"/>
  <c r="E14"/>
  <c r="F10"/>
  <c r="F9" s="1"/>
  <c r="F19" s="1"/>
  <c r="F14"/>
  <c r="F38" i="51"/>
  <c r="F31"/>
  <c r="F23"/>
  <c r="F19"/>
  <c r="F9"/>
  <c r="F46" s="1"/>
  <c r="F55"/>
  <c r="F59"/>
  <c r="F63"/>
  <c r="F46" i="2"/>
  <c r="F40"/>
  <c r="F36"/>
  <c r="F18"/>
  <c r="G38" i="51"/>
  <c r="G31"/>
  <c r="G27"/>
  <c r="G23"/>
  <c r="G19"/>
  <c r="G55"/>
  <c r="G59"/>
  <c r="G63"/>
  <c r="G69"/>
  <c r="G46" i="2"/>
  <c r="G40"/>
  <c r="G36"/>
  <c r="G31"/>
  <c r="G33" s="1"/>
  <c r="G18"/>
  <c r="B41" i="51"/>
  <c r="B38"/>
  <c r="B25"/>
  <c r="B17"/>
  <c r="C19" i="6"/>
  <c r="D19"/>
  <c r="E19"/>
  <c r="C41" i="51"/>
  <c r="C38"/>
  <c r="C9"/>
  <c r="C31" i="2"/>
  <c r="C18"/>
  <c r="G26" i="61"/>
  <c r="E21"/>
  <c r="B21"/>
  <c r="B31" s="1"/>
  <c r="E10"/>
  <c r="E31" s="1"/>
  <c r="I14" i="52"/>
  <c r="K18" i="53"/>
  <c r="K17"/>
  <c r="K16"/>
  <c r="K15"/>
  <c r="K12"/>
  <c r="K11"/>
  <c r="K10"/>
  <c r="K9"/>
  <c r="F11" i="55"/>
  <c r="H40"/>
  <c r="G40"/>
  <c r="E40"/>
  <c r="D40"/>
  <c r="E18"/>
  <c r="H18"/>
  <c r="G18"/>
  <c r="J14" i="53"/>
  <c r="I14"/>
  <c r="H14"/>
  <c r="G14"/>
  <c r="F14"/>
  <c r="F8"/>
  <c r="E14"/>
  <c r="D14"/>
  <c r="C14"/>
  <c r="B14"/>
  <c r="J8"/>
  <c r="J20" s="1"/>
  <c r="I8"/>
  <c r="H8"/>
  <c r="H20" s="1"/>
  <c r="G8"/>
  <c r="E8"/>
  <c r="E20" s="1"/>
  <c r="D8"/>
  <c r="C8"/>
  <c r="B8"/>
  <c r="B20" s="1"/>
  <c r="A3" i="54"/>
  <c r="A3" i="55"/>
  <c r="A3" i="53"/>
  <c r="A3" i="52"/>
  <c r="A3" i="51"/>
  <c r="E78" i="54"/>
  <c r="E76"/>
  <c r="E82"/>
  <c r="E84"/>
  <c r="C79"/>
  <c r="C80"/>
  <c r="C78" s="1"/>
  <c r="C76"/>
  <c r="C82"/>
  <c r="D78"/>
  <c r="D84"/>
  <c r="D82"/>
  <c r="D76"/>
  <c r="D86" s="1"/>
  <c r="D88" s="1"/>
  <c r="E66"/>
  <c r="E64"/>
  <c r="E62"/>
  <c r="E61"/>
  <c r="E58"/>
  <c r="D66"/>
  <c r="D64"/>
  <c r="D62"/>
  <c r="D61"/>
  <c r="D58"/>
  <c r="C61"/>
  <c r="C62"/>
  <c r="C58"/>
  <c r="C64"/>
  <c r="I37" i="55"/>
  <c r="I36"/>
  <c r="I35"/>
  <c r="I34"/>
  <c r="I33"/>
  <c r="I32"/>
  <c r="I30"/>
  <c r="I29"/>
  <c r="I28"/>
  <c r="I27"/>
  <c r="I26"/>
  <c r="I25"/>
  <c r="I24"/>
  <c r="I23"/>
  <c r="I22"/>
  <c r="I21"/>
  <c r="I20"/>
  <c r="I17"/>
  <c r="I16"/>
  <c r="I15"/>
  <c r="I14"/>
  <c r="I12"/>
  <c r="I11"/>
  <c r="F65"/>
  <c r="F64" s="1"/>
  <c r="F51"/>
  <c r="F52"/>
  <c r="F53"/>
  <c r="F54"/>
  <c r="F55"/>
  <c r="F56"/>
  <c r="F57"/>
  <c r="F58"/>
  <c r="F60"/>
  <c r="F59" s="1"/>
  <c r="F42"/>
  <c r="F40" s="1"/>
  <c r="F41"/>
  <c r="F39"/>
  <c r="F38" s="1"/>
  <c r="F33"/>
  <c r="F34"/>
  <c r="F35"/>
  <c r="F36"/>
  <c r="F37"/>
  <c r="F14"/>
  <c r="F15"/>
  <c r="F16"/>
  <c r="F17"/>
  <c r="F20"/>
  <c r="F21"/>
  <c r="F22"/>
  <c r="F23"/>
  <c r="F24"/>
  <c r="F25"/>
  <c r="F26"/>
  <c r="F27"/>
  <c r="F28"/>
  <c r="F29"/>
  <c r="F30"/>
  <c r="F72"/>
  <c r="D80"/>
  <c r="E80"/>
  <c r="F79"/>
  <c r="F78"/>
  <c r="H80"/>
  <c r="H72"/>
  <c r="H50"/>
  <c r="H59"/>
  <c r="H64"/>
  <c r="H38"/>
  <c r="G80"/>
  <c r="G72"/>
  <c r="G64"/>
  <c r="G59"/>
  <c r="G50"/>
  <c r="G38"/>
  <c r="E72"/>
  <c r="E64"/>
  <c r="E59"/>
  <c r="E50"/>
  <c r="E38"/>
  <c r="D72"/>
  <c r="D38"/>
  <c r="D50"/>
  <c r="D59"/>
  <c r="D70" s="1"/>
  <c r="D64"/>
  <c r="C24" i="52"/>
  <c r="D24"/>
  <c r="E24"/>
  <c r="F24"/>
  <c r="C20"/>
  <c r="D20"/>
  <c r="G20"/>
  <c r="E20"/>
  <c r="I24"/>
  <c r="H24"/>
  <c r="I20"/>
  <c r="H20"/>
  <c r="I10"/>
  <c r="I9" s="1"/>
  <c r="I19" s="1"/>
  <c r="H10"/>
  <c r="H14"/>
  <c r="D9" i="38"/>
  <c r="G9" s="1"/>
  <c r="D10"/>
  <c r="G10" s="1"/>
  <c r="D11"/>
  <c r="G11" s="1"/>
  <c r="D12"/>
  <c r="G12" s="1"/>
  <c r="D13"/>
  <c r="G13" s="1"/>
  <c r="D14"/>
  <c r="G14" s="1"/>
  <c r="D15"/>
  <c r="G15" s="1"/>
  <c r="D16"/>
  <c r="G16" s="1"/>
  <c r="D17"/>
  <c r="G17" s="1"/>
  <c r="D18"/>
  <c r="D26"/>
  <c r="D27"/>
  <c r="D28"/>
  <c r="D29"/>
  <c r="D30"/>
  <c r="D31"/>
  <c r="D19"/>
  <c r="D20"/>
  <c r="D21"/>
  <c r="D22"/>
  <c r="D23"/>
  <c r="D24"/>
  <c r="D25"/>
  <c r="A4" i="27"/>
  <c r="A4" i="20"/>
  <c r="A4" i="32"/>
  <c r="A4" i="42"/>
  <c r="B4" i="19"/>
  <c r="A4" i="16"/>
  <c r="A5" i="45"/>
  <c r="A5" i="44"/>
  <c r="A5" i="38"/>
  <c r="A5" i="37"/>
  <c r="A4" i="6"/>
  <c r="A4" i="24"/>
  <c r="A4" i="21"/>
  <c r="A4" i="13"/>
  <c r="A4" i="26"/>
  <c r="A4" i="23"/>
  <c r="A3" i="27"/>
  <c r="B3" i="20"/>
  <c r="A4" i="45"/>
  <c r="A3" i="32"/>
  <c r="A3" i="42"/>
  <c r="B3" i="19"/>
  <c r="A3" i="16"/>
  <c r="A3" i="24"/>
  <c r="A4" i="44"/>
  <c r="A4" i="38"/>
  <c r="A4" i="37"/>
  <c r="A3" i="21"/>
  <c r="A3" i="13"/>
  <c r="A3" i="26"/>
  <c r="A3" i="6"/>
  <c r="A3" i="23"/>
  <c r="A3" i="1"/>
  <c r="G19" i="38"/>
  <c r="G20"/>
  <c r="G21"/>
  <c r="G22"/>
  <c r="G23"/>
  <c r="G24"/>
  <c r="G25"/>
  <c r="G26"/>
  <c r="G27"/>
  <c r="G28"/>
  <c r="G29"/>
  <c r="G30"/>
  <c r="G31"/>
  <c r="G18"/>
  <c r="D39" i="42"/>
  <c r="G39"/>
  <c r="D38"/>
  <c r="G38"/>
  <c r="D37"/>
  <c r="G37"/>
  <c r="D10" i="6"/>
  <c r="F23" i="45"/>
  <c r="E23"/>
  <c r="C23"/>
  <c r="B23"/>
  <c r="D61" i="1"/>
  <c r="C61"/>
  <c r="C54"/>
  <c r="C48"/>
  <c r="F20" i="20" s="1"/>
  <c r="C34" i="1"/>
  <c r="C44"/>
  <c r="C9" i="24"/>
  <c r="C29"/>
  <c r="D54" i="1"/>
  <c r="D48"/>
  <c r="D34"/>
  <c r="D44"/>
  <c r="D20"/>
  <c r="D17"/>
  <c r="D8"/>
  <c r="C20"/>
  <c r="C17"/>
  <c r="C8"/>
  <c r="D13" i="42"/>
  <c r="G13" s="1"/>
  <c r="D12"/>
  <c r="G12" s="1"/>
  <c r="D11"/>
  <c r="G11" s="1"/>
  <c r="D22"/>
  <c r="G22" s="1"/>
  <c r="D21"/>
  <c r="G21" s="1"/>
  <c r="D20"/>
  <c r="G20" s="1"/>
  <c r="D19"/>
  <c r="D18"/>
  <c r="G18" s="1"/>
  <c r="D17"/>
  <c r="G17" s="1"/>
  <c r="D16"/>
  <c r="G16" s="1"/>
  <c r="D15"/>
  <c r="G15" s="1"/>
  <c r="D26"/>
  <c r="G26" s="1"/>
  <c r="D25"/>
  <c r="G25" s="1"/>
  <c r="D24"/>
  <c r="G24" s="1"/>
  <c r="D29"/>
  <c r="G29" s="1"/>
  <c r="D28"/>
  <c r="G28" s="1"/>
  <c r="D36"/>
  <c r="D35" s="1"/>
  <c r="D33"/>
  <c r="G33" s="1"/>
  <c r="D32"/>
  <c r="G32" s="1"/>
  <c r="D31"/>
  <c r="G31"/>
  <c r="D34"/>
  <c r="G34"/>
  <c r="F35"/>
  <c r="E35"/>
  <c r="C35"/>
  <c r="B35"/>
  <c r="F30"/>
  <c r="E30"/>
  <c r="C30"/>
  <c r="B30"/>
  <c r="F27"/>
  <c r="E27"/>
  <c r="C27"/>
  <c r="B27"/>
  <c r="F23"/>
  <c r="E23"/>
  <c r="C23"/>
  <c r="B23"/>
  <c r="F14"/>
  <c r="E14"/>
  <c r="C14"/>
  <c r="B14"/>
  <c r="F10"/>
  <c r="E10"/>
  <c r="C10"/>
  <c r="B10"/>
  <c r="D30" i="24"/>
  <c r="E65" i="23"/>
  <c r="D56"/>
  <c r="D51"/>
  <c r="C56"/>
  <c r="C51"/>
  <c r="E27" i="20"/>
  <c r="D27"/>
  <c r="C27"/>
  <c r="D32" i="19"/>
  <c r="C32"/>
  <c r="C20"/>
  <c r="E30" i="16"/>
  <c r="E29"/>
  <c r="E28"/>
  <c r="E27"/>
  <c r="E26"/>
  <c r="E25"/>
  <c r="E24"/>
  <c r="E23"/>
  <c r="E22"/>
  <c r="E21"/>
  <c r="E10"/>
  <c r="E11"/>
  <c r="E12"/>
  <c r="E13"/>
  <c r="E14"/>
  <c r="E15"/>
  <c r="E16"/>
  <c r="E17"/>
  <c r="E18"/>
  <c r="E9"/>
  <c r="D31"/>
  <c r="D19"/>
  <c r="C31"/>
  <c r="C19"/>
  <c r="G11" i="45"/>
  <c r="G13"/>
  <c r="G15"/>
  <c r="G17"/>
  <c r="G19"/>
  <c r="G21"/>
  <c r="D11"/>
  <c r="D12"/>
  <c r="G12"/>
  <c r="D13"/>
  <c r="D14"/>
  <c r="G14" s="1"/>
  <c r="D15"/>
  <c r="D16"/>
  <c r="G16" s="1"/>
  <c r="D17"/>
  <c r="D18"/>
  <c r="G18" s="1"/>
  <c r="D19"/>
  <c r="D20"/>
  <c r="G20" s="1"/>
  <c r="D21"/>
  <c r="D22"/>
  <c r="G22" s="1"/>
  <c r="D10"/>
  <c r="G10" s="1"/>
  <c r="F15" i="44"/>
  <c r="E15"/>
  <c r="C15"/>
  <c r="D15" s="1"/>
  <c r="G15" s="1"/>
  <c r="B15"/>
  <c r="D11"/>
  <c r="G11"/>
  <c r="D12"/>
  <c r="G12"/>
  <c r="D13"/>
  <c r="G13"/>
  <c r="F27" i="6"/>
  <c r="G27" s="1"/>
  <c r="F28"/>
  <c r="G28" s="1"/>
  <c r="F26"/>
  <c r="G26" s="1"/>
  <c r="F25"/>
  <c r="G25" s="1"/>
  <c r="F24"/>
  <c r="G24" s="1"/>
  <c r="F23"/>
  <c r="G23" s="1"/>
  <c r="F22"/>
  <c r="G22" s="1"/>
  <c r="F21"/>
  <c r="G21" s="1"/>
  <c r="F20"/>
  <c r="G20" s="1"/>
  <c r="F12"/>
  <c r="G12" s="1"/>
  <c r="F13"/>
  <c r="G13" s="1"/>
  <c r="F14"/>
  <c r="G14" s="1"/>
  <c r="F15"/>
  <c r="G15" s="1"/>
  <c r="F16"/>
  <c r="G16" s="1"/>
  <c r="F17"/>
  <c r="G17" s="1"/>
  <c r="F11"/>
  <c r="G11" s="1"/>
  <c r="E15" i="37"/>
  <c r="B15"/>
  <c r="D15" s="1"/>
  <c r="G15" s="1"/>
  <c r="G13"/>
  <c r="G12"/>
  <c r="D11"/>
  <c r="G11" s="1"/>
  <c r="D10"/>
  <c r="G10" s="1"/>
  <c r="D9"/>
  <c r="G9" s="1"/>
  <c r="D9" i="21"/>
  <c r="D17"/>
  <c r="E10" i="6"/>
  <c r="E8" s="1"/>
  <c r="C10"/>
  <c r="F10" s="1"/>
  <c r="D40" i="23"/>
  <c r="D44"/>
  <c r="D48" s="1"/>
  <c r="D8"/>
  <c r="D20"/>
  <c r="C40"/>
  <c r="C44"/>
  <c r="C8"/>
  <c r="C20"/>
  <c r="G19" i="42"/>
  <c r="D47" i="62"/>
  <c r="E23" i="54"/>
  <c r="E25" s="1"/>
  <c r="E27" s="1"/>
  <c r="E36" s="1"/>
  <c r="F50" i="55"/>
  <c r="F70" s="1"/>
  <c r="G20" i="53"/>
  <c r="I50" i="55"/>
  <c r="H51" i="62"/>
  <c r="E58"/>
  <c r="I20" i="53"/>
  <c r="G24" i="65"/>
  <c r="G72" i="51"/>
  <c r="K14" i="53"/>
  <c r="G24" i="52"/>
  <c r="E66" i="62"/>
  <c r="D49" i="54"/>
  <c r="C49"/>
  <c r="D32" i="16"/>
  <c r="D29" i="67"/>
  <c r="D51" s="1"/>
  <c r="G50" i="2"/>
  <c r="C33"/>
  <c r="D32" i="38"/>
  <c r="F47" i="62"/>
  <c r="C24" i="67"/>
  <c r="E24" s="1"/>
  <c r="G29"/>
  <c r="G51" s="1"/>
  <c r="E49" i="54"/>
  <c r="G22" i="61"/>
  <c r="D21"/>
  <c r="C15" i="20"/>
  <c r="C19" s="1"/>
  <c r="C21" s="1"/>
  <c r="E30" i="62"/>
  <c r="E31" i="16"/>
  <c r="F20" i="53"/>
  <c r="F11" i="54"/>
  <c r="D20" i="53"/>
  <c r="H33" i="67"/>
  <c r="H29" s="1"/>
  <c r="G70" i="55"/>
  <c r="H44"/>
  <c r="D44"/>
  <c r="H36" i="67"/>
  <c r="D16" i="65"/>
  <c r="H13" i="67"/>
  <c r="G23" i="65"/>
  <c r="E16" i="67"/>
  <c r="H12" i="71" l="1"/>
  <c r="H11" s="1"/>
  <c r="E11"/>
  <c r="H50"/>
  <c r="E49"/>
  <c r="B81" i="70"/>
  <c r="G11" i="61"/>
  <c r="G10" s="1"/>
  <c r="G31" s="1"/>
  <c r="D10"/>
  <c r="D31" s="1"/>
  <c r="C81" i="70"/>
  <c r="D20" i="72"/>
  <c r="G20" s="1"/>
  <c r="B45"/>
  <c r="H46"/>
  <c r="E21" i="62"/>
  <c r="H16" i="44"/>
  <c r="F40" i="42"/>
  <c r="C27" i="1"/>
  <c r="C64"/>
  <c r="F80" i="55"/>
  <c r="D23" i="21"/>
  <c r="G24" i="67"/>
  <c r="F10" i="71"/>
  <c r="F159" s="1"/>
  <c r="G84"/>
  <c r="E45" i="72"/>
  <c r="F39" i="75"/>
  <c r="F33" i="2"/>
  <c r="B7" i="74"/>
  <c r="E40" i="42"/>
  <c r="H70" i="55"/>
  <c r="C86" i="54"/>
  <c r="C88" s="1"/>
  <c r="C20" i="53"/>
  <c r="F19" i="6"/>
  <c r="B46" i="51"/>
  <c r="G52" i="2"/>
  <c r="H53" s="1"/>
  <c r="I80" i="55"/>
  <c r="E44"/>
  <c r="B32" i="65"/>
  <c r="F45" i="72"/>
  <c r="C7" i="74"/>
  <c r="F57" i="51"/>
  <c r="E60" i="54"/>
  <c r="E68" s="1"/>
  <c r="E70" s="1"/>
  <c r="F16"/>
  <c r="E15" i="20"/>
  <c r="E19" s="1"/>
  <c r="E21" s="1"/>
  <c r="D40" i="80"/>
  <c r="C33" i="19"/>
  <c r="H42" i="67"/>
  <c r="H51" s="1"/>
  <c r="F29" i="80"/>
  <c r="F50" i="2"/>
  <c r="F52" s="1"/>
  <c r="D27" i="1"/>
  <c r="C10" i="71"/>
  <c r="C159" s="1"/>
  <c r="D23" i="45"/>
  <c r="G23" s="1"/>
  <c r="G10" i="62"/>
  <c r="H32" i="38"/>
  <c r="D9" i="70"/>
  <c r="G9" s="1"/>
  <c r="E19" i="71"/>
  <c r="C40" i="42"/>
  <c r="D37" i="23"/>
  <c r="H35" i="61"/>
  <c r="H33"/>
  <c r="H32"/>
  <c r="D45" i="72"/>
  <c r="G45" s="1"/>
  <c r="G10" i="71"/>
  <c r="G159" s="1"/>
  <c r="H11" i="62"/>
  <c r="H75" i="55"/>
  <c r="D64" i="1"/>
  <c r="K20" i="53"/>
  <c r="B59" i="51"/>
  <c r="G47" i="62"/>
  <c r="H30"/>
  <c r="I70" i="55"/>
  <c r="E13" i="67"/>
  <c r="E29"/>
  <c r="D9" i="65"/>
  <c r="E77" i="62"/>
  <c r="G21" i="61"/>
  <c r="E11" i="62"/>
  <c r="D28" i="65"/>
  <c r="D21" s="1"/>
  <c r="D10" i="42"/>
  <c r="D30"/>
  <c r="D14"/>
  <c r="E41" i="62"/>
  <c r="K8" i="53"/>
  <c r="G10" i="6"/>
  <c r="C32" i="16"/>
  <c r="E19"/>
  <c r="C61" i="23"/>
  <c r="D61"/>
  <c r="B40" i="42"/>
  <c r="G23"/>
  <c r="G10"/>
  <c r="H9" i="52"/>
  <c r="H19" s="1"/>
  <c r="E70" i="55"/>
  <c r="E75" s="1"/>
  <c r="F18"/>
  <c r="F44" s="1"/>
  <c r="F75" s="1"/>
  <c r="F31"/>
  <c r="I18"/>
  <c r="I31"/>
  <c r="E86" i="54"/>
  <c r="E88" s="1"/>
  <c r="G44" i="55"/>
  <c r="G75" s="1"/>
  <c r="J83" s="1"/>
  <c r="C46" i="51"/>
  <c r="C59" s="1"/>
  <c r="H59" s="1"/>
  <c r="D10" i="62"/>
  <c r="D83" s="1"/>
  <c r="I84" s="1"/>
  <c r="F10"/>
  <c r="F83" s="1"/>
  <c r="C47"/>
  <c r="C83" s="1"/>
  <c r="I83" s="1"/>
  <c r="H21"/>
  <c r="D23" i="54"/>
  <c r="D25" s="1"/>
  <c r="D27" s="1"/>
  <c r="D36" s="1"/>
  <c r="E48" i="62"/>
  <c r="E47" s="1"/>
  <c r="H66"/>
  <c r="G10" i="52"/>
  <c r="J11" s="1"/>
  <c r="G14"/>
  <c r="H36" i="61"/>
  <c r="G28" i="65"/>
  <c r="G21" s="1"/>
  <c r="C9" i="52"/>
  <c r="C19" s="1"/>
  <c r="H16" i="67"/>
  <c r="E42"/>
  <c r="E29" i="71"/>
  <c r="H33"/>
  <c r="H29" s="1"/>
  <c r="H49"/>
  <c r="H65"/>
  <c r="E63"/>
  <c r="H77"/>
  <c r="E76"/>
  <c r="H86"/>
  <c r="E85"/>
  <c r="H137"/>
  <c r="E150"/>
  <c r="H153"/>
  <c r="H150" s="1"/>
  <c r="B28" i="74"/>
  <c r="B47"/>
  <c r="D17" i="70"/>
  <c r="G17" s="1"/>
  <c r="D27"/>
  <c r="G27" s="1"/>
  <c r="D37"/>
  <c r="G37" s="1"/>
  <c r="D47"/>
  <c r="G47" s="1"/>
  <c r="D57"/>
  <c r="G57" s="1"/>
  <c r="D61"/>
  <c r="G61" s="1"/>
  <c r="E81"/>
  <c r="D73"/>
  <c r="G73" s="1"/>
  <c r="C28" i="74"/>
  <c r="C47"/>
  <c r="G46" i="51"/>
  <c r="G57" s="1"/>
  <c r="G73" s="1"/>
  <c r="F72"/>
  <c r="G30" i="42"/>
  <c r="G14"/>
  <c r="G40" s="1"/>
  <c r="H73" i="51"/>
  <c r="G27" i="42"/>
  <c r="H41" i="62"/>
  <c r="H48"/>
  <c r="H77"/>
  <c r="H63" i="71"/>
  <c r="H72"/>
  <c r="J81" i="55"/>
  <c r="J87"/>
  <c r="H58" i="62"/>
  <c r="G16" i="65"/>
  <c r="G9" s="1"/>
  <c r="H39" i="71"/>
  <c r="H76"/>
  <c r="H85"/>
  <c r="H84" s="1"/>
  <c r="D23" i="42"/>
  <c r="D27"/>
  <c r="C60" i="54"/>
  <c r="C68" s="1"/>
  <c r="C70" s="1"/>
  <c r="D60"/>
  <c r="D68" s="1"/>
  <c r="D70" s="1"/>
  <c r="F12"/>
  <c r="H20" i="71"/>
  <c r="H19" s="1"/>
  <c r="D33" i="19"/>
  <c r="E32" i="16"/>
  <c r="E51" i="67"/>
  <c r="C51"/>
  <c r="H52" s="1"/>
  <c r="J90" i="55"/>
  <c r="G36" i="42"/>
  <c r="G35" s="1"/>
  <c r="C48" i="23"/>
  <c r="F10" i="54"/>
  <c r="I44" i="55"/>
  <c r="I75" s="1"/>
  <c r="F51" i="67"/>
  <c r="E6" i="21" s="1"/>
  <c r="C23" i="54"/>
  <c r="C25" s="1"/>
  <c r="C27" s="1"/>
  <c r="C36" s="1"/>
  <c r="I47" i="55"/>
  <c r="J84"/>
  <c r="D75"/>
  <c r="J86" s="1"/>
  <c r="H25" i="67"/>
  <c r="H24"/>
  <c r="G9" i="52"/>
  <c r="G19" s="1"/>
  <c r="J15"/>
  <c r="J10"/>
  <c r="C37" i="23"/>
  <c r="E39" i="75"/>
  <c r="J21" i="52" s="1"/>
  <c r="J14"/>
  <c r="D8" i="6"/>
  <c r="H19"/>
  <c r="C8"/>
  <c r="F11" i="80"/>
  <c r="C22"/>
  <c r="C40" s="1"/>
  <c r="B22"/>
  <c r="B40" s="1"/>
  <c r="B33" i="2"/>
  <c r="H10" i="71" l="1"/>
  <c r="H159" s="1"/>
  <c r="E10"/>
  <c r="E159" s="1"/>
  <c r="H26" i="45"/>
  <c r="H44" i="42"/>
  <c r="G83" i="62"/>
  <c r="I86"/>
  <c r="H26" i="37"/>
  <c r="H41" i="42"/>
  <c r="H33" i="38"/>
  <c r="I156" i="71"/>
  <c r="H24" i="45"/>
  <c r="H18" i="44"/>
  <c r="I87" i="62"/>
  <c r="C63" i="23"/>
  <c r="G32" i="65"/>
  <c r="J88" i="55"/>
  <c r="F73" i="51"/>
  <c r="J89" i="55"/>
  <c r="J91"/>
  <c r="C66" i="23"/>
  <c r="E66" s="1"/>
  <c r="C66" i="1"/>
  <c r="E66" s="1"/>
  <c r="D63" i="23"/>
  <c r="D66" s="1"/>
  <c r="D66" i="1"/>
  <c r="I159" i="71"/>
  <c r="H34" i="61"/>
  <c r="I160" i="71"/>
  <c r="H10" i="62"/>
  <c r="H19" i="44"/>
  <c r="H35" i="38"/>
  <c r="F12" i="20"/>
  <c r="E84" i="71"/>
  <c r="H29" i="37"/>
  <c r="H43" i="42"/>
  <c r="D40"/>
  <c r="H48" i="72"/>
  <c r="H23" i="45"/>
  <c r="C6" i="24"/>
  <c r="H47" i="72"/>
  <c r="H36" i="38"/>
  <c r="E10" i="62"/>
  <c r="E83" s="1"/>
  <c r="I85" s="1"/>
  <c r="D32" i="65"/>
  <c r="H27" i="45"/>
  <c r="H74" i="51"/>
  <c r="F9" i="20"/>
  <c r="I155" i="71"/>
  <c r="H47" i="62"/>
  <c r="H15" i="44"/>
  <c r="H45" i="72"/>
  <c r="D81" i="70"/>
  <c r="G81" s="1"/>
  <c r="H15" i="37"/>
  <c r="H40" i="42"/>
  <c r="G39" i="75"/>
  <c r="J20" i="52"/>
  <c r="G19" i="6"/>
  <c r="G8" s="1"/>
  <c r="H10"/>
  <c r="F8"/>
  <c r="H8" s="1"/>
  <c r="F40" i="80"/>
  <c r="G40" s="1"/>
  <c r="F22"/>
  <c r="G22" s="1"/>
  <c r="H60" i="51"/>
  <c r="H52" i="2"/>
  <c r="H42" i="42" l="1"/>
  <c r="H83" i="62"/>
  <c r="I88" s="1"/>
  <c r="D6" i="24"/>
  <c r="C38"/>
  <c r="D38" s="1"/>
  <c r="H25" i="45"/>
  <c r="H34" i="38"/>
  <c r="H17" i="44"/>
  <c r="I157" i="71"/>
  <c r="H27" i="37"/>
  <c r="H49" i="72" l="1"/>
  <c r="H28" i="45"/>
  <c r="H20" i="44"/>
  <c r="H37" i="38"/>
  <c r="H22" i="44"/>
  <c r="H30" i="37"/>
  <c r="H45" i="42"/>
  <c r="I158" i="71"/>
</calcChain>
</file>

<file path=xl/sharedStrings.xml><?xml version="1.0" encoding="utf-8"?>
<sst xmlns="http://schemas.openxmlformats.org/spreadsheetml/2006/main" count="2171" uniqueCount="1456">
  <si>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</si>
  <si>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</si>
  <si>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</si>
  <si>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</si>
  <si>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</si>
  <si>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</si>
  <si>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</si>
  <si>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</si>
  <si>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</si>
  <si>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</si>
  <si>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</si>
  <si>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</si>
  <si>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</si>
  <si>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</si>
  <si>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</si>
  <si>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</si>
  <si>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</si>
  <si>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</si>
  <si>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</si>
  <si>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</si>
  <si>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</si>
  <si>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</si>
  <si>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</si>
  <si>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</si>
  <si>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</si>
  <si>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</si>
  <si>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</si>
  <si>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</si>
  <si>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</si>
  <si>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</si>
  <si>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</si>
  <si>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</si>
  <si>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</si>
  <si>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</si>
  <si>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</si>
  <si>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</si>
  <si>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</si>
  <si>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</si>
  <si>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</si>
  <si>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</si>
  <si>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</si>
  <si>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</si>
  <si>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</si>
  <si>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</si>
  <si>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</si>
  <si>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</si>
  <si>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</si>
  <si>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</si>
  <si>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</si>
  <si>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</si>
  <si>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</si>
  <si>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</si>
  <si>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</si>
  <si>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</si>
  <si>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</si>
  <si>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</si>
  <si>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</si>
  <si>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</si>
  <si>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</si>
  <si>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</si>
  <si>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</si>
  <si>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</si>
  <si>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</si>
  <si>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</si>
  <si>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</si>
  <si>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</si>
  <si>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</si>
  <si>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</si>
  <si>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</si>
  <si>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</si>
  <si>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</si>
  <si>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</si>
  <si>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</si>
  <si>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</si>
  <si>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</si>
  <si>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</si>
  <si>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</si>
  <si>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</si>
  <si>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</si>
  <si>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</si>
  <si>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</si>
  <si>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</si>
  <si>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</si>
  <si>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</si>
  <si>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</si>
  <si>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</si>
  <si>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</si>
  <si>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</si>
  <si>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</si>
  <si>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</si>
  <si>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</si>
  <si>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</si>
  <si>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</si>
  <si>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</si>
  <si>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</si>
  <si>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</si>
  <si>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</si>
  <si>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</si>
  <si>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</si>
  <si>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</si>
  <si>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</si>
  <si>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</si>
  <si>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</si>
  <si>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</si>
  <si>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</si>
  <si>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</si>
  <si>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</si>
  <si>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</si>
  <si>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</si>
  <si>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</si>
  <si>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</si>
  <si>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</si>
  <si>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</si>
  <si>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</si>
  <si>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</si>
  <si>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</si>
  <si>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</si>
  <si>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</si>
  <si>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</si>
  <si>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</si>
  <si>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</si>
  <si>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</si>
  <si>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</si>
  <si>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</si>
  <si>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</si>
  <si>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</si>
  <si>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</si>
  <si>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</si>
  <si>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</si>
  <si>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</si>
  <si>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</si>
  <si>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</si>
  <si>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</si>
  <si>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</si>
  <si>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</si>
  <si>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</si>
  <si>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</si>
  <si>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</si>
  <si>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</si>
  <si>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</si>
  <si>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</si>
  <si>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</si>
  <si>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</si>
  <si>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</si>
  <si>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</si>
  <si>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</si>
  <si>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</si>
  <si>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</si>
  <si>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</si>
  <si>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</si>
  <si>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</si>
  <si>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</si>
  <si>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</si>
  <si>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</si>
  <si>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</si>
  <si>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</si>
  <si>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</si>
  <si>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</si>
  <si>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</si>
  <si>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</si>
  <si>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</si>
  <si>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</si>
  <si>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</si>
  <si>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</si>
  <si>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</si>
  <si>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</si>
  <si>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</si>
  <si>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</si>
  <si>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</si>
  <si>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</si>
  <si>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</si>
  <si>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</si>
  <si>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</si>
  <si>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</si>
  <si>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</si>
  <si>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</si>
  <si>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</si>
  <si>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</si>
  <si>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</si>
  <si>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</si>
  <si>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</si>
  <si>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</si>
  <si>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</si>
  <si>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</si>
  <si>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</si>
  <si>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</si>
  <si>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</si>
  <si>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</si>
  <si>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</si>
  <si>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</si>
  <si>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</si>
  <si>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</si>
  <si>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</si>
  <si>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</si>
  <si>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</si>
  <si>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</si>
  <si>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</si>
  <si>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</si>
  <si>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</si>
  <si>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</si>
  <si>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</si>
  <si>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</si>
  <si>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</si>
  <si>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</si>
  <si>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</si>
  <si>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</si>
  <si>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</si>
  <si>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</si>
  <si>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</si>
  <si>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</si>
  <si>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</si>
  <si>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</si>
  <si>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</si>
  <si>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</si>
  <si>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</si>
  <si>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</si>
  <si>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</si>
  <si>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</si>
  <si>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</si>
  <si>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</si>
  <si>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</si>
  <si>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</si>
  <si>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</si>
  <si>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</si>
  <si>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</si>
  <si>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</si>
  <si>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</si>
  <si>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</si>
  <si>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</si>
  <si>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</si>
  <si>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</si>
  <si>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</si>
  <si>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</si>
  <si>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</si>
  <si>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</si>
  <si>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</si>
  <si>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</si>
  <si>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</si>
  <si>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</si>
  <si>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</si>
  <si>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</si>
  <si>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</si>
  <si>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</si>
  <si>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</si>
  <si>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</si>
  <si>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</si>
  <si>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</si>
  <si>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</si>
  <si>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</si>
  <si>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</si>
  <si>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</si>
  <si>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</si>
  <si>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</si>
  <si>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</si>
  <si>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</si>
  <si>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</si>
  <si>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</si>
  <si>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</si>
  <si>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</si>
  <si>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</si>
  <si>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</si>
  <si>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</si>
  <si>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</si>
  <si>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</si>
  <si>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</si>
  <si>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</si>
  <si>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</si>
  <si>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</si>
  <si>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</si>
  <si>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</si>
  <si>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</si>
  <si>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</si>
  <si>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</si>
  <si>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</si>
  <si>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</si>
  <si>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</si>
  <si>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</si>
  <si>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</si>
  <si>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</si>
  <si>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</si>
  <si>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</si>
  <si>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</si>
  <si>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</si>
  <si>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</si>
  <si>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</si>
  <si>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</si>
  <si>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</si>
  <si>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</si>
  <si>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</si>
  <si>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</si>
  <si>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</si>
  <si>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</si>
  <si>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</si>
  <si>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</si>
  <si>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</si>
  <si>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</si>
  <si>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</si>
  <si>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</si>
  <si>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</si>
  <si>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</si>
  <si>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</si>
  <si>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</si>
  <si>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</si>
  <si>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</si>
  <si>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</si>
  <si>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</si>
  <si>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</si>
  <si>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</si>
  <si>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</si>
  <si>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</si>
  <si>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</si>
  <si>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</si>
  <si>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</si>
  <si>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</si>
  <si>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</si>
  <si>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</si>
  <si>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</si>
  <si>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</si>
  <si>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</si>
  <si>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</si>
  <si>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</si>
  <si>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</si>
  <si>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</si>
  <si>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</si>
  <si>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</si>
  <si>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</si>
  <si>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</si>
  <si>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</si>
  <si>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</si>
  <si>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</si>
  <si>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</si>
  <si>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</si>
  <si>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</si>
  <si>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</si>
  <si>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</si>
  <si>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</si>
  <si>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</si>
  <si>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</si>
  <si>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</si>
  <si>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</si>
  <si>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</si>
  <si>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</si>
  <si>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</si>
  <si>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</si>
  <si>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</si>
  <si>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</si>
  <si>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</si>
  <si>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</si>
  <si>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</si>
  <si>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</si>
  <si>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</si>
  <si>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</si>
  <si>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</si>
  <si>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</si>
  <si>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</si>
  <si>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</si>
  <si>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</si>
  <si>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</si>
  <si>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</si>
  <si>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</si>
  <si>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</si>
  <si>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</si>
  <si>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</si>
  <si>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</si>
  <si>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</si>
  <si>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</si>
  <si>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</si>
  <si>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</si>
  <si>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</si>
  <si>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</si>
  <si>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</si>
  <si>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</si>
  <si>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</si>
  <si>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</si>
  <si>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</si>
  <si>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</si>
  <si>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</si>
  <si>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</si>
  <si>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</si>
  <si>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</si>
  <si>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</si>
  <si>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</si>
  <si>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</si>
  <si>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</si>
  <si>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</si>
  <si>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</si>
  <si>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</si>
  <si>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</si>
  <si>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</si>
  <si>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</si>
  <si>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</si>
  <si>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</si>
  <si>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</si>
  <si>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</si>
  <si>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</si>
  <si>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</si>
  <si>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</si>
  <si>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</si>
  <si>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</si>
  <si>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</si>
  <si>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</si>
  <si>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</si>
  <si>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</si>
  <si>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</si>
  <si>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</si>
  <si>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</si>
  <si>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</si>
  <si>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</si>
  <si>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</si>
  <si>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</si>
  <si>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</si>
  <si>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</si>
  <si>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</si>
  <si>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</si>
  <si>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</si>
  <si>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</si>
  <si>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</si>
  <si>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</si>
  <si>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</si>
  <si>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</si>
  <si>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</si>
  <si>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</si>
  <si>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</si>
  <si>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</si>
  <si>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</si>
  <si>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</si>
  <si>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</si>
  <si>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</si>
  <si>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</si>
  <si>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</si>
  <si>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</si>
  <si>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</si>
  <si>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</si>
  <si>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</si>
  <si>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</si>
  <si>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</si>
  <si>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</si>
  <si>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</si>
  <si>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</si>
  <si>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</si>
  <si>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</si>
  <si>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</si>
  <si>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</si>
  <si>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</si>
  <si>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</si>
  <si>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</si>
  <si>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</si>
  <si>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</si>
  <si>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</si>
  <si>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</si>
  <si>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indexed="8"/>
        <rFont val="Arial Narrow"/>
        <family val="2"/>
      </rPr>
      <t xml:space="preserve"> FEDERALES</t>
    </r>
  </si>
  <si>
    <r>
      <t xml:space="preserve">Transferencias, Asignaciones, Subsidios y Otras Ayudas </t>
    </r>
    <r>
      <rPr>
        <b/>
        <u/>
        <sz val="10"/>
        <color indexed="8"/>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</si>
  <si>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</si>
  <si>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</si>
  <si>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</si>
  <si>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</si>
  <si>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</si>
  <si>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</si>
  <si>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</si>
  <si>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</si>
  <si>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</si>
  <si>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</si>
  <si>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</si>
  <si>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</si>
  <si>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indexed="8"/>
        <rFont val="Arial Narrow"/>
        <family val="2"/>
      </rPr>
      <t>FEDERALES</t>
    </r>
  </si>
  <si>
    <r>
      <t xml:space="preserve">Transferencias, Asignaciones, Subsidios y Otras Ayudas, </t>
    </r>
    <r>
      <rPr>
        <b/>
        <u/>
        <sz val="10"/>
        <color indexed="8"/>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</si>
  <si>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</si>
  <si>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</si>
  <si>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</si>
  <si>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</si>
  <si>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</si>
  <si>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</si>
  <si>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</si>
  <si>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</si>
  <si>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</si>
  <si>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</si>
  <si>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</si>
  <si>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</si>
  <si>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</si>
  <si>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</si>
  <si>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</si>
  <si>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</si>
  <si>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</si>
  <si>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</si>
  <si>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</si>
  <si>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</si>
  <si>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</si>
  <si>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</si>
  <si>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</si>
  <si>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</si>
  <si>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</si>
  <si>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</si>
  <si>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</si>
  <si>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</si>
  <si>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</si>
  <si>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</si>
  <si>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</si>
  <si>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</si>
  <si>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</si>
  <si>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</si>
  <si>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</si>
  <si>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</si>
  <si>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</si>
  <si>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</si>
  <si>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</si>
  <si>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</si>
  <si>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</si>
  <si>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</si>
  <si>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</si>
  <si>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</si>
  <si>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</si>
  <si>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</si>
  <si>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</si>
  <si>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</si>
  <si>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</si>
  <si>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</si>
  <si>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</si>
  <si>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</si>
  <si>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</si>
  <si>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</si>
  <si>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</si>
  <si>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</si>
  <si>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</si>
  <si>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</si>
  <si>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</si>
  <si>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</si>
  <si>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</si>
  <si>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</si>
  <si>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</si>
  <si>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</si>
  <si>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</si>
  <si>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</si>
  <si>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</si>
  <si>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</si>
  <si>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</si>
  <si>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</si>
  <si>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</si>
  <si>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</si>
  <si>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</si>
  <si>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</si>
  <si>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</si>
  <si>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</si>
  <si>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</si>
  <si>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</si>
  <si>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</si>
  <si>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</si>
  <si>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</si>
  <si>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</si>
  <si>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</si>
  <si>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</si>
  <si>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</si>
  <si>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</si>
  <si>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</si>
  <si>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</si>
  <si>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</si>
  <si>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</si>
  <si>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</si>
  <si>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</si>
  <si>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</si>
  <si>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</si>
  <si>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</si>
  <si>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</si>
  <si>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</si>
  <si>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</si>
  <si>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</si>
  <si>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</si>
  <si>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</si>
  <si>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</si>
  <si>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</si>
  <si>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</si>
  <si>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</si>
  <si>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</si>
  <si>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</si>
  <si>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</si>
  <si>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</si>
  <si>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</si>
  <si>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</si>
  <si>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</si>
  <si>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</si>
  <si>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</si>
  <si>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</si>
  <si>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</si>
  <si>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</si>
  <si>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</si>
  <si>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</si>
  <si>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</si>
  <si>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</si>
  <si>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</si>
  <si>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</si>
  <si>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</si>
  <si>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</si>
  <si>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</si>
  <si>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</si>
  <si>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</si>
  <si>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</si>
  <si>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</si>
  <si>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</si>
  <si>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</si>
  <si>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</si>
  <si>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</si>
  <si>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</si>
  <si>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</si>
  <si>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</si>
  <si>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</si>
  <si>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</si>
  <si>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</si>
  <si>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</si>
  <si>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</si>
  <si>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</si>
  <si>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</si>
  <si>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</si>
  <si>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</si>
  <si>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</si>
  <si>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</si>
  <si>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</si>
  <si>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</si>
  <si>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</si>
  <si>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</si>
  <si>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</si>
  <si>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</si>
  <si>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</si>
  <si>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</si>
  <si>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</si>
  <si>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</si>
  <si>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</si>
  <si>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</si>
  <si>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</si>
  <si>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</si>
  <si>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</si>
  <si>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</si>
  <si>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</si>
  <si>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</si>
  <si>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</si>
  <si>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</si>
  <si>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</si>
  <si>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</si>
  <si>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</si>
  <si>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</si>
  <si>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</si>
  <si>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</si>
  <si>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</si>
  <si>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</si>
  <si>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</si>
  <si>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</si>
  <si>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</si>
  <si>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</si>
  <si>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</si>
  <si>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</si>
  <si>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</si>
  <si>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</si>
  <si>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</si>
  <si>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</si>
  <si>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</si>
  <si>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</si>
  <si>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</si>
  <si>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</si>
  <si>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</si>
  <si>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</si>
  <si>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</si>
  <si>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</si>
  <si>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</si>
  <si>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</si>
  <si>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</si>
  <si>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</si>
  <si>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</si>
  <si>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</si>
  <si>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</si>
  <si>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</si>
  <si>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</si>
  <si>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</si>
  <si>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</si>
  <si>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</si>
  <si>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</si>
  <si>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</si>
  <si>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</si>
  <si>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</si>
  <si>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</si>
  <si>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</si>
  <si>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</si>
  <si>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</si>
  <si>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</si>
  <si>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</si>
  <si>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</si>
  <si>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</si>
  <si>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</si>
  <si>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</si>
  <si>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</si>
  <si>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</si>
  <si>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</si>
  <si>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</si>
  <si>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</si>
  <si>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</si>
  <si>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</si>
  <si>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</si>
  <si>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</si>
  <si>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</si>
  <si>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</si>
  <si>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</si>
  <si>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</si>
  <si>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</si>
  <si>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</si>
  <si>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</si>
  <si>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</si>
  <si>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</si>
  <si>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</si>
  <si>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</si>
  <si>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</si>
  <si>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</si>
  <si>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</si>
  <si>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</si>
  <si>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</si>
  <si>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</si>
  <si>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</si>
  <si>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</si>
  <si>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</si>
  <si>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</si>
  <si>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</si>
  <si>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</si>
  <si>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</si>
  <si>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</si>
  <si>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</si>
  <si>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</si>
  <si>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</si>
  <si>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</si>
  <si>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</si>
  <si>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</si>
  <si>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</si>
  <si>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</si>
  <si>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</si>
  <si>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</si>
  <si>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</si>
  <si>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</si>
  <si>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</si>
  <si>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</si>
  <si>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</si>
  <si>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</si>
  <si>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</si>
  <si>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</si>
  <si>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</si>
  <si>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</si>
  <si>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</si>
  <si>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</si>
  <si>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</si>
  <si>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</si>
  <si>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</si>
  <si>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</si>
  <si>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</si>
  <si>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</si>
  <si>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</si>
  <si>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</si>
  <si>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</si>
  <si>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</si>
  <si>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</si>
  <si>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</si>
  <si>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</si>
  <si>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</si>
  <si>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</si>
  <si>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</si>
  <si>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</si>
  <si>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</si>
  <si>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</si>
  <si>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</si>
  <si>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</si>
  <si>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</si>
  <si>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</si>
  <si>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</si>
  <si>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</si>
  <si>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</si>
  <si>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</si>
  <si>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</si>
  <si>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</si>
  <si>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</si>
  <si>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</si>
  <si>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</si>
  <si>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</si>
  <si>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</si>
  <si>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</si>
  <si>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</si>
  <si>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</si>
  <si>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</si>
  <si>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</si>
  <si>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</si>
  <si>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</si>
  <si>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</si>
  <si>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</si>
  <si>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</si>
  <si>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</si>
  <si>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</si>
  <si>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</si>
  <si>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</si>
  <si>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</si>
  <si>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</si>
  <si>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</si>
  <si>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</si>
  <si>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</si>
  <si>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</si>
  <si>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</si>
  <si>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</si>
  <si>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</si>
  <si>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</si>
  <si>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</si>
  <si>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</si>
  <si>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</si>
  <si>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</si>
  <si>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</si>
  <si>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</si>
  <si>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</si>
  <si>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</si>
  <si>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</si>
  <si>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</si>
  <si>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</si>
  <si>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</si>
  <si>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</si>
  <si>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</si>
  <si>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</si>
  <si>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</si>
  <si>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</si>
  <si>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</si>
  <si>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</si>
  <si>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</si>
  <si>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</si>
  <si>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</si>
  <si>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</si>
  <si>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</si>
  <si>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</si>
  <si>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</si>
  <si>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</si>
  <si>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</si>
  <si>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</si>
  <si>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</si>
  <si>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</si>
  <si>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</si>
  <si>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</si>
  <si>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</si>
  <si>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</si>
  <si>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</si>
  <si>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</si>
  <si>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</si>
  <si>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</si>
  <si>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</si>
  <si>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</si>
  <si>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</si>
  <si>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</si>
  <si>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</si>
  <si>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</si>
  <si>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</si>
  <si>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</si>
  <si>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</si>
  <si>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</si>
  <si>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</si>
  <si>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</si>
  <si>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</si>
  <si>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</si>
  <si>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</si>
  <si>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</si>
  <si>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</si>
  <si>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</si>
  <si>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</si>
  <si>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</si>
  <si>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</si>
  <si>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</si>
  <si>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</si>
  <si>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</si>
  <si>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</si>
  <si>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</si>
  <si>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</si>
  <si>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</si>
  <si>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</si>
  <si>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</si>
  <si>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</si>
  <si>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</si>
  <si>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</si>
  <si>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</si>
  <si>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</si>
  <si>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</si>
  <si>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</si>
  <si>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</si>
  <si>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</si>
  <si>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</si>
  <si>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</si>
  <si>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</si>
  <si>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</si>
  <si>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</si>
  <si>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</si>
  <si>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</si>
  <si>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</si>
  <si>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</si>
  <si>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</si>
  <si>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</si>
  <si>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</si>
  <si>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</si>
  <si>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</si>
  <si>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</si>
  <si>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</si>
  <si>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</si>
  <si>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</si>
  <si>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</si>
  <si>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</si>
  <si>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</si>
  <si>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</si>
  <si>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</si>
  <si>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</si>
  <si>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</si>
  <si>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</si>
  <si>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</si>
  <si>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</si>
  <si>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</si>
  <si>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</si>
  <si>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</si>
  <si>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</si>
  <si>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</si>
  <si>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</si>
  <si>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</si>
  <si>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</si>
  <si>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</si>
  <si>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</si>
  <si>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</si>
  <si>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</si>
  <si>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</si>
  <si>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</si>
  <si>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</si>
  <si>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</si>
  <si>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</si>
  <si>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</si>
  <si>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</si>
  <si>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</si>
  <si>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</si>
  <si>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</si>
  <si>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</si>
  <si>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</si>
  <si>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</si>
  <si>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</si>
  <si>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</si>
  <si>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</si>
  <si>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</si>
  <si>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</si>
  <si>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</si>
  <si>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</si>
  <si>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</si>
  <si>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</si>
  <si>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</si>
  <si>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</si>
  <si>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</si>
  <si>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</si>
  <si>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</si>
  <si>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</si>
  <si>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</si>
  <si>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</si>
  <si>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</si>
  <si>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</si>
  <si>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</si>
  <si>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</si>
  <si>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</si>
  <si>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</si>
  <si>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</si>
  <si>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</si>
  <si>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</si>
  <si>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</si>
  <si>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</si>
  <si>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</si>
  <si>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</si>
  <si>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</si>
  <si>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</si>
  <si>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</si>
  <si>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</si>
  <si>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</si>
  <si>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</si>
  <si>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indexed="8"/>
        <rFont val="Arial Narrow"/>
        <family val="2"/>
      </rPr>
      <t>1</t>
    </r>
    <r>
      <rPr>
        <b/>
        <sz val="7.5"/>
        <color indexed="8"/>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</si>
  <si>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</si>
  <si>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</si>
  <si>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</si>
  <si>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</si>
  <si>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</si>
  <si>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</si>
  <si>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</si>
  <si>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</si>
  <si>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</si>
  <si>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</si>
  <si>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</si>
  <si>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</si>
  <si>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</si>
  <si>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</si>
  <si>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</si>
  <si>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</si>
  <si>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</si>
  <si>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</si>
  <si>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</si>
  <si>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</si>
  <si>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</si>
  <si>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</si>
  <si>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</si>
  <si>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</si>
  <si>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</si>
  <si>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</si>
  <si>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</si>
  <si>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</si>
  <si>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</si>
  <si>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</si>
  <si>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</si>
  <si>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</si>
  <si>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</si>
  <si>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</si>
  <si>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</si>
  <si>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</si>
  <si>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</si>
  <si>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</si>
  <si>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</si>
  <si>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</si>
  <si>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</si>
  <si>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</si>
  <si>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</si>
  <si>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</si>
  <si>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</si>
  <si>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</si>
  <si>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</si>
  <si>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</si>
  <si>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</si>
  <si>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</si>
  <si>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</si>
  <si>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</si>
  <si>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</si>
  <si>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</si>
  <si>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</si>
  <si>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</si>
  <si>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</si>
  <si>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</si>
  <si>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</si>
  <si>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</si>
  <si>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</si>
  <si>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</si>
  <si>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</si>
  <si>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</si>
  <si>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</si>
  <si>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</si>
  <si>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</si>
  <si>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</si>
  <si>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</si>
  <si>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</si>
  <si>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</si>
  <si>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</si>
  <si>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</si>
  <si>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</si>
  <si>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</si>
  <si>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</si>
  <si>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</si>
  <si>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</si>
  <si>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</si>
  <si>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</si>
  <si>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</si>
  <si>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</si>
  <si>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</si>
  <si>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</si>
  <si>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</si>
  <si>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</si>
  <si>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</si>
  <si>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</si>
  <si>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</si>
  <si>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</si>
  <si>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</si>
  <si>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</si>
  <si>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</si>
  <si>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</si>
  <si>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</si>
  <si>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</si>
  <si>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Contribuido Neto de 2017</t>
  </si>
  <si>
    <t>Hacienda Pública / Patrimonio Generado Neto de 2017</t>
  </si>
  <si>
    <t>Hacienda Pública / Patrimonio Neto Final de 2017</t>
  </si>
  <si>
    <t>Cambios en la Hacienda Pública / Patrimonio Contribuido Neto de 2018</t>
  </si>
  <si>
    <t>Variaciones de la Hacienda Pública / Patrimonio Generado Neto de 2018</t>
  </si>
  <si>
    <t>Cambios en el Exceso o Insuficiencia en la Actualización de la Hacienda Pública / Patrimonio Neto de 2018</t>
  </si>
  <si>
    <t>Hacienda Pública / Patrimonio Neto Final de 2018</t>
  </si>
  <si>
    <t>Exceso o Insuficiencia en la Actualización de la Hacienda Pública / Patrimonio Neto de 2017</t>
  </si>
  <si>
    <t>31 de diciembre de 2017</t>
  </si>
  <si>
    <t>Monto pagado de la inversión al XX de XXXXXX de 2018 (k)</t>
  </si>
  <si>
    <t>Monto pagado de la inversión actualizado al XX de XXXXXX de 2018 (l)</t>
  </si>
  <si>
    <t>Saldo pendiente por pagar de la inversión al XX de XXXXXX de 2018 (m = g – l)</t>
  </si>
  <si>
    <t>Dependencia y/o Entidad:</t>
  </si>
  <si>
    <t>Programa Presupuestario:</t>
  </si>
  <si>
    <t>Eje del PED:</t>
  </si>
  <si>
    <t>Reto del PED:</t>
  </si>
  <si>
    <t>Beneficiarios:</t>
  </si>
  <si>
    <t>Resumen narrativo</t>
  </si>
  <si>
    <t>Indicadores</t>
  </si>
  <si>
    <t>Línea base</t>
  </si>
  <si>
    <t>Meta 2018</t>
  </si>
  <si>
    <t>Medios de verificación</t>
  </si>
  <si>
    <t>Supuestos</t>
  </si>
  <si>
    <t>Avance al período</t>
  </si>
  <si>
    <t>% de Avance</t>
  </si>
  <si>
    <t>(Objetivos)</t>
  </si>
  <si>
    <t>Nombre</t>
  </si>
  <si>
    <t>Fórmula</t>
  </si>
  <si>
    <t>Sentido</t>
  </si>
  <si>
    <t>Unidad de medida</t>
  </si>
  <si>
    <t>Frecuencia</t>
  </si>
  <si>
    <t>Valor 2016</t>
  </si>
  <si>
    <t>(Fuentes)</t>
  </si>
  <si>
    <t>FIN</t>
  </si>
  <si>
    <t>PROPÓSITO</t>
  </si>
  <si>
    <t xml:space="preserve">COMPONENTE </t>
  </si>
  <si>
    <t xml:space="preserve">ACTIVIDAD </t>
  </si>
  <si>
    <t>Gasto por Programa Presupuestario (NO APLICA)</t>
  </si>
  <si>
    <t>Relación de esquemas bursátiles y de coberturas financieras (SOLO EN CUENTA PÚBLICA)</t>
  </si>
  <si>
    <t>Relación de Bienes que Componen su Patrimonio (SEGUNDO TRIMESTRE y CUENTA PÚBLICA)</t>
  </si>
  <si>
    <t>al 31 de diciembre de 2017(d)</t>
  </si>
  <si>
    <t>TELEVISORA DE HERMOSILLO, S.A. DE C.V.</t>
  </si>
  <si>
    <t>Pesos Propios Televisora de Hermosillo, S.A. de C.V.</t>
  </si>
  <si>
    <t>HSBC</t>
  </si>
  <si>
    <t>BBVA Bancomer</t>
  </si>
  <si>
    <t>Santander</t>
  </si>
  <si>
    <t>Banco Interacciones</t>
  </si>
  <si>
    <t>071302967-3</t>
  </si>
  <si>
    <t>514650036-9</t>
  </si>
  <si>
    <t>6521970561-5</t>
  </si>
  <si>
    <t>Pesos</t>
  </si>
  <si>
    <t>TIE + 1.8</t>
  </si>
  <si>
    <t>No existe pasivo contingente a corto plazo</t>
  </si>
  <si>
    <t>No existe pasivo contingente a largo plazo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</si>
  <si>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</si>
  <si>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</si>
  <si>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</si>
  <si>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</si>
  <si>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</si>
  <si>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</si>
  <si>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</si>
  <si>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</si>
  <si>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</si>
  <si>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</si>
  <si>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</si>
  <si>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</si>
  <si>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</si>
  <si>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</si>
  <si>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</si>
  <si>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</si>
  <si>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</si>
  <si>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</si>
  <si>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</si>
  <si>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</si>
  <si>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</si>
  <si>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</si>
  <si>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</si>
  <si>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</si>
  <si>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</si>
  <si>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</si>
  <si>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</si>
  <si>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</si>
  <si>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</si>
  <si>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</si>
  <si>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</si>
  <si>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</si>
  <si>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</si>
  <si>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</si>
  <si>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</si>
  <si>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</si>
  <si>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</si>
  <si>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</si>
  <si>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</si>
  <si>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</si>
  <si>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</si>
  <si>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</si>
  <si>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</si>
  <si>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</si>
  <si>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</si>
  <si>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</si>
  <si>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</si>
  <si>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</si>
  <si>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</si>
  <si>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</si>
  <si>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</si>
  <si>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</si>
  <si>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</si>
  <si>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</si>
  <si>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</si>
  <si>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</si>
  <si>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</si>
  <si>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</si>
  <si>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</si>
  <si>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</si>
  <si>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</si>
  <si>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</si>
  <si>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</si>
  <si>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</si>
  <si>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</si>
  <si>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</si>
  <si>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</si>
  <si>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</si>
  <si>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</si>
  <si>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</si>
  <si>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</si>
  <si>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</si>
  <si>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</si>
  <si>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</si>
  <si>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</si>
  <si>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</si>
  <si>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</si>
  <si>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</si>
  <si>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</si>
  <si>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</si>
  <si>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</si>
  <si>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</si>
  <si>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</si>
  <si>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</si>
  <si>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</si>
  <si>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</si>
  <si>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</si>
  <si>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</si>
  <si>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</si>
  <si>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</si>
  <si>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</si>
  <si>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</si>
  <si>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</si>
  <si>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</si>
  <si>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</si>
  <si>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</si>
  <si>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</si>
  <si>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</si>
  <si>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</si>
  <si>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</si>
  <si>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</si>
  <si>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</si>
  <si>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</si>
  <si>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</si>
  <si>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</si>
  <si>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</si>
  <si>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</si>
  <si>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</si>
  <si>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</si>
  <si>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</si>
  <si>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</si>
  <si>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</si>
  <si>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</si>
  <si>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</si>
  <si>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</si>
  <si>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</si>
  <si>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</si>
  <si>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</si>
  <si>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</si>
  <si>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</si>
  <si>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</si>
  <si>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</si>
  <si>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</si>
  <si>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</si>
  <si>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</si>
  <si>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</si>
  <si>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</si>
  <si>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</si>
  <si>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</si>
  <si>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</si>
  <si>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</si>
  <si>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</si>
  <si>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</si>
  <si>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</si>
  <si>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</si>
  <si>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</si>
  <si>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</si>
  <si>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</si>
  <si>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</si>
  <si>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</si>
  <si>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</si>
  <si>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</si>
  <si>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</si>
  <si>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</si>
  <si>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</si>
  <si>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</si>
  <si>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</si>
  <si>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</si>
  <si>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</si>
  <si>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Bienes informáticos</t>
  </si>
  <si>
    <t>Equipos y aparatos audiovisuales</t>
  </si>
  <si>
    <t>Camaras fotograficas y de video</t>
  </si>
  <si>
    <t>Sistemas de Aire Acondicionado</t>
  </si>
  <si>
    <t>Amortización de Capital a Largo Plazo</t>
  </si>
  <si>
    <t>Pago de Intereses Largo Plazo</t>
  </si>
  <si>
    <t>TECNICOS Y REPETIDORAS</t>
  </si>
  <si>
    <t>NOTICIAS</t>
  </si>
  <si>
    <t>VENTAS</t>
  </si>
  <si>
    <t>ADMINISTRACION</t>
  </si>
  <si>
    <t>OPERACIONES</t>
  </si>
  <si>
    <t>DIRECCION</t>
  </si>
  <si>
    <t>AUDITORIAS</t>
  </si>
  <si>
    <t>SISTEMA ESTATAL DE EVALUACION</t>
  </si>
  <si>
    <t>ANEXO</t>
  </si>
  <si>
    <t>COD</t>
  </si>
  <si>
    <t>PARTIDA</t>
  </si>
  <si>
    <t>ORIGINAL</t>
  </si>
  <si>
    <t>VARIACIÓN</t>
  </si>
  <si>
    <t>JUSTIFICACION</t>
  </si>
  <si>
    <t>La variación a la presente se deriva de un ajuste en el presupuesto al capitulo 1000, reclasificandolo al capitulo 9000 de la Deuda Pública, por recomendación de los Entes Fiscalizadores</t>
  </si>
  <si>
    <t>Remuneraciones diversas</t>
  </si>
  <si>
    <t>Honorarios</t>
  </si>
  <si>
    <t>Primas de Vacaciones y Dominical</t>
  </si>
  <si>
    <t>Gratificación de fin de año</t>
  </si>
  <si>
    <t>Aportaciones al ISSSTE</t>
  </si>
  <si>
    <t>Aportaciones al FOVISSSTE</t>
  </si>
  <si>
    <t>Aportaciones al fondo de ahorro de los Trabajadores</t>
  </si>
  <si>
    <t>Dias económicos y de descanso obligatorios no disfrutados</t>
  </si>
  <si>
    <t>La presente variación se deriva de una reclasificación de prespuesto del capítulo 2000 al capitulo 1000 por recomendación del los Entes Fiscalizadores.</t>
  </si>
  <si>
    <t>Estímulos al personal</t>
  </si>
  <si>
    <t>La variación a al presente se deriva por realizarse el pago de Bono de Productividad 2018 al personal, pactado en Convenio con STIRTT y llevarse a cabo el día 31 de Mayo de 2018.</t>
  </si>
  <si>
    <t>Materiales, útiles y equipos menores de oficina</t>
  </si>
  <si>
    <t>La presente disminución se da principalmente ya que se aplicaron reducciones en el partida para cubrir necesidades mas urgentes en otros rubros de la misma 2000.</t>
  </si>
  <si>
    <t>Material Eléctrico y Electrónico</t>
  </si>
  <si>
    <t>La variación a la presente se da por la adquisición de material para diferentes reparaciones a las instalaciones.</t>
  </si>
  <si>
    <t>Medicinas y productos farmacéuticos</t>
  </si>
  <si>
    <t>La variación en la presente se deriva por la adquisición de Uniformes de trabajo para las Areas de Noticias y Operaciones necesarios durante la Contienda Electoral 2018.</t>
  </si>
  <si>
    <t>Refacciones y accesorios menores de equipo de cómputo y T.I.</t>
  </si>
  <si>
    <t>La variación en la presente se deriva por la adquisición de refacciones menores de equipo de cómputo y camaras de video.</t>
  </si>
  <si>
    <t>Refacciones y accesorios menores de equipo de transporte</t>
  </si>
  <si>
    <t>La variación en la presente se deriva por la adquisición de refacciones para el mejor funcionamiento de la flotilla vehicular.</t>
  </si>
  <si>
    <t>Servicios de Telecomunicaciones y Satélites</t>
  </si>
  <si>
    <t>La presente disminución se da principalmente ya que se aplicaron reducciones en el partida para cubrir necesidades mas urgentes en otros rubros de la misma 3000.</t>
  </si>
  <si>
    <t>Servicios de acceso a Internet, Redes y Procesamiento de Infomación</t>
  </si>
  <si>
    <t>La variación en la presente se deriva por el pago de adecuaciones a los servicios de internet para el mejor procesamiento de la información a transmitir en los diferentes programas de la Televisora.</t>
  </si>
  <si>
    <t>La variación en la presente se deriva por el envío de equipo informático a Técnicos especializados para reparación de los mismos.</t>
  </si>
  <si>
    <t>Arrendamiento de equipo y bienes Informáticos</t>
  </si>
  <si>
    <t>Servicios legales, de contabilidad, auditorias y relacionados</t>
  </si>
  <si>
    <t>Servicios de Informática</t>
  </si>
  <si>
    <t>Servicios de Capacitación</t>
  </si>
  <si>
    <t>La variación a la presente se deriva del pago de Capacitación en actualizaciones de todos los Sistemas Administrativos utilizados en la entidad, así como de enseñanza en cuestiones administrativas.</t>
  </si>
  <si>
    <t>La presente disminución se deriva de un ajuste en el presupuesto al capitulo 3000 reclasificandolo al capitulo 9000 de la Deuda Pública por el pago de intereses por crédito con Banco Interacciones, por recomendación de los Entes Fiscalizadores</t>
  </si>
  <si>
    <t>Mantenimiento y Conservación de Inmuebles</t>
  </si>
  <si>
    <t>La presente ajuste a la partida se deriva del pago de implementos necesarios para el mantenimiento de los edificios y areas de descanso.</t>
  </si>
  <si>
    <t>Mantenimiento y Conservación de Mobiliario y Equipo</t>
  </si>
  <si>
    <t>Mantenimiento y Conservación de Equipo de Transporte</t>
  </si>
  <si>
    <t>Servicios de Limpieza y manejo desechos</t>
  </si>
  <si>
    <t>Servicios de Creatividad, preproducción y producción de publicidad, excepto internet</t>
  </si>
  <si>
    <t xml:space="preserve">Se requirió de la presente para cubrir los servicios de conducción y asesorias especiales, asi como de servicios especiales para transmision de eventos. </t>
  </si>
  <si>
    <t>Impuestos y Derechos</t>
  </si>
  <si>
    <t>La variación a la presente se deriva del pago de derechos por el uso del espectro radioeléctrico</t>
  </si>
  <si>
    <t>Impuestos sobre nóminas</t>
  </si>
  <si>
    <t>Bienes Informáticos</t>
  </si>
  <si>
    <t>Atendiendo a las necesidades de la empresa para brindar mejor servicio e imagen hacia los clientes, se realizaron adquisiciones de equipos complemento para necesarios para el desarrollo de labores propias de Televisora</t>
  </si>
  <si>
    <t>Camaras fotográficas y de video</t>
  </si>
  <si>
    <t xml:space="preserve">Amortización de Capital a Largo Plazo </t>
  </si>
  <si>
    <t>La variación en la presente se deriva del reconocimiento de la Amortización de la deuda con Banco Interacciones.</t>
  </si>
  <si>
    <t>Pago de Intereses a Largo Plazo</t>
  </si>
  <si>
    <t>La variación en la presente se deriva del reconocimiento de los Intereses de la deuda con Banco Interacciones, ya que estos se habían incluído en el capitulo 3000 y por recomendación de los Entes Fiscalizadores se reclasificó.</t>
  </si>
  <si>
    <t>NOTA:</t>
  </si>
  <si>
    <t>LIC. GASPAR GABRIEL GIRON ORTEGA</t>
  </si>
  <si>
    <t>M.A. DANIEL HIDALGO HURTADO</t>
  </si>
  <si>
    <t>GERENTE DE ADMINISTRACION Y FINANZAS</t>
  </si>
  <si>
    <t>DIRECTOR GENERAL</t>
  </si>
  <si>
    <t>Al 30 de Septiembre de 2018</t>
  </si>
  <si>
    <t>Al 31 de Diciembre de 2017 y al 30 de Septiembre de 2018 (b)</t>
  </si>
  <si>
    <t>Del 01 de Enero al 30 de Septiembre de 2018</t>
  </si>
  <si>
    <t>ANALISIS DE VARIACIONES PROGRAMATICO-PRESUPUESTAL 30 DE SEPTIEMBRE DE  2018</t>
  </si>
  <si>
    <t>Existe  juicios pendiente de determinar fallo representando una contingencia aproximada de $ 145,681.87</t>
  </si>
  <si>
    <t>Grupo Financiero Banorte</t>
  </si>
  <si>
    <t>CREDITO BANCARIO SIMPLE GRUPO FINANCIERO BANORTE</t>
  </si>
  <si>
    <t>INTERESES CREDITO BANCO GRUPO FINANCIERO BANORTE</t>
  </si>
  <si>
    <t>Equipo de Comunicación y Telecomunicación</t>
  </si>
  <si>
    <t>Maquinaria y Equipo Electrico y Electronico</t>
  </si>
  <si>
    <t xml:space="preserve">                    TELEVISORA DE HERMOSILLO, S.A. DE C.V.</t>
  </si>
  <si>
    <t>MODIFICADO AL TERCER TRIMESTRE DE 2018</t>
  </si>
  <si>
    <t>La variación a la presente se deriva de un ajuste en el presupuesto al capitulo 1000, reclasificandolo al capitulo 9000 de la Deuda Pública, por recomendación de los Entes Fiscalizadores.</t>
  </si>
  <si>
    <t>Así como tambíen su aplicación en otro rubro de la 1000, Primas vacacionales y dominical la cual presentó insuficiencia.</t>
  </si>
  <si>
    <t>Material de Limpieza</t>
  </si>
  <si>
    <t>La variación a la presente se da por presentar insuficiencia y requerirla para el pago de materiales necesarios para la manutención del area de Operaciones ordenada y limpia.</t>
  </si>
  <si>
    <t>La variación a la presente se da por llevarse a cabo adquisicion de materiales necesarios para la Remodelación Total de Estudio B para transmisión de nueva programación.</t>
  </si>
  <si>
    <t>Así como tambíen por el pago de Doctorado en Administración Publica de Dirección.</t>
  </si>
  <si>
    <t>La presente disminución se da principalmente ya que se aplicaron reducciones en el partida para cubrir necesidades mas urgentes en otros rubros de la misma 3000, 31701 Servicio de acceso a internet, redes y procesamiento de información.</t>
  </si>
  <si>
    <t>Servicio de jardinería y fumigación</t>
  </si>
  <si>
    <t>La variación en la presente se deriva por el pago de servicios de mantenimiento y conservacion de las instalaciones mediante fumigacion en el archivo.</t>
  </si>
  <si>
    <t>Difusion por radio, television y otros medios</t>
  </si>
  <si>
    <t>La variación en la presente se deriva por el pago de servicios informativos para el área de Noticias.</t>
  </si>
  <si>
    <t>Servicios de Creación y difusion de contenidos</t>
  </si>
  <si>
    <t>Viáticos en el país</t>
  </si>
  <si>
    <t>Gastos de orden Social y Cultural</t>
  </si>
  <si>
    <t>Maquinaria y Equipo Electrico y Electrónico</t>
  </si>
  <si>
    <t>Se informa acerca de las variaciones presupuestales realizadas con corte al Tercer Trimestre de 2018,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</si>
  <si>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SISTEMA ESTATAL DE EVALUACION DEL DESEMPEÑO</t>
  </si>
  <si>
    <t>INFORME DEL PROGRAMA OPERATIVO ANUAL</t>
  </si>
  <si>
    <t>EVTOP-03</t>
  </si>
  <si>
    <t>TERCER TRIMESTRE 2018</t>
  </si>
  <si>
    <t>ENTIDAD: TELEVISORA DE HERMOSILLO, S.A. DE C.V.</t>
  </si>
  <si>
    <t>CLAVE</t>
  </si>
  <si>
    <t>PDE</t>
  </si>
  <si>
    <t>Estructura Administrativa</t>
  </si>
  <si>
    <t>META</t>
  </si>
  <si>
    <t>DESCRIPCIÓN</t>
  </si>
  <si>
    <t>UNIDAD</t>
  </si>
  <si>
    <t>M E T A S</t>
  </si>
  <si>
    <t>AVANCE FISICO %</t>
  </si>
  <si>
    <t>ER</t>
  </si>
  <si>
    <t>PROG.</t>
  </si>
  <si>
    <t>SUB   PROG</t>
  </si>
  <si>
    <t>DE</t>
  </si>
  <si>
    <t>ORIGINAL ANUAL</t>
  </si>
  <si>
    <t>MODIFICADO ANUAL</t>
  </si>
  <si>
    <t>CALENDARIO</t>
  </si>
  <si>
    <t>REALIZADO</t>
  </si>
  <si>
    <t>MEDIDA</t>
  </si>
  <si>
    <t>1ER. TRIM.</t>
  </si>
  <si>
    <t>2DO. TRIM.</t>
  </si>
  <si>
    <t>3ER. TRIM.</t>
  </si>
  <si>
    <t>4TO. TRIM.</t>
  </si>
  <si>
    <t xml:space="preserve">ACUMULADO </t>
  </si>
  <si>
    <t>01</t>
  </si>
  <si>
    <t>6</t>
  </si>
  <si>
    <t>6.2</t>
  </si>
  <si>
    <t>6.2.1</t>
  </si>
  <si>
    <t>Dirección</t>
  </si>
  <si>
    <t>1</t>
  </si>
  <si>
    <t>Informe ejecutivo sobre la situación Presupuestal y Financiera de Televisora de Hermosillo, S.A. de C.V.</t>
  </si>
  <si>
    <t>Informe</t>
  </si>
  <si>
    <t>02</t>
  </si>
  <si>
    <t>1.1</t>
  </si>
  <si>
    <t>1.1.3</t>
  </si>
  <si>
    <t>Operaciones</t>
  </si>
  <si>
    <t>2</t>
  </si>
  <si>
    <t>Programas Educativos, culturales, deportivo y de entretenimiento con producción y apoyos propios que se realizan en TELEMAX y se transmiten vía satélite con cobertura estatal, nacional e internacional.</t>
  </si>
  <si>
    <t>Programa</t>
  </si>
  <si>
    <t>03</t>
  </si>
  <si>
    <t>1.1.9</t>
  </si>
  <si>
    <t>3</t>
  </si>
  <si>
    <t>Programas Educativos, culturales, deportivos y  de entretenimiento con producción y apoyos externos que se realizan en instituciones,agencias de publicidad y organismos fuera de TELEMAX cuidando especialmente su calidad y contenido que se transmiten vía satélite con cobertura estatal, nacional e internacional.</t>
  </si>
  <si>
    <t xml:space="preserve">Programa </t>
  </si>
  <si>
    <t>5</t>
  </si>
  <si>
    <t>5.1</t>
  </si>
  <si>
    <t>5.1.11</t>
  </si>
  <si>
    <t>Tecnicos</t>
  </si>
  <si>
    <t>4</t>
  </si>
  <si>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</si>
  <si>
    <t>Aplicación de servicio individuales de mantenimiento preventivo y servicio técnico correctivo a las 58 Estaciones repetidoras que conforman la Red Estatal de Televisión, para mantener la cobertura y la continuidad de la señal cumpliendo los estándares de calidad y normatividad.</t>
  </si>
  <si>
    <t>Servicio</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</si>
  <si>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</si>
  <si>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05</t>
  </si>
  <si>
    <t>5.1.6</t>
  </si>
  <si>
    <t>Noticias</t>
  </si>
  <si>
    <t>7</t>
  </si>
  <si>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</si>
  <si>
    <t>Noticieros</t>
  </si>
  <si>
    <t>576</t>
  </si>
  <si>
    <t>09</t>
  </si>
  <si>
    <t>6.2.3</t>
  </si>
  <si>
    <t>Comercialización</t>
  </si>
  <si>
    <t>8</t>
  </si>
  <si>
    <t>Comercialización de anuncios publicitarios de empresas locales, estatales y  nacionales.</t>
  </si>
  <si>
    <t>pesos</t>
  </si>
  <si>
    <t>10</t>
  </si>
  <si>
    <t>4.6</t>
  </si>
  <si>
    <t>4.6.6</t>
  </si>
  <si>
    <t>Administracion</t>
  </si>
  <si>
    <t>9</t>
  </si>
  <si>
    <t>Contratación con diferentes dependencias de Gobierno del Estado para transmisión de Televisión educativa y difusión.</t>
  </si>
  <si>
    <t>11</t>
  </si>
  <si>
    <t>4.6.8</t>
  </si>
  <si>
    <t>Atención conceptualizada, diseño, producción y seguimiento en la elaboración de versiones de producciones comerciales, requeridas por los clientes, así como diseñar estrategias de producción que permitan ofrecer nuevos productos.</t>
  </si>
  <si>
    <t>Versiones</t>
  </si>
  <si>
    <t>12</t>
  </si>
  <si>
    <t>6.2.4</t>
  </si>
  <si>
    <t>Administraciòn</t>
  </si>
  <si>
    <t>Realizar el registro oportuno y correcto de las operaciones de las diferentes áreas de la empresa, presentando mensualmente Estados Financieros confiables que permitan la toma de decisiones en forma adecuada.</t>
  </si>
  <si>
    <t xml:space="preserve">M.A. DANIEL HIDALGO HURTADO </t>
  </si>
  <si>
    <r>
      <rPr>
        <b/>
        <sz val="14"/>
        <rFont val="Arial"/>
        <family val="2"/>
      </rPr>
      <t>GERENTE DE ADMINISTRACION Y FINANZAS</t>
    </r>
    <r>
      <rPr>
        <sz val="14"/>
        <rFont val="Arial"/>
        <family val="2"/>
      </rPr>
      <t xml:space="preserve"> </t>
    </r>
  </si>
  <si>
    <t>DIRECTOR</t>
  </si>
</sst>
</file>

<file path=xl/styles.xml><?xml version="1.0" encoding="utf-8"?>
<styleSheet xmlns="http://schemas.openxmlformats.org/spreadsheetml/2006/main">
  <numFmts count="12">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0.00_ ;\-#,##0.00\ "/>
    <numFmt numFmtId="167" formatCode="_-* #,##0_-;\-* #,##0_-;_-* &quot;-&quot;??_-;_-@_-"/>
    <numFmt numFmtId="168" formatCode="#,##0_ ;[Red]\-#,##0\ "/>
    <numFmt numFmtId="169" formatCode="#,##0.00_ ;[Red]\-#,##0.00\ "/>
    <numFmt numFmtId="170" formatCode="0_ ;\-0\ "/>
    <numFmt numFmtId="171" formatCode="#,##0_ ;\-#,##0\ "/>
    <numFmt numFmtId="172" formatCode="00000"/>
  </numFmts>
  <fonts count="92">
    <font>
      <sz val="11"/>
      <color theme="1"/>
      <name val="Calibri"/>
      <family val="2"/>
      <scheme val="minor"/>
    </font>
    <font>
      <sz val="10"/>
      <name val="Arial"/>
      <family val="2"/>
    </font>
    <font>
      <sz val="10"/>
      <name val="MS Sans Serif"/>
      <family val="2"/>
    </font>
    <font>
      <sz val="11"/>
      <color indexed="8"/>
      <name val="Calibri"/>
      <family val="2"/>
    </font>
    <font>
      <b/>
      <u/>
      <sz val="10"/>
      <color indexed="8"/>
      <name val="Arial Narrow"/>
      <family val="2"/>
    </font>
    <font>
      <b/>
      <sz val="12"/>
      <name val="Arial Narrow"/>
      <family val="2"/>
    </font>
    <font>
      <b/>
      <sz val="10"/>
      <name val="Arial Narrow"/>
      <family val="2"/>
    </font>
    <font>
      <sz val="10"/>
      <name val="Arial Narrow"/>
      <family val="2"/>
    </font>
    <font>
      <b/>
      <sz val="11"/>
      <name val="Arial Narrow"/>
      <family val="2"/>
    </font>
    <font>
      <b/>
      <sz val="14"/>
      <name val="Arial Narrow"/>
      <family val="2"/>
    </font>
    <font>
      <b/>
      <sz val="7.5"/>
      <color indexed="8"/>
      <name val="Arial Narrow"/>
      <family val="2"/>
    </font>
    <font>
      <b/>
      <vertAlign val="superscript"/>
      <sz val="7.5"/>
      <color indexed="8"/>
      <name val="Arial Narrow"/>
      <family val="2"/>
    </font>
    <font>
      <sz val="11"/>
      <name val="Arial Narrow"/>
      <family val="2"/>
    </font>
    <font>
      <sz val="12"/>
      <name val="Arial Narrow"/>
      <family val="2"/>
    </font>
    <font>
      <sz val="9"/>
      <name val="Arial Narrow"/>
      <family val="2"/>
    </font>
    <font>
      <b/>
      <sz val="8"/>
      <name val="Arial Narrow"/>
      <family val="2"/>
    </font>
    <font>
      <b/>
      <sz val="11"/>
      <name val="Arial"/>
      <family val="2"/>
    </font>
    <font>
      <sz val="11"/>
      <color theme="1"/>
      <name val="Calibri"/>
      <family val="2"/>
      <scheme val="minor"/>
    </font>
    <font>
      <sz val="11"/>
      <color rgb="FF000000"/>
      <name val="Calibri"/>
      <family val="2"/>
    </font>
    <font>
      <b/>
      <sz val="11"/>
      <color theme="1"/>
      <name val="Calibri"/>
      <family val="2"/>
      <scheme val="minor"/>
    </font>
    <font>
      <sz val="10"/>
      <color theme="1"/>
      <name val="Arial Narrow"/>
      <family val="2"/>
    </font>
    <font>
      <sz val="11"/>
      <color theme="1"/>
      <name val="Arial Narrow"/>
      <family val="2"/>
    </font>
    <font>
      <b/>
      <sz val="11"/>
      <color theme="1"/>
      <name val="Arial Narrow"/>
      <family val="2"/>
    </font>
    <font>
      <b/>
      <sz val="9"/>
      <color theme="1"/>
      <name val="Arial Narrow"/>
      <family val="2"/>
    </font>
    <font>
      <b/>
      <sz val="10"/>
      <color theme="1"/>
      <name val="Arial Narrow"/>
      <family val="2"/>
    </font>
    <font>
      <sz val="12"/>
      <color theme="1"/>
      <name val="Arial Narrow"/>
      <family val="2"/>
    </font>
    <font>
      <b/>
      <sz val="24"/>
      <color theme="1"/>
      <name val="Arial Narrow"/>
      <family val="2"/>
    </font>
    <font>
      <b/>
      <sz val="14"/>
      <color theme="1"/>
      <name val="Arial Narrow"/>
      <family val="2"/>
    </font>
    <font>
      <b/>
      <i/>
      <sz val="10"/>
      <color theme="1"/>
      <name val="Arial Narrow"/>
      <family val="2"/>
    </font>
    <font>
      <sz val="10"/>
      <color rgb="FF000000"/>
      <name val="Arial Narrow"/>
      <family val="2"/>
    </font>
    <font>
      <b/>
      <i/>
      <sz val="11"/>
      <color theme="1"/>
      <name val="Arial Narrow"/>
      <family val="2"/>
    </font>
    <font>
      <sz val="11"/>
      <color rgb="FF000000"/>
      <name val="Arial Narrow"/>
      <family val="2"/>
    </font>
    <font>
      <i/>
      <sz val="10"/>
      <color theme="1"/>
      <name val="Arial Narrow"/>
      <family val="2"/>
    </font>
    <font>
      <i/>
      <sz val="11"/>
      <color theme="1"/>
      <name val="Arial Narrow"/>
      <family val="2"/>
    </font>
    <font>
      <b/>
      <sz val="11"/>
      <color rgb="FF000000"/>
      <name val="Arial Narrow"/>
      <family val="2"/>
    </font>
    <font>
      <sz val="9"/>
      <color theme="1"/>
      <name val="Arial Narrow"/>
      <family val="2"/>
    </font>
    <font>
      <b/>
      <u/>
      <sz val="11"/>
      <color rgb="FF000000"/>
      <name val="Arial Narrow"/>
      <family val="2"/>
    </font>
    <font>
      <sz val="8"/>
      <color theme="1"/>
      <name val="Arial Narrow"/>
      <family val="2"/>
    </font>
    <font>
      <b/>
      <sz val="8"/>
      <color theme="1"/>
      <name val="Arial Narrow"/>
      <family val="2"/>
    </font>
    <font>
      <sz val="7"/>
      <color theme="1"/>
      <name val="Arial Narrow"/>
      <family val="2"/>
    </font>
    <font>
      <b/>
      <i/>
      <sz val="8"/>
      <color theme="1"/>
      <name val="Arial Narrow"/>
      <family val="2"/>
    </font>
    <font>
      <sz val="6"/>
      <color theme="1"/>
      <name val="Arial Narrow"/>
      <family val="2"/>
    </font>
    <font>
      <b/>
      <u/>
      <sz val="10"/>
      <color theme="1"/>
      <name val="Arial Narrow"/>
      <family val="2"/>
    </font>
    <font>
      <b/>
      <sz val="12"/>
      <color theme="1"/>
      <name val="Arial Narrow"/>
      <family val="2"/>
    </font>
    <font>
      <sz val="10"/>
      <color theme="0"/>
      <name val="Arial Narrow"/>
      <family val="2"/>
    </font>
    <font>
      <b/>
      <sz val="10"/>
      <color theme="0"/>
      <name val="Arial Narrow"/>
      <family val="2"/>
    </font>
    <font>
      <sz val="11"/>
      <color theme="0"/>
      <name val="Arial Narrow"/>
      <family val="2"/>
    </font>
    <font>
      <b/>
      <i/>
      <sz val="11"/>
      <color rgb="FF000000"/>
      <name val="Arial Narrow"/>
      <family val="2"/>
    </font>
    <font>
      <b/>
      <sz val="10"/>
      <color rgb="FF000000"/>
      <name val="Arial Narrow"/>
      <family val="2"/>
    </font>
    <font>
      <b/>
      <sz val="9"/>
      <color theme="0"/>
      <name val="Arial Narrow"/>
      <family val="2"/>
    </font>
    <font>
      <b/>
      <i/>
      <sz val="9"/>
      <color theme="3" tint="0.39997558519241921"/>
      <name val="Arial Narrow"/>
      <family val="2"/>
    </font>
    <font>
      <b/>
      <i/>
      <sz val="9"/>
      <color theme="1"/>
      <name val="Arial Narrow"/>
      <family val="2"/>
    </font>
    <font>
      <b/>
      <i/>
      <sz val="11"/>
      <color theme="1"/>
      <name val="Calibri"/>
      <family val="2"/>
      <scheme val="minor"/>
    </font>
    <font>
      <b/>
      <sz val="20"/>
      <color theme="1"/>
      <name val="Arial Narrow"/>
      <family val="2"/>
    </font>
    <font>
      <sz val="14"/>
      <color theme="0"/>
      <name val="Arial Narrow"/>
      <family val="2"/>
    </font>
    <font>
      <b/>
      <sz val="12"/>
      <color theme="0"/>
      <name val="Arial Narrow"/>
      <family val="2"/>
    </font>
    <font>
      <b/>
      <sz val="16"/>
      <color theme="0"/>
      <name val="Arial Narrow"/>
      <family val="2"/>
    </font>
    <font>
      <b/>
      <sz val="11"/>
      <color theme="0"/>
      <name val="Arial Narrow"/>
      <family val="2"/>
    </font>
    <font>
      <b/>
      <sz val="14"/>
      <color theme="0"/>
      <name val="Arial Narrow"/>
      <family val="2"/>
    </font>
    <font>
      <sz val="8"/>
      <color theme="1"/>
      <name val="Calibri"/>
      <family val="2"/>
      <scheme val="minor"/>
    </font>
    <font>
      <b/>
      <i/>
      <sz val="10"/>
      <color rgb="FF000000"/>
      <name val="Arial Narrow"/>
      <family val="2"/>
    </font>
    <font>
      <b/>
      <sz val="8"/>
      <color theme="0"/>
      <name val="Arial Narrow"/>
      <family val="2"/>
    </font>
    <font>
      <b/>
      <sz val="7.5"/>
      <color theme="1"/>
      <name val="Arial"/>
      <family val="2"/>
    </font>
    <font>
      <sz val="7.5"/>
      <color theme="1"/>
      <name val="Arial"/>
      <family val="2"/>
    </font>
    <font>
      <b/>
      <sz val="7.5"/>
      <color theme="1"/>
      <name val="Arial Narrow"/>
      <family val="2"/>
    </font>
    <font>
      <sz val="7.5"/>
      <color theme="1"/>
      <name val="Calibri"/>
      <family val="2"/>
      <scheme val="minor"/>
    </font>
    <font>
      <b/>
      <sz val="6"/>
      <color theme="1"/>
      <name val="Arial"/>
      <family val="2"/>
    </font>
    <font>
      <sz val="7.5"/>
      <color theme="1"/>
      <name val="Arial Narrow"/>
      <family val="2"/>
    </font>
    <font>
      <sz val="6"/>
      <color theme="1"/>
      <name val="Arial"/>
      <family val="2"/>
    </font>
    <font>
      <b/>
      <sz val="10"/>
      <color theme="1"/>
      <name val="Arial"/>
      <family val="2"/>
    </font>
    <font>
      <b/>
      <sz val="8"/>
      <color theme="1"/>
      <name val="Arial"/>
      <family val="2"/>
    </font>
    <font>
      <b/>
      <i/>
      <sz val="7.5"/>
      <color theme="1"/>
      <name val="Arial Narrow"/>
      <family val="2"/>
    </font>
    <font>
      <sz val="6.5"/>
      <color theme="1"/>
      <name val="Arial Narrow"/>
      <family val="2"/>
    </font>
    <font>
      <b/>
      <sz val="6.5"/>
      <color theme="1"/>
      <name val="Arial Narrow"/>
      <family val="2"/>
    </font>
    <font>
      <sz val="9"/>
      <color rgb="FF000000"/>
      <name val="Calibri"/>
      <family val="2"/>
      <scheme val="minor"/>
    </font>
    <font>
      <sz val="8"/>
      <color theme="1"/>
      <name val="Arial"/>
      <family val="2"/>
    </font>
    <font>
      <b/>
      <sz val="7"/>
      <color theme="1"/>
      <name val="Arial"/>
      <family val="2"/>
    </font>
    <font>
      <b/>
      <sz val="12"/>
      <color theme="0"/>
      <name val="Calibri"/>
      <family val="2"/>
      <scheme val="minor"/>
    </font>
    <font>
      <sz val="9"/>
      <color theme="1"/>
      <name val="Calibri"/>
      <family val="2"/>
      <scheme val="minor"/>
    </font>
    <font>
      <sz val="9"/>
      <name val="Calibri"/>
      <family val="2"/>
      <scheme val="minor"/>
    </font>
    <font>
      <b/>
      <i/>
      <sz val="9"/>
      <color theme="1"/>
      <name val="Calibri"/>
      <family val="2"/>
      <scheme val="minor"/>
    </font>
    <font>
      <b/>
      <sz val="6"/>
      <color theme="1"/>
      <name val="Arial Narrow"/>
      <family val="2"/>
    </font>
    <font>
      <sz val="7"/>
      <color theme="1"/>
      <name val="Arial"/>
      <family val="2"/>
    </font>
    <font>
      <b/>
      <sz val="12"/>
      <color theme="0"/>
      <name val="Arial"/>
      <family val="2"/>
    </font>
    <font>
      <b/>
      <sz val="12"/>
      <color theme="1"/>
      <name val="Arial"/>
      <family val="2"/>
    </font>
    <font>
      <sz val="9"/>
      <color indexed="8"/>
      <name val="Arial Narrow"/>
      <family val="2"/>
    </font>
    <font>
      <b/>
      <sz val="8"/>
      <color rgb="FF000000"/>
      <name val="Calibri"/>
      <family val="2"/>
    </font>
    <font>
      <sz val="10"/>
      <color indexed="8"/>
      <name val="Arial Narrow"/>
      <family val="2"/>
    </font>
    <font>
      <sz val="11"/>
      <name val="Arial"/>
      <family val="2"/>
    </font>
    <font>
      <sz val="11"/>
      <color indexed="8"/>
      <name val="Arial"/>
      <family val="2"/>
    </font>
    <font>
      <b/>
      <sz val="14"/>
      <name val="Arial"/>
      <family val="2"/>
    </font>
    <font>
      <sz val="14"/>
      <name val="Arial"/>
      <family val="2"/>
    </font>
  </fonts>
  <fills count="10">
    <fill>
      <patternFill patternType="none"/>
    </fill>
    <fill>
      <patternFill patternType="gray125"/>
    </fill>
    <fill>
      <patternFill patternType="solid">
        <fgColor indexed="47"/>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rgb="FFBFBFBF"/>
        <bgColor indexed="64"/>
      </patternFill>
    </fill>
    <fill>
      <patternFill patternType="solid">
        <fgColor rgb="FFFF0000"/>
        <bgColor indexed="64"/>
      </patternFill>
    </fill>
    <fill>
      <patternFill patternType="solid">
        <fgColor theme="7" tint="0.39997558519241921"/>
        <bgColor indexed="64"/>
      </patternFill>
    </fill>
  </fills>
  <borders count="15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bottom/>
      <diagonal/>
    </border>
    <border>
      <left/>
      <right style="medium">
        <color rgb="FF000000"/>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tint="-4.9989318521683403E-2"/>
      </right>
      <top style="thin">
        <color indexed="64"/>
      </top>
      <bottom style="thin">
        <color theme="0" tint="-4.9989318521683403E-2"/>
      </bottom>
      <diagonal/>
    </border>
    <border>
      <left style="thin">
        <color theme="0" tint="-4.9989318521683403E-2"/>
      </left>
      <right/>
      <top style="thin">
        <color indexed="64"/>
      </top>
      <bottom/>
      <diagonal/>
    </border>
    <border>
      <left style="thin">
        <color theme="0"/>
      </left>
      <right/>
      <top style="thin">
        <color theme="0"/>
      </top>
      <bottom/>
      <diagonal/>
    </border>
    <border>
      <left style="thin">
        <color theme="0" tint="-4.9989318521683403E-2"/>
      </left>
      <right/>
      <top style="thin">
        <color theme="0" tint="-4.9989318521683403E-2"/>
      </top>
      <bottom/>
      <diagonal/>
    </border>
    <border>
      <left style="thin">
        <color theme="0"/>
      </left>
      <right/>
      <top/>
      <bottom style="thin">
        <color theme="0"/>
      </bottom>
      <diagonal/>
    </border>
    <border>
      <left style="thin">
        <color theme="0" tint="-4.9989318521683403E-2"/>
      </left>
      <right/>
      <top/>
      <bottom style="thin">
        <color theme="0" tint="-4.9989318521683403E-2"/>
      </bottom>
      <diagonal/>
    </border>
    <border>
      <left style="thin">
        <color theme="0"/>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diagonal/>
    </border>
    <border>
      <left style="thin">
        <color theme="0" tint="-4.9989318521683403E-2"/>
      </left>
      <right style="thin">
        <color theme="0" tint="-4.9989318521683403E-2"/>
      </right>
      <top/>
      <bottom style="thin">
        <color theme="0" tint="-4.9989318521683403E-2"/>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tint="-4.9989318521683403E-2"/>
      </right>
      <top style="thin">
        <color theme="0" tint="-4.9989318521683403E-2"/>
      </top>
      <bottom/>
      <diagonal/>
    </border>
    <border>
      <left style="thin">
        <color theme="0"/>
      </left>
      <right/>
      <top style="thin">
        <color theme="0" tint="-4.9989318521683403E-2"/>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tint="-4.9989318521683403E-2"/>
      </right>
      <top style="thin">
        <color theme="0" tint="-4.9989318521683403E-2"/>
      </top>
      <bottom/>
      <diagonal/>
    </border>
    <border>
      <left/>
      <right/>
      <top style="thin">
        <color theme="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bottom/>
      <diagonal/>
    </border>
    <border>
      <left/>
      <right style="thin">
        <color theme="0"/>
      </right>
      <top/>
      <bottom style="thin">
        <color theme="0"/>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8"/>
      </bottom>
      <diagonal/>
    </border>
    <border>
      <left/>
      <right/>
      <top style="double">
        <color indexed="8"/>
      </top>
      <bottom style="thin">
        <color indexed="8"/>
      </bottom>
      <diagonal/>
    </border>
    <border>
      <left/>
      <right/>
      <top style="double">
        <color auto="1"/>
      </top>
      <bottom style="thin">
        <color auto="1"/>
      </bottom>
      <diagonal/>
    </border>
    <border>
      <left/>
      <right style="double">
        <color auto="1"/>
      </right>
      <top style="double">
        <color auto="1"/>
      </top>
      <bottom/>
      <diagonal/>
    </border>
    <border>
      <left style="double">
        <color indexed="8"/>
      </left>
      <right/>
      <top style="thin">
        <color indexed="8"/>
      </top>
      <bottom style="double">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style="double">
        <color auto="1"/>
      </right>
      <top style="thin">
        <color auto="1"/>
      </top>
      <bottom/>
      <diagonal/>
    </border>
    <border>
      <left style="double">
        <color indexed="8"/>
      </left>
      <right/>
      <top/>
      <bottom/>
      <diagonal/>
    </border>
    <border>
      <left style="thin">
        <color indexed="8"/>
      </left>
      <right style="thin">
        <color indexed="8"/>
      </right>
      <top/>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bottom/>
      <diagonal/>
    </border>
    <border>
      <left style="double">
        <color indexed="8"/>
      </left>
      <right style="thin">
        <color indexed="8"/>
      </right>
      <top style="thin">
        <color indexed="8"/>
      </top>
      <bottom/>
      <diagonal/>
    </border>
    <border>
      <left style="thin">
        <color indexed="8"/>
      </left>
      <right/>
      <top style="thin">
        <color indexed="8"/>
      </top>
      <bottom style="double">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right/>
      <top style="thin">
        <color auto="1"/>
      </top>
      <bottom style="thin">
        <color indexed="8"/>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ck">
        <color indexed="8"/>
      </left>
      <right/>
      <top/>
      <bottom style="double">
        <color indexed="8"/>
      </bottom>
      <diagonal/>
    </border>
    <border>
      <left style="thin">
        <color indexed="8"/>
      </left>
      <right style="thick">
        <color indexed="8"/>
      </right>
      <top/>
      <bottom style="double">
        <color indexed="8"/>
      </bottom>
      <diagonal/>
    </border>
    <border>
      <left/>
      <right style="thin">
        <color indexed="8"/>
      </right>
      <top style="thin">
        <color indexed="8"/>
      </top>
      <bottom style="double">
        <color indexed="8"/>
      </bottom>
      <diagonal/>
    </border>
    <border>
      <left style="thin">
        <color indexed="8"/>
      </left>
      <right/>
      <top/>
      <bottom style="double">
        <color indexed="8"/>
      </bottom>
      <diagonal/>
    </border>
    <border>
      <left/>
      <right style="medium">
        <color auto="1"/>
      </right>
      <top style="thin">
        <color indexed="8"/>
      </top>
      <bottom style="double">
        <color indexed="8"/>
      </bottom>
      <diagonal/>
    </border>
    <border>
      <left/>
      <right style="double">
        <color auto="1"/>
      </right>
      <top/>
      <bottom style="double">
        <color auto="1"/>
      </bottom>
      <diagonal/>
    </border>
    <border>
      <left style="double">
        <color indexed="8"/>
      </left>
      <right/>
      <top style="double">
        <color indexed="8"/>
      </top>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style="thin">
        <color indexed="8"/>
      </left>
      <right/>
      <top/>
      <bottom/>
      <diagonal/>
    </border>
    <border>
      <left style="thick">
        <color indexed="8"/>
      </left>
      <right/>
      <top/>
      <bottom/>
      <diagonal/>
    </border>
    <border>
      <left style="thin">
        <color indexed="8"/>
      </left>
      <right style="thick">
        <color indexed="8"/>
      </right>
      <top/>
      <bottom/>
      <diagonal/>
    </border>
    <border>
      <left/>
      <right style="thin">
        <color auto="1"/>
      </right>
      <top style="double">
        <color indexed="8"/>
      </top>
      <bottom/>
      <diagonal/>
    </border>
    <border>
      <left style="thin">
        <color auto="1"/>
      </left>
      <right/>
      <top style="double">
        <color indexed="8"/>
      </top>
      <bottom/>
      <diagonal/>
    </border>
    <border>
      <left style="thin">
        <color indexed="8"/>
      </left>
      <right/>
      <top style="double">
        <color indexed="8"/>
      </top>
      <bottom/>
      <diagonal/>
    </border>
    <border>
      <left/>
      <right style="double">
        <color auto="1"/>
      </right>
      <top/>
      <bottom/>
      <diagonal/>
    </border>
    <border>
      <left style="thick">
        <color indexed="8"/>
      </left>
      <right style="thin">
        <color indexed="8"/>
      </right>
      <top/>
      <bottom/>
      <diagonal/>
    </border>
    <border>
      <left/>
      <right style="thin">
        <color auto="1"/>
      </right>
      <top/>
      <bottom/>
      <diagonal/>
    </border>
    <border>
      <left style="thin">
        <color auto="1"/>
      </left>
      <right/>
      <top/>
      <bottom/>
      <diagonal/>
    </border>
    <border>
      <left style="thick">
        <color indexed="8"/>
      </left>
      <right style="thin">
        <color auto="1"/>
      </right>
      <top/>
      <bottom/>
      <diagonal/>
    </border>
    <border>
      <left style="thin">
        <color auto="1"/>
      </left>
      <right style="thin">
        <color auto="1"/>
      </right>
      <top/>
      <bottom/>
      <diagonal/>
    </border>
    <border>
      <left style="thin">
        <color auto="1"/>
      </left>
      <right style="thick">
        <color indexed="8"/>
      </right>
      <top/>
      <bottom/>
      <diagonal/>
    </border>
    <border>
      <left style="thick">
        <color indexed="8"/>
      </left>
      <right style="thin">
        <color indexed="8"/>
      </right>
      <top/>
      <bottom style="double">
        <color indexed="8"/>
      </bottom>
      <diagonal/>
    </border>
    <border>
      <left/>
      <right style="thin">
        <color auto="1"/>
      </right>
      <top/>
      <bottom style="double">
        <color auto="1"/>
      </bottom>
      <diagonal/>
    </border>
    <border>
      <left style="thin">
        <color auto="1"/>
      </left>
      <right/>
      <top/>
      <bottom style="double">
        <color auto="1"/>
      </bottom>
      <diagonal/>
    </border>
    <border>
      <left style="thin">
        <color indexed="8"/>
      </left>
      <right/>
      <top/>
      <bottom style="double">
        <color auto="1"/>
      </bottom>
      <diagonal/>
    </border>
    <border>
      <left style="thin">
        <color indexed="8"/>
      </left>
      <right style="double">
        <color auto="1"/>
      </right>
      <top/>
      <bottom style="double">
        <color indexed="8"/>
      </bottom>
      <diagonal/>
    </border>
    <border>
      <left/>
      <right/>
      <top style="double">
        <color indexed="8"/>
      </top>
      <bottom/>
      <diagonal/>
    </border>
  </borders>
  <cellStyleXfs count="16">
    <xf numFmtId="0" fontId="0" fillId="0" borderId="0"/>
    <xf numFmtId="0" fontId="3" fillId="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7" fillId="0" borderId="0" applyFont="0" applyFill="0" applyBorder="0" applyAlignment="0" applyProtection="0"/>
    <xf numFmtId="0" fontId="1" fillId="0" borderId="0"/>
    <xf numFmtId="0" fontId="2" fillId="0" borderId="0"/>
    <xf numFmtId="0" fontId="17" fillId="0" borderId="0"/>
    <xf numFmtId="0" fontId="18" fillId="0" borderId="0" applyNumberFormat="0" applyBorder="0" applyAlignment="0"/>
    <xf numFmtId="0" fontId="17" fillId="0" borderId="0"/>
    <xf numFmtId="9" fontId="17" fillId="0" borderId="0" applyFont="0" applyFill="0" applyBorder="0" applyAlignment="0" applyProtection="0"/>
    <xf numFmtId="9" fontId="1" fillId="0" borderId="0" applyFont="0" applyFill="0" applyBorder="0" applyAlignment="0" applyProtection="0"/>
  </cellStyleXfs>
  <cellXfs count="1576">
    <xf numFmtId="0" fontId="0" fillId="0" borderId="0" xfId="0"/>
    <xf numFmtId="0" fontId="20" fillId="0" borderId="1" xfId="0" applyFont="1" applyBorder="1"/>
    <xf numFmtId="0" fontId="20" fillId="0" borderId="2" xfId="0" applyFont="1" applyBorder="1"/>
    <xf numFmtId="0" fontId="21" fillId="0" borderId="0" xfId="0" applyFont="1"/>
    <xf numFmtId="0" fontId="22" fillId="0" borderId="0" xfId="0" applyFont="1" applyFill="1" applyBorder="1" applyAlignment="1">
      <alignment horizontal="right" vertical="top"/>
    </xf>
    <xf numFmtId="0" fontId="23" fillId="0" borderId="0" xfId="0" applyFont="1" applyFill="1" applyBorder="1" applyAlignment="1">
      <alignment vertical="top"/>
    </xf>
    <xf numFmtId="0" fontId="21" fillId="0" borderId="0" xfId="0" applyFont="1" applyAlignment="1">
      <alignment vertical="center"/>
    </xf>
    <xf numFmtId="0" fontId="21" fillId="0" borderId="0" xfId="0" applyFont="1" applyAlignment="1"/>
    <xf numFmtId="0" fontId="20" fillId="0" borderId="3" xfId="0" applyFont="1" applyBorder="1"/>
    <xf numFmtId="0" fontId="20" fillId="0" borderId="4" xfId="0" applyFont="1" applyBorder="1"/>
    <xf numFmtId="0" fontId="20" fillId="0" borderId="5" xfId="0" applyFont="1" applyBorder="1"/>
    <xf numFmtId="0" fontId="20" fillId="0" borderId="6" xfId="0" applyFont="1" applyBorder="1"/>
    <xf numFmtId="0" fontId="20" fillId="0" borderId="0" xfId="0" applyFont="1" applyBorder="1"/>
    <xf numFmtId="0" fontId="20" fillId="0" borderId="7" xfId="0" applyFont="1" applyBorder="1"/>
    <xf numFmtId="0" fontId="24" fillId="0" borderId="6" xfId="0" applyFont="1" applyBorder="1"/>
    <xf numFmtId="0" fontId="24" fillId="0" borderId="0" xfId="0" applyFont="1" applyBorder="1" applyAlignment="1">
      <alignment vertical="justify"/>
    </xf>
    <xf numFmtId="0" fontId="20" fillId="0" borderId="8" xfId="0" applyFont="1" applyBorder="1"/>
    <xf numFmtId="0" fontId="24" fillId="0" borderId="1" xfId="0" applyFont="1" applyBorder="1" applyAlignment="1">
      <alignment vertical="justify"/>
    </xf>
    <xf numFmtId="0" fontId="21" fillId="0" borderId="0" xfId="0" applyFont="1" applyFill="1" applyBorder="1"/>
    <xf numFmtId="0" fontId="24" fillId="0" borderId="0" xfId="0" applyFont="1" applyBorder="1"/>
    <xf numFmtId="0" fontId="24" fillId="0" borderId="3" xfId="0" applyFont="1" applyBorder="1" applyAlignment="1"/>
    <xf numFmtId="0" fontId="20" fillId="0" borderId="4" xfId="0" applyFont="1" applyBorder="1" applyAlignment="1"/>
    <xf numFmtId="0" fontId="20" fillId="0" borderId="5" xfId="0" applyFont="1" applyBorder="1" applyAlignment="1"/>
    <xf numFmtId="0" fontId="24" fillId="0" borderId="6" xfId="0" applyFont="1" applyBorder="1" applyAlignment="1"/>
    <xf numFmtId="0" fontId="20" fillId="0" borderId="0" xfId="0" applyFont="1" applyBorder="1" applyAlignment="1"/>
    <xf numFmtId="0" fontId="20" fillId="0" borderId="7" xfId="0" applyFont="1" applyBorder="1" applyAlignment="1"/>
    <xf numFmtId="0" fontId="24" fillId="0" borderId="8" xfId="0" applyFont="1" applyBorder="1" applyAlignment="1"/>
    <xf numFmtId="0" fontId="20" fillId="0" borderId="1" xfId="0" applyFont="1" applyBorder="1" applyAlignment="1"/>
    <xf numFmtId="0" fontId="20" fillId="0" borderId="2" xfId="0" applyFont="1" applyBorder="1" applyAlignment="1"/>
    <xf numFmtId="0" fontId="20" fillId="0" borderId="6" xfId="0" quotePrefix="1" applyFont="1" applyBorder="1"/>
    <xf numFmtId="0" fontId="20" fillId="0" borderId="0" xfId="0" applyFont="1" applyFill="1" applyBorder="1"/>
    <xf numFmtId="0" fontId="25"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indent="1"/>
    </xf>
    <xf numFmtId="0" fontId="20" fillId="0" borderId="0" xfId="0" applyFont="1"/>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6" fillId="0" borderId="0" xfId="0" applyFont="1" applyAlignment="1">
      <alignment horizontal="center"/>
    </xf>
    <xf numFmtId="0" fontId="21" fillId="3" borderId="0" xfId="0" applyFont="1" applyFill="1"/>
    <xf numFmtId="0" fontId="27" fillId="3" borderId="0" xfId="0" applyFont="1" applyFill="1"/>
    <xf numFmtId="0" fontId="6" fillId="0" borderId="12" xfId="0" applyFont="1" applyFill="1" applyBorder="1" applyAlignment="1">
      <alignment horizontal="center" vertical="center"/>
    </xf>
    <xf numFmtId="0" fontId="21" fillId="0" borderId="0" xfId="0" applyFont="1" applyFill="1"/>
    <xf numFmtId="0" fontId="23" fillId="0" borderId="1" xfId="0" applyFont="1" applyFill="1" applyBorder="1" applyAlignment="1">
      <alignment vertical="center"/>
    </xf>
    <xf numFmtId="0" fontId="22" fillId="0" borderId="0" xfId="0" applyFont="1" applyFill="1" applyBorder="1" applyAlignment="1">
      <alignment horizontal="left" vertical="top"/>
    </xf>
    <xf numFmtId="43" fontId="28" fillId="3" borderId="0" xfId="0" applyNumberFormat="1" applyFont="1" applyFill="1" applyBorder="1" applyAlignment="1" applyProtection="1">
      <alignment wrapText="1"/>
    </xf>
    <xf numFmtId="0" fontId="22" fillId="0" borderId="0" xfId="0" applyFont="1" applyFill="1" applyBorder="1" applyAlignment="1" applyProtection="1">
      <alignment vertical="top"/>
      <protection locked="0"/>
    </xf>
    <xf numFmtId="0" fontId="21" fillId="0" borderId="0" xfId="0" applyFont="1" applyFill="1" applyProtection="1">
      <protection locked="0"/>
    </xf>
    <xf numFmtId="0" fontId="22" fillId="0" borderId="0" xfId="0" applyFont="1" applyFill="1" applyBorder="1" applyAlignment="1" applyProtection="1">
      <alignment horizontal="right" vertical="top"/>
      <protection locked="0"/>
    </xf>
    <xf numFmtId="0" fontId="21" fillId="0" borderId="0" xfId="0" applyFont="1" applyFill="1" applyBorder="1" applyProtection="1">
      <protection locked="0"/>
    </xf>
    <xf numFmtId="0" fontId="23" fillId="0" borderId="0" xfId="0" applyFont="1" applyFill="1" applyBorder="1" applyAlignment="1" applyProtection="1">
      <alignment horizontal="center" vertical="top"/>
      <protection locked="0"/>
    </xf>
    <xf numFmtId="0" fontId="23" fillId="0" borderId="0" xfId="0" applyFont="1" applyFill="1" applyBorder="1" applyAlignment="1" applyProtection="1">
      <alignment vertical="top"/>
      <protection locked="0"/>
    </xf>
    <xf numFmtId="0" fontId="29" fillId="0" borderId="6" xfId="0" applyFont="1" applyFill="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29" fillId="0" borderId="7" xfId="0" applyFont="1" applyFill="1" applyBorder="1" applyAlignment="1" applyProtection="1">
      <alignment vertical="top" wrapText="1"/>
      <protection locked="0"/>
    </xf>
    <xf numFmtId="0" fontId="30" fillId="0" borderId="6"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1" fillId="0" borderId="0" xfId="0" applyFont="1" applyFill="1" applyBorder="1" applyAlignment="1" applyProtection="1">
      <alignment horizontal="justify" wrapText="1"/>
      <protection locked="0"/>
    </xf>
    <xf numFmtId="0" fontId="30" fillId="0" borderId="0" xfId="0" applyFont="1" applyFill="1" applyBorder="1" applyAlignment="1" applyProtection="1">
      <alignment wrapText="1"/>
      <protection locked="0"/>
    </xf>
    <xf numFmtId="0" fontId="28" fillId="0" borderId="7" xfId="0" applyFont="1" applyFill="1" applyBorder="1" applyAlignment="1" applyProtection="1">
      <alignment wrapText="1"/>
      <protection locked="0"/>
    </xf>
    <xf numFmtId="0" fontId="21" fillId="0" borderId="6" xfId="0" applyFont="1" applyFill="1" applyBorder="1" applyAlignment="1" applyProtection="1">
      <alignment wrapText="1"/>
      <protection locked="0"/>
    </xf>
    <xf numFmtId="43" fontId="20" fillId="0" borderId="0" xfId="8" applyNumberFormat="1" applyFont="1" applyFill="1" applyBorder="1" applyAlignment="1" applyProtection="1">
      <alignment vertical="top" wrapText="1"/>
      <protection locked="0"/>
    </xf>
    <xf numFmtId="0" fontId="21" fillId="0" borderId="0" xfId="0" applyFont="1" applyFill="1" applyBorder="1" applyAlignment="1" applyProtection="1">
      <alignment wrapText="1"/>
      <protection locked="0"/>
    </xf>
    <xf numFmtId="43" fontId="20" fillId="0" borderId="7" xfId="8" applyNumberFormat="1" applyFont="1" applyFill="1" applyBorder="1" applyAlignment="1" applyProtection="1">
      <alignment vertical="top" wrapText="1"/>
      <protection locked="0"/>
    </xf>
    <xf numFmtId="0" fontId="21" fillId="0" borderId="6" xfId="0" applyFont="1" applyFill="1" applyBorder="1" applyAlignment="1" applyProtection="1">
      <alignment horizontal="left" wrapText="1"/>
      <protection locked="0"/>
    </xf>
    <xf numFmtId="0" fontId="31" fillId="0" borderId="6" xfId="0" applyFont="1" applyFill="1" applyBorder="1" applyAlignment="1" applyProtection="1">
      <alignment horizontal="justify" wrapText="1"/>
      <protection locked="0"/>
    </xf>
    <xf numFmtId="43" fontId="20" fillId="0" borderId="0" xfId="0" applyNumberFormat="1" applyFont="1" applyFill="1" applyBorder="1" applyAlignment="1" applyProtection="1">
      <alignment wrapText="1"/>
      <protection locked="0"/>
    </xf>
    <xf numFmtId="43" fontId="32" fillId="0" borderId="0" xfId="0" applyNumberFormat="1" applyFont="1" applyFill="1" applyBorder="1" applyAlignment="1" applyProtection="1">
      <alignment wrapText="1"/>
      <protection locked="0"/>
    </xf>
    <xf numFmtId="0" fontId="33" fillId="0" borderId="0" xfId="0" applyFont="1" applyFill="1" applyBorder="1" applyAlignment="1" applyProtection="1">
      <alignment wrapText="1"/>
      <protection locked="0"/>
    </xf>
    <xf numFmtId="43" fontId="32" fillId="0" borderId="7" xfId="0" applyNumberFormat="1" applyFont="1" applyFill="1" applyBorder="1" applyAlignment="1" applyProtection="1">
      <alignment wrapText="1"/>
      <protection locked="0"/>
    </xf>
    <xf numFmtId="43" fontId="28" fillId="0" borderId="0" xfId="0" applyNumberFormat="1" applyFont="1" applyFill="1" applyBorder="1" applyAlignment="1" applyProtection="1">
      <alignment wrapText="1"/>
      <protection locked="0"/>
    </xf>
    <xf numFmtId="43" fontId="28" fillId="0" borderId="7" xfId="0" applyNumberFormat="1" applyFont="1" applyFill="1" applyBorder="1" applyAlignment="1" applyProtection="1">
      <alignment wrapText="1"/>
      <protection locked="0"/>
    </xf>
    <xf numFmtId="0" fontId="21" fillId="0" borderId="0" xfId="0" applyFont="1" applyFill="1" applyBorder="1" applyAlignment="1" applyProtection="1">
      <protection locked="0"/>
    </xf>
    <xf numFmtId="0" fontId="33" fillId="0" borderId="6" xfId="0" applyFont="1" applyFill="1" applyBorder="1" applyAlignment="1" applyProtection="1">
      <alignment wrapText="1"/>
      <protection locked="0"/>
    </xf>
    <xf numFmtId="43" fontId="20" fillId="0" borderId="7" xfId="0" applyNumberFormat="1" applyFont="1" applyFill="1" applyBorder="1" applyAlignment="1" applyProtection="1">
      <alignment wrapText="1"/>
      <protection locked="0"/>
    </xf>
    <xf numFmtId="0" fontId="0" fillId="0" borderId="0" xfId="0" applyFont="1" applyFill="1" applyProtection="1">
      <protection locked="0"/>
    </xf>
    <xf numFmtId="0" fontId="22" fillId="0" borderId="0" xfId="0" applyFont="1" applyFill="1" applyBorder="1" applyAlignment="1" applyProtection="1">
      <alignment wrapText="1"/>
      <protection locked="0"/>
    </xf>
    <xf numFmtId="0" fontId="21" fillId="0" borderId="6" xfId="0" applyFont="1" applyFill="1" applyBorder="1" applyAlignment="1" applyProtection="1">
      <protection locked="0"/>
    </xf>
    <xf numFmtId="43" fontId="20" fillId="0" borderId="0" xfId="0" applyNumberFormat="1" applyFont="1" applyFill="1" applyBorder="1" applyAlignment="1" applyProtection="1">
      <protection locked="0"/>
    </xf>
    <xf numFmtId="0" fontId="31" fillId="0" borderId="0" xfId="0" applyFont="1" applyFill="1" applyBorder="1" applyAlignment="1" applyProtection="1">
      <alignment horizontal="justify" wrapText="1"/>
      <protection locked="0"/>
    </xf>
    <xf numFmtId="43" fontId="20" fillId="0" borderId="7" xfId="0" applyNumberFormat="1" applyFont="1" applyFill="1" applyBorder="1" applyAlignment="1" applyProtection="1">
      <protection locked="0"/>
    </xf>
    <xf numFmtId="4" fontId="20" fillId="0" borderId="0" xfId="0" applyNumberFormat="1" applyFont="1" applyFill="1" applyBorder="1" applyProtection="1">
      <protection locked="0"/>
    </xf>
    <xf numFmtId="4" fontId="20" fillId="0" borderId="7" xfId="0" applyNumberFormat="1" applyFont="1" applyFill="1" applyBorder="1" applyProtection="1">
      <protection locked="0"/>
    </xf>
    <xf numFmtId="0" fontId="21" fillId="0" borderId="8" xfId="0" applyFont="1" applyFill="1" applyBorder="1" applyProtection="1">
      <protection locked="0"/>
    </xf>
    <xf numFmtId="43" fontId="20" fillId="0" borderId="1" xfId="0" applyNumberFormat="1" applyFont="1" applyFill="1" applyBorder="1" applyProtection="1">
      <protection locked="0"/>
    </xf>
    <xf numFmtId="0" fontId="21" fillId="0" borderId="1" xfId="0" applyFont="1" applyFill="1" applyBorder="1" applyProtection="1">
      <protection locked="0"/>
    </xf>
    <xf numFmtId="0" fontId="20" fillId="0" borderId="1" xfId="0" applyFont="1" applyFill="1" applyBorder="1" applyProtection="1">
      <protection locked="0"/>
    </xf>
    <xf numFmtId="0" fontId="20" fillId="0" borderId="2" xfId="0" applyFont="1" applyFill="1" applyBorder="1" applyProtection="1">
      <protection locked="0"/>
    </xf>
    <xf numFmtId="43" fontId="28" fillId="3" borderId="7" xfId="0" applyNumberFormat="1" applyFont="1" applyFill="1" applyBorder="1" applyAlignment="1" applyProtection="1">
      <alignment wrapText="1"/>
    </xf>
    <xf numFmtId="43" fontId="24" fillId="3" borderId="0" xfId="0" applyNumberFormat="1" applyFont="1" applyFill="1" applyBorder="1" applyAlignment="1" applyProtection="1">
      <alignment wrapText="1"/>
    </xf>
    <xf numFmtId="43" fontId="24" fillId="3" borderId="7" xfId="0" applyNumberFormat="1" applyFont="1" applyFill="1" applyBorder="1" applyAlignment="1" applyProtection="1">
      <alignment wrapText="1"/>
    </xf>
    <xf numFmtId="43" fontId="24" fillId="3" borderId="0" xfId="0" applyNumberFormat="1" applyFont="1" applyFill="1" applyBorder="1" applyAlignment="1" applyProtection="1">
      <alignment vertical="center" wrapText="1"/>
    </xf>
    <xf numFmtId="43" fontId="24" fillId="3" borderId="7" xfId="0" applyNumberFormat="1" applyFont="1" applyFill="1" applyBorder="1" applyAlignment="1" applyProtection="1">
      <alignment vertical="center" wrapText="1"/>
    </xf>
    <xf numFmtId="43" fontId="28" fillId="3" borderId="0" xfId="0" applyNumberFormat="1" applyFont="1" applyFill="1" applyBorder="1" applyAlignment="1" applyProtection="1"/>
    <xf numFmtId="43" fontId="28" fillId="3" borderId="7" xfId="0" applyNumberFormat="1" applyFont="1" applyFill="1" applyBorder="1" applyAlignment="1" applyProtection="1"/>
    <xf numFmtId="0" fontId="22" fillId="0" borderId="1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top"/>
      <protection locked="0"/>
    </xf>
    <xf numFmtId="0" fontId="21" fillId="3" borderId="0" xfId="0" applyFont="1" applyFill="1" applyProtection="1">
      <protection locked="0"/>
    </xf>
    <xf numFmtId="0" fontId="22" fillId="0" borderId="0" xfId="0" applyFont="1" applyFill="1" applyProtection="1">
      <protection locked="0"/>
    </xf>
    <xf numFmtId="0" fontId="30" fillId="3" borderId="6" xfId="0" applyFont="1" applyFill="1" applyBorder="1" applyAlignment="1" applyProtection="1">
      <alignment wrapText="1"/>
      <protection locked="0"/>
    </xf>
    <xf numFmtId="0" fontId="30" fillId="3" borderId="0" xfId="0" applyFont="1" applyFill="1" applyBorder="1" applyAlignment="1" applyProtection="1">
      <protection locked="0"/>
    </xf>
    <xf numFmtId="0" fontId="30" fillId="3" borderId="0" xfId="0" applyFont="1" applyFill="1" applyBorder="1" applyAlignment="1" applyProtection="1">
      <alignment wrapText="1"/>
      <protection locked="0"/>
    </xf>
    <xf numFmtId="0" fontId="30" fillId="3" borderId="0" xfId="0" applyFont="1" applyFill="1" applyBorder="1" applyAlignment="1" applyProtection="1">
      <alignment horizontal="left" wrapText="1"/>
      <protection locked="0"/>
    </xf>
    <xf numFmtId="0" fontId="21" fillId="0" borderId="0" xfId="0" applyFont="1" applyProtection="1">
      <protection locked="0"/>
    </xf>
    <xf numFmtId="0" fontId="25"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0" fontId="22" fillId="0" borderId="6"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34" fillId="3" borderId="6" xfId="0" applyFont="1" applyFill="1" applyBorder="1" applyAlignment="1" applyProtection="1">
      <alignment horizontal="left" vertical="top"/>
      <protection locked="0"/>
    </xf>
    <xf numFmtId="0" fontId="34" fillId="3" borderId="0" xfId="0" applyFont="1" applyFill="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30" fillId="3" borderId="6" xfId="0" applyFont="1" applyFill="1" applyBorder="1" applyAlignment="1" applyProtection="1">
      <alignment horizontal="left" vertical="top"/>
      <protection locked="0"/>
    </xf>
    <xf numFmtId="0" fontId="30" fillId="3" borderId="0" xfId="0" applyFont="1" applyFill="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1" xfId="0" applyFont="1" applyBorder="1" applyAlignment="1" applyProtection="1">
      <alignment horizontal="left" vertical="top"/>
      <protection locked="0"/>
    </xf>
    <xf numFmtId="0" fontId="22" fillId="0" borderId="14" xfId="0" applyFont="1" applyFill="1" applyBorder="1" applyAlignment="1" applyProtection="1">
      <alignment horizontal="center" vertical="center" wrapText="1"/>
      <protection locked="0"/>
    </xf>
    <xf numFmtId="0" fontId="35" fillId="0" borderId="0" xfId="0" applyFont="1" applyProtection="1">
      <protection locked="0"/>
    </xf>
    <xf numFmtId="0" fontId="21" fillId="0" borderId="0" xfId="0" applyFont="1" applyAlignment="1" applyProtection="1">
      <alignment vertical="center"/>
      <protection locked="0"/>
    </xf>
    <xf numFmtId="0" fontId="21" fillId="0" borderId="0" xfId="0" applyFont="1" applyAlignment="1" applyProtection="1">
      <protection locked="0"/>
    </xf>
    <xf numFmtId="0" fontId="35" fillId="0" borderId="0" xfId="0" applyFont="1" applyAlignment="1" applyProtection="1">
      <protection locked="0"/>
    </xf>
    <xf numFmtId="0" fontId="34" fillId="4" borderId="15" xfId="0" applyFont="1" applyFill="1" applyBorder="1" applyAlignment="1" applyProtection="1">
      <alignment horizontal="justify" vertical="center"/>
      <protection locked="0"/>
    </xf>
    <xf numFmtId="0" fontId="36" fillId="4" borderId="14" xfId="0" applyFont="1" applyFill="1" applyBorder="1" applyAlignment="1" applyProtection="1">
      <alignment horizontal="center" vertical="center"/>
      <protection locked="0"/>
    </xf>
    <xf numFmtId="0" fontId="36" fillId="4" borderId="16" xfId="0" applyFont="1" applyFill="1" applyBorder="1" applyAlignment="1" applyProtection="1">
      <alignment horizontal="center" vertical="center"/>
      <protection locked="0"/>
    </xf>
    <xf numFmtId="0" fontId="37" fillId="0" borderId="7" xfId="0" applyFont="1" applyFill="1" applyBorder="1" applyProtection="1">
      <protection locked="0"/>
    </xf>
    <xf numFmtId="0" fontId="37" fillId="0" borderId="0" xfId="0" applyFont="1" applyFill="1" applyProtection="1">
      <protection locked="0"/>
    </xf>
    <xf numFmtId="0" fontId="37" fillId="0" borderId="6" xfId="0" applyFont="1" applyFill="1" applyBorder="1" applyAlignment="1" applyProtection="1">
      <alignment horizontal="justify" vertical="top"/>
      <protection locked="0"/>
    </xf>
    <xf numFmtId="0" fontId="38" fillId="0" borderId="0" xfId="0" applyFont="1" applyFill="1" applyBorder="1" applyAlignment="1" applyProtection="1">
      <alignment vertical="top"/>
      <protection locked="0"/>
    </xf>
    <xf numFmtId="0" fontId="39" fillId="0" borderId="6" xfId="0" applyFont="1" applyFill="1" applyBorder="1" applyAlignment="1" applyProtection="1">
      <alignment horizontal="justify" vertical="top"/>
      <protection locked="0"/>
    </xf>
    <xf numFmtId="0" fontId="39" fillId="0" borderId="0" xfId="0" applyFont="1" applyFill="1" applyProtection="1">
      <protection locked="0"/>
    </xf>
    <xf numFmtId="0" fontId="40" fillId="0" borderId="6" xfId="0" applyFont="1" applyFill="1" applyBorder="1" applyAlignment="1" applyProtection="1">
      <alignment vertical="top"/>
      <protection locked="0"/>
    </xf>
    <xf numFmtId="0" fontId="40" fillId="0" borderId="0" xfId="0" applyFont="1" applyFill="1" applyBorder="1" applyAlignment="1" applyProtection="1">
      <alignment vertical="top"/>
      <protection locked="0"/>
    </xf>
    <xf numFmtId="0" fontId="37" fillId="0" borderId="6" xfId="0" applyFont="1" applyFill="1" applyBorder="1" applyAlignment="1" applyProtection="1">
      <alignment vertical="top"/>
      <protection locked="0"/>
    </xf>
    <xf numFmtId="0" fontId="37" fillId="0" borderId="0" xfId="0" applyFont="1" applyFill="1" applyBorder="1" applyAlignment="1" applyProtection="1">
      <alignment vertical="top"/>
      <protection locked="0"/>
    </xf>
    <xf numFmtId="0" fontId="38" fillId="0" borderId="6" xfId="0" applyFont="1" applyFill="1" applyBorder="1" applyAlignment="1" applyProtection="1">
      <alignment vertical="top"/>
      <protection locked="0"/>
    </xf>
    <xf numFmtId="0" fontId="40" fillId="0" borderId="0" xfId="0" applyFont="1" applyFill="1" applyBorder="1" applyAlignment="1" applyProtection="1">
      <alignment vertical="top" wrapText="1"/>
      <protection locked="0"/>
    </xf>
    <xf numFmtId="0" fontId="41" fillId="0" borderId="6" xfId="0" applyFont="1" applyFill="1" applyBorder="1" applyAlignment="1" applyProtection="1">
      <alignment vertical="top"/>
      <protection locked="0"/>
    </xf>
    <xf numFmtId="0" fontId="41" fillId="0" borderId="0" xfId="0" applyFont="1" applyFill="1" applyBorder="1" applyAlignment="1" applyProtection="1">
      <alignment vertical="top"/>
      <protection locked="0"/>
    </xf>
    <xf numFmtId="0" fontId="40" fillId="0" borderId="1" xfId="0" applyFont="1" applyFill="1" applyBorder="1" applyAlignment="1" applyProtection="1">
      <alignment vertical="top" wrapText="1"/>
      <protection locked="0"/>
    </xf>
    <xf numFmtId="0" fontId="40" fillId="0" borderId="8" xfId="0" applyFont="1" applyFill="1" applyBorder="1" applyAlignment="1" applyProtection="1">
      <alignment vertical="top"/>
      <protection locked="0"/>
    </xf>
    <xf numFmtId="0" fontId="37" fillId="0" borderId="0" xfId="0" applyFont="1" applyFill="1" applyBorder="1" applyAlignment="1" applyProtection="1">
      <alignment horizontal="left" vertical="top" wrapText="1" indent="2"/>
      <protection locked="0"/>
    </xf>
    <xf numFmtId="0" fontId="37" fillId="0" borderId="0" xfId="0" applyFont="1" applyFill="1" applyBorder="1" applyAlignment="1" applyProtection="1">
      <alignment horizontal="left" vertical="top" indent="2"/>
      <protection locked="0"/>
    </xf>
    <xf numFmtId="4" fontId="38" fillId="0" borderId="0" xfId="0" applyNumberFormat="1" applyFont="1" applyFill="1" applyBorder="1" applyAlignment="1" applyProtection="1">
      <alignment vertical="top"/>
    </xf>
    <xf numFmtId="4" fontId="38" fillId="0" borderId="7" xfId="0" applyNumberFormat="1" applyFont="1" applyFill="1" applyBorder="1" applyAlignment="1" applyProtection="1">
      <alignment vertical="top"/>
    </xf>
    <xf numFmtId="4" fontId="37" fillId="0" borderId="0" xfId="0" applyNumberFormat="1" applyFont="1" applyFill="1" applyBorder="1" applyProtection="1">
      <protection locked="0"/>
    </xf>
    <xf numFmtId="4" fontId="37" fillId="0" borderId="7" xfId="0" applyNumberFormat="1" applyFont="1" applyFill="1" applyBorder="1" applyProtection="1">
      <protection locked="0"/>
    </xf>
    <xf numFmtId="4" fontId="40" fillId="0" borderId="0" xfId="0" applyNumberFormat="1" applyFont="1" applyFill="1" applyBorder="1" applyAlignment="1" applyProtection="1">
      <alignment vertical="top"/>
    </xf>
    <xf numFmtId="4" fontId="40" fillId="0" borderId="7" xfId="0" applyNumberFormat="1" applyFont="1" applyFill="1" applyBorder="1" applyAlignment="1" applyProtection="1">
      <alignment vertical="top"/>
    </xf>
    <xf numFmtId="4" fontId="37" fillId="0" borderId="0" xfId="0" applyNumberFormat="1" applyFont="1" applyFill="1" applyBorder="1" applyAlignment="1" applyProtection="1">
      <alignment vertical="top"/>
    </xf>
    <xf numFmtId="4" fontId="37" fillId="0" borderId="7" xfId="0" applyNumberFormat="1" applyFont="1" applyFill="1" applyBorder="1" applyAlignment="1" applyProtection="1">
      <alignment vertical="top"/>
    </xf>
    <xf numFmtId="4" fontId="38" fillId="0" borderId="0" xfId="0" applyNumberFormat="1" applyFont="1" applyFill="1" applyBorder="1" applyAlignment="1" applyProtection="1">
      <alignment vertical="top"/>
      <protection locked="0"/>
    </xf>
    <xf numFmtId="4" fontId="38" fillId="0" borderId="7" xfId="0" applyNumberFormat="1" applyFont="1" applyFill="1" applyBorder="1" applyAlignment="1" applyProtection="1">
      <alignment vertical="top"/>
      <protection locked="0"/>
    </xf>
    <xf numFmtId="4" fontId="37" fillId="0" borderId="0" xfId="0" applyNumberFormat="1" applyFont="1" applyFill="1" applyBorder="1" applyAlignment="1" applyProtection="1">
      <alignment vertical="top"/>
      <protection locked="0"/>
    </xf>
    <xf numFmtId="4" fontId="37" fillId="0" borderId="7" xfId="0" applyNumberFormat="1" applyFont="1" applyFill="1" applyBorder="1" applyAlignment="1" applyProtection="1">
      <alignment vertical="top"/>
      <protection locked="0"/>
    </xf>
    <xf numFmtId="4" fontId="40" fillId="0" borderId="0" xfId="0" applyNumberFormat="1" applyFont="1" applyFill="1" applyBorder="1" applyAlignment="1" applyProtection="1">
      <alignment vertical="top" wrapText="1"/>
    </xf>
    <xf numFmtId="4" fontId="40" fillId="0" borderId="7" xfId="0" applyNumberFormat="1" applyFont="1" applyFill="1" applyBorder="1" applyAlignment="1" applyProtection="1">
      <alignment vertical="top" wrapText="1"/>
    </xf>
    <xf numFmtId="4" fontId="40" fillId="0" borderId="1" xfId="0" applyNumberFormat="1" applyFont="1" applyFill="1" applyBorder="1" applyAlignment="1" applyProtection="1">
      <alignment vertical="top" wrapText="1"/>
    </xf>
    <xf numFmtId="4" fontId="40" fillId="0" borderId="2" xfId="0" applyNumberFormat="1" applyFont="1" applyFill="1" applyBorder="1" applyAlignment="1" applyProtection="1">
      <alignment vertical="top" wrapText="1"/>
    </xf>
    <xf numFmtId="0" fontId="42" fillId="0" borderId="14"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3" fillId="0" borderId="1" xfId="0" applyFont="1" applyFill="1" applyBorder="1" applyAlignment="1" applyProtection="1">
      <alignment vertical="center"/>
      <protection locked="0"/>
    </xf>
    <xf numFmtId="0" fontId="21" fillId="0" borderId="0" xfId="0" applyFont="1" applyBorder="1" applyAlignment="1" applyProtection="1">
      <alignment horizontal="left" vertical="center"/>
      <protection locked="0"/>
    </xf>
    <xf numFmtId="0" fontId="21" fillId="0" borderId="0" xfId="0" applyFont="1" applyAlignment="1" applyProtection="1">
      <alignment vertical="center" wrapText="1"/>
      <protection locked="0"/>
    </xf>
    <xf numFmtId="0" fontId="34" fillId="4" borderId="6" xfId="0" applyFont="1" applyFill="1" applyBorder="1" applyAlignment="1" applyProtection="1">
      <alignment horizontal="justify" vertical="center"/>
      <protection locked="0"/>
    </xf>
    <xf numFmtId="0" fontId="31" fillId="4" borderId="6" xfId="0" applyFont="1" applyFill="1" applyBorder="1" applyAlignment="1" applyProtection="1">
      <alignment horizontal="justify" vertical="center"/>
      <protection locked="0"/>
    </xf>
    <xf numFmtId="0" fontId="22" fillId="0" borderId="17"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4" fontId="24" fillId="0" borderId="20" xfId="0" applyNumberFormat="1" applyFont="1" applyFill="1" applyBorder="1" applyAlignment="1" applyProtection="1">
      <alignment horizontal="center" vertical="top" wrapText="1"/>
      <protection locked="0"/>
    </xf>
    <xf numFmtId="4" fontId="24" fillId="0" borderId="20" xfId="0" applyNumberFormat="1" applyFont="1" applyFill="1" applyBorder="1" applyAlignment="1" applyProtection="1">
      <alignment vertical="top" wrapText="1"/>
      <protection locked="0"/>
    </xf>
    <xf numFmtId="4" fontId="24" fillId="0" borderId="5" xfId="0" applyNumberFormat="1" applyFont="1" applyFill="1" applyBorder="1" applyAlignment="1" applyProtection="1">
      <alignment horizontal="center" vertical="top" wrapText="1"/>
      <protection locked="0"/>
    </xf>
    <xf numFmtId="4" fontId="28" fillId="0" borderId="9" xfId="0" applyNumberFormat="1" applyFont="1" applyBorder="1" applyAlignment="1" applyProtection="1">
      <alignment horizontal="right" vertical="top" wrapText="1"/>
      <protection locked="0"/>
    </xf>
    <xf numFmtId="4" fontId="28" fillId="0" borderId="7" xfId="0" applyNumberFormat="1" applyFont="1" applyBorder="1" applyAlignment="1" applyProtection="1">
      <alignment horizontal="right" vertical="top" wrapText="1"/>
      <protection locked="0"/>
    </xf>
    <xf numFmtId="4" fontId="24" fillId="0" borderId="9" xfId="0" applyNumberFormat="1" applyFont="1" applyBorder="1" applyAlignment="1" applyProtection="1">
      <alignment horizontal="right" vertical="top" wrapText="1"/>
      <protection locked="0"/>
    </xf>
    <xf numFmtId="4" fontId="24" fillId="0" borderId="7" xfId="0" applyNumberFormat="1" applyFont="1" applyBorder="1" applyAlignment="1" applyProtection="1">
      <alignment horizontal="right" vertical="top" wrapText="1"/>
      <protection locked="0"/>
    </xf>
    <xf numFmtId="0" fontId="20" fillId="0" borderId="0" xfId="0" applyFont="1" applyBorder="1" applyAlignment="1" applyProtection="1">
      <alignment horizontal="justify" vertical="top" wrapText="1"/>
      <protection locked="0"/>
    </xf>
    <xf numFmtId="0" fontId="21" fillId="0" borderId="6" xfId="0" applyFont="1" applyBorder="1" applyAlignment="1" applyProtection="1">
      <alignment horizontal="justify" vertical="top" wrapText="1"/>
      <protection locked="0"/>
    </xf>
    <xf numFmtId="4" fontId="20" fillId="0" borderId="9" xfId="0" applyNumberFormat="1" applyFont="1" applyBorder="1" applyAlignment="1" applyProtection="1">
      <alignment horizontal="right" vertical="top" wrapText="1"/>
      <protection locked="0"/>
    </xf>
    <xf numFmtId="4" fontId="20" fillId="0" borderId="7" xfId="0" applyNumberFormat="1" applyFont="1" applyBorder="1" applyAlignment="1" applyProtection="1">
      <alignment horizontal="right" vertical="top" wrapText="1"/>
      <protection locked="0"/>
    </xf>
    <xf numFmtId="0" fontId="21" fillId="0" borderId="0" xfId="0" applyFont="1" applyBorder="1" applyAlignment="1" applyProtection="1">
      <alignment horizontal="justify" vertical="top" wrapText="1"/>
      <protection locked="0"/>
    </xf>
    <xf numFmtId="0" fontId="33" fillId="0" borderId="6" xfId="0" applyFont="1" applyBorder="1" applyAlignment="1" applyProtection="1">
      <alignment horizontal="justify" vertical="top" wrapText="1"/>
      <protection locked="0"/>
    </xf>
    <xf numFmtId="0" fontId="33" fillId="0" borderId="0" xfId="0" applyFont="1" applyBorder="1" applyAlignment="1" applyProtection="1">
      <alignment horizontal="justify" vertical="top" wrapText="1"/>
      <protection locked="0"/>
    </xf>
    <xf numFmtId="4" fontId="32" fillId="0" borderId="9" xfId="0" applyNumberFormat="1" applyFont="1" applyBorder="1" applyAlignment="1" applyProtection="1">
      <alignment horizontal="right" vertical="top" wrapText="1"/>
      <protection locked="0"/>
    </xf>
    <xf numFmtId="4" fontId="32" fillId="0" borderId="7" xfId="0" applyNumberFormat="1" applyFont="1" applyBorder="1" applyAlignment="1" applyProtection="1">
      <alignment horizontal="right" vertical="top" wrapText="1"/>
      <protection locked="0"/>
    </xf>
    <xf numFmtId="0" fontId="28" fillId="0" borderId="10" xfId="0" applyFont="1" applyBorder="1" applyAlignment="1" applyProtection="1">
      <alignment horizontal="justify" vertical="top" wrapText="1"/>
      <protection locked="0"/>
    </xf>
    <xf numFmtId="0" fontId="28" fillId="0" borderId="2" xfId="0" applyFont="1" applyBorder="1" applyAlignment="1" applyProtection="1">
      <alignment horizontal="justify" vertical="top" wrapText="1"/>
      <protection locked="0"/>
    </xf>
    <xf numFmtId="4" fontId="24" fillId="0" borderId="9" xfId="0" applyNumberFormat="1" applyFont="1" applyBorder="1" applyAlignment="1" applyProtection="1">
      <alignment horizontal="right" vertical="top" wrapText="1"/>
    </xf>
    <xf numFmtId="4" fontId="24" fillId="0" borderId="7" xfId="0" applyNumberFormat="1" applyFont="1" applyBorder="1" applyAlignment="1" applyProtection="1">
      <alignment horizontal="right" vertical="top" wrapText="1"/>
    </xf>
    <xf numFmtId="4" fontId="28" fillId="0" borderId="9" xfId="0" applyNumberFormat="1" applyFont="1" applyBorder="1" applyAlignment="1" applyProtection="1">
      <alignment horizontal="right" vertical="top" wrapText="1"/>
    </xf>
    <xf numFmtId="4" fontId="28" fillId="0" borderId="7" xfId="0" applyNumberFormat="1" applyFont="1" applyBorder="1" applyAlignment="1" applyProtection="1">
      <alignment horizontal="right" vertical="top" wrapText="1"/>
    </xf>
    <xf numFmtId="0" fontId="24" fillId="0" borderId="20"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0" fillId="0" borderId="10" xfId="0" applyFont="1" applyBorder="1" applyAlignment="1">
      <alignment horizontal="justify" vertical="center" wrapText="1"/>
    </xf>
    <xf numFmtId="0" fontId="24" fillId="0" borderId="20"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49" fontId="24" fillId="0" borderId="10" xfId="0" applyNumberFormat="1" applyFont="1" applyFill="1" applyBorder="1" applyAlignment="1" applyProtection="1">
      <alignment horizontal="center" vertical="center" wrapText="1"/>
      <protection locked="0"/>
    </xf>
    <xf numFmtId="49" fontId="24" fillId="5" borderId="10" xfId="0" applyNumberFormat="1"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protection locked="0"/>
    </xf>
    <xf numFmtId="0" fontId="20" fillId="0" borderId="6" xfId="0" applyFont="1" applyBorder="1" applyAlignment="1" applyProtection="1">
      <alignment horizontal="justify" vertical="center" wrapText="1"/>
      <protection locked="0"/>
    </xf>
    <xf numFmtId="0" fontId="20" fillId="0" borderId="8" xfId="0" applyFont="1" applyBorder="1" applyAlignment="1" applyProtection="1">
      <alignment horizontal="justify" vertical="center" wrapText="1"/>
      <protection locked="0"/>
    </xf>
    <xf numFmtId="0" fontId="24" fillId="0" borderId="4" xfId="0" applyFont="1" applyBorder="1" applyAlignment="1" applyProtection="1">
      <alignment horizontal="center" vertical="center"/>
      <protection locked="0"/>
    </xf>
    <xf numFmtId="0" fontId="41" fillId="0" borderId="4" xfId="0" applyFont="1" applyBorder="1" applyAlignment="1" applyProtection="1">
      <alignment horizontal="justify" vertical="center" wrapText="1"/>
      <protection locked="0"/>
    </xf>
    <xf numFmtId="0" fontId="43" fillId="0" borderId="4" xfId="0" applyFont="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41" fillId="0" borderId="0" xfId="0" applyFont="1" applyBorder="1" applyAlignment="1" applyProtection="1">
      <alignment horizontal="justify" vertical="center" wrapText="1"/>
      <protection locked="0"/>
    </xf>
    <xf numFmtId="0" fontId="43" fillId="0" borderId="0" xfId="0" applyFont="1" applyBorder="1" applyAlignment="1" applyProtection="1">
      <alignment vertical="center" wrapText="1"/>
      <protection locked="0"/>
    </xf>
    <xf numFmtId="0" fontId="43" fillId="0" borderId="0" xfId="0" applyFont="1" applyBorder="1" applyAlignment="1" applyProtection="1">
      <alignment horizontal="right" vertical="center" wrapText="1"/>
      <protection locked="0"/>
    </xf>
    <xf numFmtId="0" fontId="24" fillId="0" borderId="5" xfId="0" applyFont="1" applyFill="1" applyBorder="1" applyAlignment="1" applyProtection="1">
      <alignment horizontal="center" vertical="center" wrapText="1"/>
      <protection locked="0"/>
    </xf>
    <xf numFmtId="0" fontId="24" fillId="0" borderId="8" xfId="0" applyFont="1" applyFill="1" applyBorder="1" applyAlignment="1" applyProtection="1">
      <alignment vertical="center"/>
      <protection locked="0"/>
    </xf>
    <xf numFmtId="0" fontId="24" fillId="0" borderId="2" xfId="0" applyFont="1" applyFill="1" applyBorder="1" applyAlignment="1" applyProtection="1">
      <alignment vertical="center"/>
      <protection locked="0"/>
    </xf>
    <xf numFmtId="49" fontId="24" fillId="0" borderId="2" xfId="0" applyNumberFormat="1" applyFont="1" applyFill="1" applyBorder="1" applyAlignment="1" applyProtection="1">
      <alignment horizontal="center" vertical="center" wrapText="1"/>
      <protection locked="0"/>
    </xf>
    <xf numFmtId="49" fontId="24" fillId="0" borderId="23" xfId="0" applyNumberFormat="1" applyFont="1" applyFill="1" applyBorder="1" applyAlignment="1" applyProtection="1">
      <alignment horizontal="center" vertical="center" wrapText="1"/>
      <protection locked="0"/>
    </xf>
    <xf numFmtId="0" fontId="24" fillId="0" borderId="3"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0" fillId="0" borderId="6" xfId="0" applyFont="1" applyBorder="1" applyAlignment="1" applyProtection="1">
      <alignment horizontal="left" vertical="center" indent="1"/>
      <protection locked="0"/>
    </xf>
    <xf numFmtId="0" fontId="20" fillId="0" borderId="7" xfId="0" applyFont="1" applyBorder="1" applyAlignment="1" applyProtection="1">
      <alignment horizontal="left" vertical="center" indent="1"/>
      <protection locked="0"/>
    </xf>
    <xf numFmtId="0" fontId="20" fillId="0" borderId="6" xfId="0" applyFont="1" applyBorder="1" applyAlignment="1" applyProtection="1">
      <alignment horizontal="left" vertical="center" indent="3"/>
      <protection locked="0"/>
    </xf>
    <xf numFmtId="0" fontId="20" fillId="0" borderId="7" xfId="0" applyFont="1" applyBorder="1" applyAlignment="1" applyProtection="1">
      <alignment horizontal="left" vertical="center" indent="6"/>
      <protection locked="0"/>
    </xf>
    <xf numFmtId="0" fontId="20" fillId="0" borderId="7" xfId="0" applyFont="1" applyBorder="1" applyAlignment="1" applyProtection="1">
      <alignment horizontal="left" vertical="center" wrapText="1" indent="2"/>
      <protection locked="0"/>
    </xf>
    <xf numFmtId="0" fontId="24" fillId="0" borderId="6"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0" fontId="20" fillId="0" borderId="7" xfId="0" applyFont="1" applyBorder="1" applyAlignment="1" applyProtection="1">
      <alignment horizontal="left" vertical="justify"/>
      <protection locked="0"/>
    </xf>
    <xf numFmtId="0" fontId="20" fillId="0" borderId="7" xfId="0" applyFont="1" applyBorder="1" applyAlignment="1" applyProtection="1">
      <alignment horizontal="justify" vertical="center" wrapText="1"/>
      <protection locked="0"/>
    </xf>
    <xf numFmtId="0" fontId="20" fillId="0" borderId="8"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4" fontId="41" fillId="0" borderId="4" xfId="0" applyNumberFormat="1" applyFont="1" applyBorder="1" applyAlignment="1" applyProtection="1">
      <alignment horizontal="right" vertical="center" wrapText="1"/>
      <protection locked="0"/>
    </xf>
    <xf numFmtId="4" fontId="43" fillId="0" borderId="5" xfId="0" applyNumberFormat="1" applyFont="1" applyBorder="1" applyAlignment="1" applyProtection="1">
      <alignment horizontal="right" vertical="center" wrapText="1"/>
      <protection locked="0"/>
    </xf>
    <xf numFmtId="0" fontId="43" fillId="0" borderId="0" xfId="0" applyFont="1" applyAlignment="1" applyProtection="1">
      <alignment vertical="top"/>
      <protection locked="0"/>
    </xf>
    <xf numFmtId="0" fontId="20" fillId="0" borderId="0" xfId="0" applyFont="1" applyAlignment="1" applyProtection="1">
      <alignment vertical="center"/>
      <protection locked="0"/>
    </xf>
    <xf numFmtId="0" fontId="21" fillId="0" borderId="0" xfId="0" applyFont="1" applyAlignment="1" applyProtection="1">
      <alignment vertical="center"/>
    </xf>
    <xf numFmtId="0" fontId="20" fillId="0" borderId="0" xfId="0" applyFont="1" applyFill="1" applyAlignment="1" applyProtection="1">
      <alignment vertical="center"/>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46" fillId="0" borderId="0" xfId="0" applyFont="1" applyAlignment="1" applyProtection="1">
      <alignment vertical="center"/>
      <protection locked="0"/>
    </xf>
    <xf numFmtId="0" fontId="22" fillId="0" borderId="0" xfId="0" applyFont="1" applyFill="1" applyBorder="1" applyAlignment="1" applyProtection="1">
      <alignment horizontal="left" vertical="top"/>
      <protection locked="0"/>
    </xf>
    <xf numFmtId="0" fontId="22" fillId="5" borderId="4" xfId="0" applyFont="1" applyFill="1" applyBorder="1" applyAlignment="1" applyProtection="1">
      <alignment horizontal="left" vertical="center"/>
      <protection locked="0"/>
    </xf>
    <xf numFmtId="0" fontId="22" fillId="5" borderId="4" xfId="0" applyFont="1" applyFill="1" applyBorder="1" applyAlignment="1" applyProtection="1">
      <alignment horizontal="center" vertical="center" wrapText="1"/>
      <protection locked="0"/>
    </xf>
    <xf numFmtId="0" fontId="21" fillId="5" borderId="0" xfId="0" applyFont="1" applyFill="1" applyAlignment="1" applyProtection="1">
      <alignment vertical="center" wrapText="1"/>
      <protection locked="0"/>
    </xf>
    <xf numFmtId="0" fontId="22" fillId="5" borderId="1" xfId="0" applyFont="1" applyFill="1" applyBorder="1" applyAlignment="1" applyProtection="1">
      <alignment horizontal="left" vertical="center"/>
      <protection locked="0"/>
    </xf>
    <xf numFmtId="0" fontId="22" fillId="5" borderId="1" xfId="0" applyFont="1" applyFill="1" applyBorder="1" applyAlignment="1" applyProtection="1">
      <alignment horizontal="center" vertical="center" wrapText="1"/>
      <protection locked="0"/>
    </xf>
    <xf numFmtId="0" fontId="31" fillId="4" borderId="8" xfId="0" applyFont="1" applyFill="1" applyBorder="1" applyAlignment="1" applyProtection="1">
      <alignment vertical="center"/>
      <protection locked="0"/>
    </xf>
    <xf numFmtId="4" fontId="31" fillId="4" borderId="2" xfId="0" applyNumberFormat="1" applyFont="1" applyFill="1" applyBorder="1" applyAlignment="1" applyProtection="1">
      <alignment horizontal="right" vertical="center"/>
      <protection locked="0"/>
    </xf>
    <xf numFmtId="0" fontId="31" fillId="4" borderId="6" xfId="0" applyFont="1" applyFill="1" applyBorder="1" applyAlignment="1" applyProtection="1">
      <alignment vertical="center"/>
      <protection locked="0"/>
    </xf>
    <xf numFmtId="0" fontId="22" fillId="3" borderId="17" xfId="0" applyFont="1" applyFill="1" applyBorder="1" applyAlignment="1" applyProtection="1">
      <alignment horizontal="center" vertical="center" wrapText="1"/>
      <protection locked="0"/>
    </xf>
    <xf numFmtId="4" fontId="22" fillId="3" borderId="18" xfId="0" applyNumberFormat="1" applyFont="1" applyFill="1" applyBorder="1" applyAlignment="1" applyProtection="1">
      <alignment horizontal="right" vertical="center" wrapText="1"/>
    </xf>
    <xf numFmtId="0" fontId="34" fillId="4" borderId="24" xfId="0" applyFont="1" applyFill="1" applyBorder="1" applyAlignment="1" applyProtection="1">
      <alignment vertical="center"/>
      <protection locked="0"/>
    </xf>
    <xf numFmtId="0" fontId="34" fillId="4" borderId="17" xfId="0" applyFont="1" applyFill="1" applyBorder="1" applyAlignment="1" applyProtection="1">
      <alignment vertical="center"/>
      <protection locked="0"/>
    </xf>
    <xf numFmtId="0" fontId="31" fillId="4" borderId="17" xfId="0" applyFont="1" applyFill="1" applyBorder="1" applyAlignment="1" applyProtection="1">
      <alignment horizontal="justify" vertical="center"/>
      <protection locked="0"/>
    </xf>
    <xf numFmtId="4" fontId="22" fillId="0" borderId="18" xfId="0" applyNumberFormat="1" applyFont="1" applyFill="1" applyBorder="1" applyAlignment="1" applyProtection="1">
      <alignment horizontal="right" vertical="center" wrapText="1"/>
    </xf>
    <xf numFmtId="43" fontId="22" fillId="0" borderId="9" xfId="0" applyNumberFormat="1" applyFont="1" applyFill="1" applyBorder="1" applyAlignment="1" applyProtection="1">
      <alignment horizontal="right" vertical="center" wrapText="1"/>
      <protection locked="0"/>
    </xf>
    <xf numFmtId="0" fontId="22" fillId="0" borderId="9" xfId="0" applyFont="1" applyFill="1" applyBorder="1" applyAlignment="1" applyProtection="1">
      <alignment horizontal="right" vertical="center" wrapText="1"/>
      <protection locked="0"/>
    </xf>
    <xf numFmtId="0" fontId="31" fillId="4" borderId="9" xfId="0" applyFont="1" applyFill="1" applyBorder="1" applyAlignment="1" applyProtection="1">
      <alignment horizontal="right" vertical="center"/>
      <protection locked="0"/>
    </xf>
    <xf numFmtId="0" fontId="34" fillId="3" borderId="24" xfId="0" applyFont="1" applyFill="1" applyBorder="1" applyAlignment="1" applyProtection="1">
      <alignment vertical="center"/>
      <protection locked="0"/>
    </xf>
    <xf numFmtId="0" fontId="34" fillId="3" borderId="17" xfId="0" applyFont="1" applyFill="1" applyBorder="1" applyAlignment="1" applyProtection="1">
      <alignment vertical="center"/>
      <protection locked="0"/>
    </xf>
    <xf numFmtId="0" fontId="31" fillId="3" borderId="17" xfId="0" applyFont="1" applyFill="1" applyBorder="1" applyAlignment="1" applyProtection="1">
      <alignment horizontal="justify" vertical="center"/>
      <protection locked="0"/>
    </xf>
    <xf numFmtId="0" fontId="22" fillId="5" borderId="3" xfId="0" applyFont="1" applyFill="1" applyBorder="1" applyAlignment="1" applyProtection="1">
      <alignment horizontal="left" vertical="center"/>
      <protection locked="0"/>
    </xf>
    <xf numFmtId="0" fontId="22" fillId="5" borderId="8" xfId="0" applyFont="1" applyFill="1" applyBorder="1" applyAlignment="1" applyProtection="1">
      <alignment horizontal="left" vertical="center"/>
      <protection locked="0"/>
    </xf>
    <xf numFmtId="4" fontId="22" fillId="5" borderId="5" xfId="0" applyNumberFormat="1" applyFont="1" applyFill="1" applyBorder="1" applyAlignment="1" applyProtection="1">
      <alignment horizontal="right" vertical="center" wrapText="1"/>
      <protection locked="0"/>
    </xf>
    <xf numFmtId="4" fontId="22" fillId="5" borderId="2" xfId="0" applyNumberFormat="1" applyFont="1" applyFill="1" applyBorder="1" applyAlignment="1" applyProtection="1">
      <alignment horizontal="right" vertical="center" wrapText="1"/>
      <protection locked="0"/>
    </xf>
    <xf numFmtId="0" fontId="29" fillId="4" borderId="4" xfId="0" applyFont="1" applyFill="1" applyBorder="1" applyAlignment="1" applyProtection="1">
      <alignment horizontal="justify" vertical="center"/>
      <protection locked="0"/>
    </xf>
    <xf numFmtId="0" fontId="22" fillId="0" borderId="4" xfId="0" applyFont="1" applyFill="1" applyBorder="1" applyAlignment="1" applyProtection="1">
      <alignment horizontal="center" vertical="center" wrapText="1"/>
      <protection locked="0"/>
    </xf>
    <xf numFmtId="4" fontId="31" fillId="4" borderId="5" xfId="0" applyNumberFormat="1" applyFont="1" applyFill="1" applyBorder="1" applyAlignment="1" applyProtection="1">
      <alignment horizontal="right" vertical="center"/>
      <protection locked="0"/>
    </xf>
    <xf numFmtId="0" fontId="47" fillId="4" borderId="1" xfId="0" applyFont="1" applyFill="1" applyBorder="1" applyAlignment="1" applyProtection="1">
      <alignment horizontal="justify" vertical="center"/>
      <protection locked="0"/>
    </xf>
    <xf numFmtId="0" fontId="22" fillId="0" borderId="1" xfId="0" applyFont="1" applyFill="1" applyBorder="1" applyAlignment="1" applyProtection="1">
      <alignment horizontal="center" vertical="center" wrapText="1"/>
      <protection locked="0"/>
    </xf>
    <xf numFmtId="0" fontId="29" fillId="4" borderId="25" xfId="0" applyFont="1" applyFill="1" applyBorder="1" applyAlignment="1" applyProtection="1">
      <alignment horizontal="justify" vertical="center"/>
      <protection locked="0"/>
    </xf>
    <xf numFmtId="0" fontId="29" fillId="4" borderId="12" xfId="0" applyFont="1" applyFill="1" applyBorder="1" applyAlignment="1" applyProtection="1">
      <alignment horizontal="justify" vertical="center"/>
      <protection locked="0"/>
    </xf>
    <xf numFmtId="0" fontId="48" fillId="4" borderId="12" xfId="0" applyFont="1" applyFill="1" applyBorder="1" applyAlignment="1" applyProtection="1">
      <alignment horizontal="justify" vertical="center"/>
      <protection locked="0"/>
    </xf>
    <xf numFmtId="0" fontId="29" fillId="4" borderId="26" xfId="0" applyFont="1" applyFill="1" applyBorder="1" applyAlignment="1" applyProtection="1">
      <alignment horizontal="justify" vertical="center"/>
      <protection locked="0"/>
    </xf>
    <xf numFmtId="0" fontId="48" fillId="4" borderId="26" xfId="0" applyFont="1" applyFill="1" applyBorder="1" applyAlignment="1" applyProtection="1">
      <alignment horizontal="justify" vertical="center"/>
      <protection locked="0"/>
    </xf>
    <xf numFmtId="0" fontId="31" fillId="4" borderId="3" xfId="0" applyFont="1" applyFill="1" applyBorder="1" applyAlignment="1" applyProtection="1">
      <alignment horizontal="justify" vertical="center"/>
      <protection locked="0"/>
    </xf>
    <xf numFmtId="0" fontId="34" fillId="4" borderId="8" xfId="0" applyFont="1" applyFill="1" applyBorder="1" applyAlignment="1" applyProtection="1">
      <alignment horizontal="left" vertical="center"/>
      <protection locked="0"/>
    </xf>
    <xf numFmtId="0" fontId="21" fillId="0" borderId="0" xfId="0" applyFont="1" applyFill="1" applyAlignment="1" applyProtection="1">
      <alignment vertical="center"/>
      <protection locked="0"/>
    </xf>
    <xf numFmtId="0" fontId="25"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4" fillId="0" borderId="0" xfId="0" applyFont="1" applyFill="1" applyAlignment="1" applyProtection="1">
      <alignment vertical="center"/>
      <protection locked="0"/>
    </xf>
    <xf numFmtId="49" fontId="24" fillId="0" borderId="0" xfId="0" applyNumberFormat="1" applyFont="1" applyFill="1" applyAlignment="1" applyProtection="1">
      <alignment vertical="center"/>
      <protection locked="0"/>
    </xf>
    <xf numFmtId="0" fontId="49" fillId="0" borderId="0" xfId="0" applyFont="1" applyFill="1" applyAlignment="1" applyProtection="1">
      <alignment vertical="center"/>
      <protection locked="0"/>
    </xf>
    <xf numFmtId="0" fontId="35" fillId="0" borderId="0" xfId="0" applyFont="1" applyFill="1" applyAlignment="1" applyProtection="1">
      <alignment vertical="center"/>
      <protection locked="0"/>
    </xf>
    <xf numFmtId="0" fontId="49" fillId="0" borderId="0" xfId="0" applyFont="1" applyFill="1" applyAlignment="1" applyProtection="1">
      <alignment horizontal="justify"/>
      <protection locked="0"/>
    </xf>
    <xf numFmtId="0" fontId="50" fillId="0" borderId="0" xfId="0" applyFont="1" applyFill="1" applyAlignment="1" applyProtection="1">
      <alignment horizontal="right"/>
      <protection locked="0"/>
    </xf>
    <xf numFmtId="0" fontId="20" fillId="0" borderId="27" xfId="0" applyFont="1" applyFill="1" applyBorder="1" applyAlignment="1" applyProtection="1">
      <alignment horizontal="left" vertical="center" wrapText="1" indent="2"/>
      <protection locked="0"/>
    </xf>
    <xf numFmtId="0" fontId="20" fillId="0" borderId="22" xfId="0" applyFont="1" applyFill="1" applyBorder="1" applyAlignment="1" applyProtection="1">
      <alignment horizontal="justify" vertical="center" wrapText="1"/>
      <protection locked="0"/>
    </xf>
    <xf numFmtId="49" fontId="38" fillId="0" borderId="10"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22" fillId="0" borderId="0" xfId="0" applyFont="1" applyFill="1" applyAlignment="1" applyProtection="1">
      <alignment vertical="center"/>
      <protection locked="0"/>
    </xf>
    <xf numFmtId="49" fontId="38" fillId="0" borderId="10" xfId="0" applyNumberFormat="1" applyFont="1" applyFill="1" applyBorder="1" applyAlignment="1" applyProtection="1">
      <alignment horizontal="center" vertical="center" wrapText="1"/>
      <protection locked="0"/>
    </xf>
    <xf numFmtId="49" fontId="38" fillId="0" borderId="11" xfId="0" applyNumberFormat="1" applyFont="1" applyFill="1" applyBorder="1" applyAlignment="1" applyProtection="1">
      <alignment horizontal="center" vertical="center" wrapText="1"/>
      <protection locked="0"/>
    </xf>
    <xf numFmtId="49" fontId="22" fillId="0" borderId="0" xfId="0" applyNumberFormat="1" applyFont="1" applyFill="1" applyAlignment="1" applyProtection="1">
      <alignment vertical="center"/>
      <protection locked="0"/>
    </xf>
    <xf numFmtId="0" fontId="35" fillId="0" borderId="27" xfId="0" applyFont="1" applyFill="1" applyBorder="1" applyAlignment="1" applyProtection="1">
      <alignment horizontal="justify" vertical="center" wrapText="1"/>
      <protection locked="0"/>
    </xf>
    <xf numFmtId="0" fontId="24" fillId="0" borderId="24" xfId="0" applyFont="1" applyFill="1" applyBorder="1" applyAlignment="1" applyProtection="1">
      <alignment horizontal="justify" vertical="center" wrapText="1"/>
      <protection locked="0"/>
    </xf>
    <xf numFmtId="49" fontId="38" fillId="0" borderId="0" xfId="0" applyNumberFormat="1" applyFont="1" applyFill="1" applyAlignment="1" applyProtection="1">
      <alignment vertical="center"/>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justify" vertical="center" wrapText="1"/>
      <protection locked="0"/>
    </xf>
    <xf numFmtId="4" fontId="20" fillId="0" borderId="9" xfId="0" applyNumberFormat="1" applyFont="1" applyFill="1" applyBorder="1" applyAlignment="1" applyProtection="1">
      <alignment horizontal="justify" vertical="center" wrapText="1"/>
    </xf>
    <xf numFmtId="4" fontId="20" fillId="0" borderId="28" xfId="0" applyNumberFormat="1" applyFont="1" applyFill="1" applyBorder="1" applyAlignment="1" applyProtection="1">
      <alignment horizontal="justify" vertical="center" wrapText="1"/>
    </xf>
    <xf numFmtId="4" fontId="20" fillId="0" borderId="9" xfId="0" applyNumberFormat="1" applyFont="1" applyFill="1" applyBorder="1" applyAlignment="1" applyProtection="1">
      <alignment horizontal="right" vertical="center" wrapText="1"/>
      <protection locked="0"/>
    </xf>
    <xf numFmtId="4" fontId="20" fillId="0" borderId="9" xfId="0" applyNumberFormat="1" applyFont="1" applyFill="1" applyBorder="1" applyAlignment="1" applyProtection="1">
      <alignment horizontal="right" vertical="center" wrapText="1"/>
    </xf>
    <xf numFmtId="0" fontId="23" fillId="0" borderId="20"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4" fontId="20" fillId="0" borderId="28" xfId="0" applyNumberFormat="1" applyFont="1" applyFill="1" applyBorder="1" applyAlignment="1" applyProtection="1">
      <alignment horizontal="right" vertical="center" wrapText="1"/>
    </xf>
    <xf numFmtId="0" fontId="20" fillId="0" borderId="27" xfId="0" applyFont="1" applyFill="1" applyBorder="1" applyAlignment="1" applyProtection="1">
      <alignment horizontal="left" vertical="center" wrapText="1" indent="1"/>
      <protection locked="0"/>
    </xf>
    <xf numFmtId="4" fontId="22" fillId="0" borderId="0" xfId="0" applyNumberFormat="1" applyFont="1" applyFill="1" applyBorder="1" applyAlignment="1" applyProtection="1">
      <alignment horizontal="right" vertical="top"/>
      <protection locked="0"/>
    </xf>
    <xf numFmtId="4" fontId="23" fillId="0" borderId="20" xfId="0" applyNumberFormat="1" applyFont="1" applyFill="1" applyBorder="1" applyAlignment="1" applyProtection="1">
      <alignment horizontal="center" vertical="center" wrapText="1"/>
      <protection locked="0"/>
    </xf>
    <xf numFmtId="4" fontId="23" fillId="0" borderId="21" xfId="0" applyNumberFormat="1" applyFont="1" applyFill="1" applyBorder="1" applyAlignment="1" applyProtection="1">
      <alignment horizontal="center" vertical="center" wrapText="1"/>
      <protection locked="0"/>
    </xf>
    <xf numFmtId="4" fontId="23" fillId="0" borderId="10" xfId="0" applyNumberFormat="1" applyFont="1" applyFill="1" applyBorder="1" applyAlignment="1" applyProtection="1">
      <alignment horizontal="center" vertical="center" wrapText="1"/>
      <protection locked="0"/>
    </xf>
    <xf numFmtId="4" fontId="23" fillId="0" borderId="11" xfId="0" applyNumberFormat="1" applyFont="1" applyFill="1" applyBorder="1" applyAlignment="1" applyProtection="1">
      <alignment horizontal="center" vertical="center" wrapText="1"/>
      <protection locked="0"/>
    </xf>
    <xf numFmtId="0" fontId="21" fillId="0" borderId="27" xfId="0" applyFont="1" applyFill="1" applyBorder="1" applyAlignment="1" applyProtection="1">
      <alignment horizontal="justify" vertical="center" wrapText="1"/>
      <protection locked="0"/>
    </xf>
    <xf numFmtId="4" fontId="21" fillId="0" borderId="9" xfId="0" applyNumberFormat="1" applyFont="1" applyFill="1" applyBorder="1" applyAlignment="1" applyProtection="1">
      <alignment horizontal="justify" vertical="center" wrapText="1"/>
      <protection locked="0"/>
    </xf>
    <xf numFmtId="4" fontId="21" fillId="0" borderId="28" xfId="0" applyNumberFormat="1" applyFont="1" applyFill="1" applyBorder="1" applyAlignment="1" applyProtection="1">
      <alignment horizontal="justify" vertical="center" wrapText="1"/>
      <protection locked="0"/>
    </xf>
    <xf numFmtId="0" fontId="24" fillId="0" borderId="0" xfId="0" applyFont="1" applyFill="1" applyBorder="1" applyAlignment="1">
      <alignment horizontal="left" vertical="top"/>
    </xf>
    <xf numFmtId="49" fontId="24" fillId="0" borderId="27" xfId="0" applyNumberFormat="1" applyFont="1" applyFill="1" applyBorder="1" applyAlignment="1">
      <alignment horizontal="left"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center" vertical="center" wrapText="1"/>
    </xf>
    <xf numFmtId="0" fontId="24" fillId="0" borderId="27" xfId="0" applyFont="1" applyBorder="1" applyAlignment="1">
      <alignment horizontal="left" vertical="top" wrapText="1"/>
    </xf>
    <xf numFmtId="0" fontId="24" fillId="0" borderId="9" xfId="0" applyFont="1" applyBorder="1" applyAlignment="1">
      <alignment horizontal="justify" vertical="top" wrapText="1"/>
    </xf>
    <xf numFmtId="0" fontId="20" fillId="0" borderId="27" xfId="0" applyFont="1" applyBorder="1" applyAlignment="1">
      <alignment horizontal="left" vertical="top" wrapText="1" indent="1"/>
    </xf>
    <xf numFmtId="0" fontId="20" fillId="0" borderId="9" xfId="0" applyFont="1" applyBorder="1" applyAlignment="1">
      <alignment horizontal="justify" vertical="top" wrapText="1"/>
    </xf>
    <xf numFmtId="0" fontId="20" fillId="0" borderId="27" xfId="0" applyFont="1" applyBorder="1" applyAlignment="1">
      <alignment horizontal="left" vertical="top" wrapText="1" indent="2"/>
    </xf>
    <xf numFmtId="0" fontId="20" fillId="0" borderId="27" xfId="0" applyFont="1" applyBorder="1" applyAlignment="1">
      <alignment horizontal="left" vertical="top" wrapText="1" indent="3"/>
    </xf>
    <xf numFmtId="49" fontId="38" fillId="5" borderId="10" xfId="0" applyNumberFormat="1" applyFont="1" applyFill="1" applyBorder="1" applyAlignment="1">
      <alignment horizontal="center" vertical="center" wrapText="1"/>
    </xf>
    <xf numFmtId="0" fontId="21" fillId="0" borderId="0" xfId="0" applyFont="1" applyProtection="1"/>
    <xf numFmtId="0" fontId="43" fillId="5" borderId="0" xfId="0" applyFont="1" applyFill="1" applyBorder="1" applyAlignment="1" applyProtection="1">
      <alignment horizontal="right"/>
      <protection locked="0"/>
    </xf>
    <xf numFmtId="0" fontId="5" fillId="0" borderId="0" xfId="0" applyFont="1" applyAlignment="1" applyProtection="1">
      <protection locked="0"/>
    </xf>
    <xf numFmtId="0" fontId="6" fillId="0" borderId="2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 fontId="6" fillId="0" borderId="9" xfId="0" applyNumberFormat="1" applyFont="1" applyBorder="1" applyAlignment="1" applyProtection="1">
      <alignment horizontal="right" vertical="center"/>
      <protection locked="0"/>
    </xf>
    <xf numFmtId="4" fontId="6" fillId="0" borderId="12" xfId="0" applyNumberFormat="1" applyFont="1" applyBorder="1" applyAlignment="1" applyProtection="1">
      <alignment horizontal="right" vertical="center"/>
      <protection locked="0"/>
    </xf>
    <xf numFmtId="4" fontId="6" fillId="0" borderId="7" xfId="0" applyNumberFormat="1" applyFont="1" applyBorder="1" applyAlignment="1" applyProtection="1">
      <alignment horizontal="right" vertical="center"/>
      <protection locked="0"/>
    </xf>
    <xf numFmtId="0" fontId="6" fillId="0" borderId="12" xfId="0" applyFont="1" applyBorder="1" applyAlignment="1" applyProtection="1">
      <alignment horizontal="left" vertical="center"/>
      <protection locked="0"/>
    </xf>
    <xf numFmtId="0" fontId="6" fillId="0" borderId="12" xfId="0" applyFont="1" applyBorder="1" applyAlignment="1" applyProtection="1">
      <alignment horizontal="left" vertical="center" wrapText="1"/>
      <protection locked="0"/>
    </xf>
    <xf numFmtId="0" fontId="21" fillId="0" borderId="0" xfId="0" applyFont="1" applyAlignment="1" applyProtection="1">
      <alignment wrapText="1"/>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vertical="center"/>
      <protection locked="0"/>
    </xf>
    <xf numFmtId="0" fontId="7" fillId="0" borderId="0" xfId="0" applyFont="1" applyProtection="1">
      <protection locked="0"/>
    </xf>
    <xf numFmtId="4" fontId="6" fillId="0" borderId="9" xfId="0" applyNumberFormat="1" applyFont="1" applyBorder="1" applyAlignment="1" applyProtection="1">
      <alignment horizontal="right" vertical="center"/>
    </xf>
    <xf numFmtId="4" fontId="6" fillId="0" borderId="12" xfId="0" applyNumberFormat="1" applyFont="1" applyBorder="1" applyAlignment="1" applyProtection="1">
      <alignment horizontal="right" vertical="center"/>
    </xf>
    <xf numFmtId="4" fontId="6" fillId="0" borderId="7" xfId="0" applyNumberFormat="1" applyFont="1" applyBorder="1" applyAlignment="1" applyProtection="1">
      <alignment horizontal="right" vertical="center"/>
    </xf>
    <xf numFmtId="4" fontId="6" fillId="0" borderId="17" xfId="0" applyNumberFormat="1" applyFont="1" applyBorder="1" applyAlignment="1" applyProtection="1">
      <alignment horizontal="right" vertical="center"/>
    </xf>
    <xf numFmtId="4" fontId="6" fillId="0" borderId="18" xfId="0" applyNumberFormat="1" applyFont="1" applyBorder="1" applyAlignment="1" applyProtection="1">
      <alignment horizontal="right" vertical="center"/>
    </xf>
    <xf numFmtId="0" fontId="25" fillId="0" borderId="0" xfId="0" applyFont="1" applyAlignment="1" applyProtection="1">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4" fontId="6" fillId="0" borderId="19" xfId="0" applyNumberFormat="1" applyFont="1" applyBorder="1" applyAlignment="1" applyProtection="1">
      <alignment horizontal="right" vertical="center"/>
    </xf>
    <xf numFmtId="0" fontId="0" fillId="0" borderId="0" xfId="0" applyProtection="1">
      <protection locked="0"/>
    </xf>
    <xf numFmtId="0" fontId="23" fillId="0" borderId="1" xfId="0" applyFont="1" applyFill="1" applyBorder="1" applyAlignment="1" applyProtection="1">
      <alignment vertical="center" wrapText="1"/>
      <protection locked="0"/>
    </xf>
    <xf numFmtId="49" fontId="38" fillId="5" borderId="10" xfId="0" applyNumberFormat="1" applyFont="1" applyFill="1" applyBorder="1" applyAlignment="1" applyProtection="1">
      <alignment horizontal="center" vertical="center" wrapText="1"/>
      <protection locked="0"/>
    </xf>
    <xf numFmtId="4" fontId="21" fillId="0" borderId="9" xfId="0" applyNumberFormat="1" applyFont="1" applyBorder="1" applyAlignment="1" applyProtection="1">
      <alignment horizontal="right" vertical="center" wrapText="1"/>
      <protection locked="0"/>
    </xf>
    <xf numFmtId="0" fontId="51" fillId="0" borderId="6" xfId="0" applyFont="1" applyBorder="1" applyAlignment="1" applyProtection="1">
      <alignment vertical="center" wrapText="1"/>
      <protection locked="0"/>
    </xf>
    <xf numFmtId="4" fontId="51" fillId="0" borderId="9" xfId="0" applyNumberFormat="1" applyFont="1" applyBorder="1" applyAlignment="1" applyProtection="1">
      <alignment horizontal="right" vertical="center" wrapText="1"/>
      <protection locked="0"/>
    </xf>
    <xf numFmtId="0" fontId="52" fillId="0" borderId="0" xfId="0" applyFont="1" applyProtection="1">
      <protection locked="0"/>
    </xf>
    <xf numFmtId="0" fontId="23" fillId="0" borderId="27" xfId="0" applyFont="1" applyBorder="1" applyAlignment="1" applyProtection="1">
      <alignment vertical="top" wrapText="1"/>
      <protection locked="0"/>
    </xf>
    <xf numFmtId="0" fontId="1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21" fillId="0" borderId="27" xfId="0" applyFont="1" applyBorder="1" applyAlignment="1" applyProtection="1">
      <alignment horizontal="justify" vertical="center" wrapText="1"/>
      <protection locked="0"/>
    </xf>
    <xf numFmtId="0" fontId="35" fillId="0" borderId="27" xfId="0" applyFont="1" applyBorder="1" applyAlignment="1" applyProtection="1">
      <alignment horizontal="left" vertical="center" wrapText="1" indent="4"/>
      <protection locked="0"/>
    </xf>
    <xf numFmtId="0" fontId="24" fillId="0" borderId="24" xfId="0" applyFont="1" applyBorder="1" applyAlignment="1" applyProtection="1">
      <alignment horizontal="justify" vertical="center" wrapText="1"/>
      <protection locked="0"/>
    </xf>
    <xf numFmtId="0" fontId="22" fillId="0" borderId="0" xfId="0" applyFont="1" applyFill="1" applyBorder="1" applyAlignment="1">
      <alignment horizontal="right"/>
    </xf>
    <xf numFmtId="0" fontId="5" fillId="0" borderId="0" xfId="0" applyFont="1" applyFill="1" applyBorder="1" applyAlignment="1">
      <alignment horizontal="center"/>
    </xf>
    <xf numFmtId="0" fontId="21" fillId="0" borderId="0" xfId="0" applyFont="1" applyFill="1" applyAlignment="1"/>
    <xf numFmtId="0" fontId="21"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1" fillId="0" borderId="6" xfId="0" applyFont="1" applyFill="1" applyBorder="1" applyAlignment="1"/>
    <xf numFmtId="0" fontId="21" fillId="0" borderId="7" xfId="0" applyFont="1" applyFill="1" applyBorder="1"/>
    <xf numFmtId="0" fontId="21" fillId="0" borderId="8" xfId="0" applyFont="1" applyFill="1" applyBorder="1" applyAlignment="1"/>
    <xf numFmtId="0" fontId="21" fillId="0" borderId="1" xfId="0" applyFont="1" applyFill="1" applyBorder="1"/>
    <xf numFmtId="0" fontId="53" fillId="0" borderId="0" xfId="0" applyFont="1" applyFill="1" applyAlignment="1"/>
    <xf numFmtId="0" fontId="7"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5" xfId="0" applyFont="1" applyFill="1" applyBorder="1" applyAlignment="1">
      <alignment horizontal="center" vertical="center"/>
    </xf>
    <xf numFmtId="0" fontId="22" fillId="5" borderId="0" xfId="0" applyFont="1" applyFill="1" applyBorder="1" applyAlignment="1" applyProtection="1">
      <alignment horizontal="right"/>
      <protection locked="0"/>
    </xf>
    <xf numFmtId="0" fontId="6" fillId="0" borderId="6" xfId="0" applyFont="1" applyBorder="1" applyAlignment="1" applyProtection="1">
      <alignment horizontal="left" vertical="center"/>
      <protection locked="0"/>
    </xf>
    <xf numFmtId="4" fontId="6" fillId="0" borderId="28" xfId="0" applyNumberFormat="1" applyFont="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6" fillId="3" borderId="20"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4" fontId="6" fillId="0" borderId="28" xfId="0" applyNumberFormat="1" applyFont="1" applyBorder="1" applyAlignment="1" applyProtection="1">
      <alignment horizontal="right" vertical="center"/>
    </xf>
    <xf numFmtId="0" fontId="54" fillId="0" borderId="0" xfId="0" applyFont="1"/>
    <xf numFmtId="0" fontId="23" fillId="0" borderId="0" xfId="0" applyFont="1" applyFill="1" applyBorder="1" applyAlignment="1" applyProtection="1">
      <alignment vertical="center"/>
      <protection locked="0"/>
    </xf>
    <xf numFmtId="4" fontId="22" fillId="0" borderId="1" xfId="0" applyNumberFormat="1" applyFont="1" applyFill="1" applyBorder="1" applyAlignment="1" applyProtection="1">
      <alignment horizontal="left" vertical="top"/>
      <protection locked="0"/>
    </xf>
    <xf numFmtId="0" fontId="22" fillId="0" borderId="24" xfId="0" applyFont="1" applyFill="1" applyBorder="1" applyAlignment="1" applyProtection="1">
      <alignment vertical="center"/>
      <protection locked="0"/>
    </xf>
    <xf numFmtId="0" fontId="21" fillId="0" borderId="0" xfId="0" applyFont="1" applyFill="1" applyAlignment="1" applyProtection="1">
      <alignment vertical="center" wrapText="1"/>
      <protection locked="0"/>
    </xf>
    <xf numFmtId="0" fontId="22" fillId="0" borderId="4"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34" fillId="0" borderId="34" xfId="0" applyFont="1" applyFill="1" applyBorder="1" applyAlignment="1" applyProtection="1">
      <alignment vertical="center"/>
      <protection locked="0"/>
    </xf>
    <xf numFmtId="0" fontId="29" fillId="0" borderId="27" xfId="0" applyFont="1" applyFill="1" applyBorder="1" applyAlignment="1" applyProtection="1">
      <alignment horizontal="left" vertical="center" indent="3"/>
      <protection locked="0"/>
    </xf>
    <xf numFmtId="0" fontId="34" fillId="0" borderId="22" xfId="0" applyFont="1" applyFill="1" applyBorder="1" applyAlignment="1" applyProtection="1">
      <alignment vertical="center"/>
      <protection locked="0"/>
    </xf>
    <xf numFmtId="0" fontId="29" fillId="0" borderId="4" xfId="0" applyFont="1" applyFill="1" applyBorder="1" applyAlignment="1" applyProtection="1">
      <alignment horizontal="justify" vertical="center"/>
      <protection locked="0"/>
    </xf>
    <xf numFmtId="0" fontId="34" fillId="0" borderId="1" xfId="0" applyFont="1" applyFill="1" applyBorder="1" applyAlignment="1" applyProtection="1">
      <alignment horizontal="left" vertical="center"/>
      <protection locked="0"/>
    </xf>
    <xf numFmtId="0" fontId="34" fillId="0" borderId="27" xfId="0" applyFont="1" applyFill="1" applyBorder="1" applyAlignment="1" applyProtection="1">
      <alignment vertical="center"/>
      <protection locked="0"/>
    </xf>
    <xf numFmtId="0" fontId="29" fillId="0" borderId="22" xfId="0" applyFont="1" applyFill="1" applyBorder="1" applyAlignment="1" applyProtection="1">
      <alignment horizontal="justify" vertical="center"/>
      <protection locked="0"/>
    </xf>
    <xf numFmtId="4" fontId="21" fillId="0" borderId="0" xfId="0" applyNumberFormat="1" applyFont="1" applyFill="1" applyAlignment="1" applyProtection="1">
      <alignment horizontal="right" vertical="center"/>
      <protection locked="0"/>
    </xf>
    <xf numFmtId="0" fontId="21" fillId="0" borderId="0" xfId="0" applyFont="1" applyFill="1" applyAlignment="1" applyProtection="1">
      <alignment vertical="center" wrapText="1"/>
    </xf>
    <xf numFmtId="4" fontId="22" fillId="0" borderId="4" xfId="0" applyNumberFormat="1" applyFont="1" applyFill="1" applyBorder="1" applyAlignment="1" applyProtection="1">
      <alignment horizontal="right" vertical="center" wrapText="1"/>
    </xf>
    <xf numFmtId="4" fontId="22" fillId="0" borderId="1" xfId="0" applyNumberFormat="1" applyFont="1" applyFill="1" applyBorder="1" applyAlignment="1" applyProtection="1">
      <alignment horizontal="right" vertical="center" wrapText="1"/>
    </xf>
    <xf numFmtId="4" fontId="22" fillId="3" borderId="21" xfId="0" applyNumberFormat="1" applyFont="1" applyFill="1" applyBorder="1" applyAlignment="1" applyProtection="1">
      <alignment horizontal="right" vertical="center" wrapText="1"/>
    </xf>
    <xf numFmtId="0" fontId="21" fillId="0" borderId="0" xfId="0" applyFont="1" applyFill="1" applyAlignment="1" applyProtection="1">
      <alignment vertical="center"/>
    </xf>
    <xf numFmtId="4" fontId="31" fillId="0" borderId="28" xfId="0" applyNumberFormat="1" applyFont="1" applyFill="1" applyBorder="1" applyAlignment="1" applyProtection="1">
      <alignment horizontal="right" vertical="center"/>
    </xf>
    <xf numFmtId="4" fontId="31" fillId="0" borderId="11" xfId="0" applyNumberFormat="1" applyFont="1" applyFill="1" applyBorder="1" applyAlignment="1" applyProtection="1">
      <alignment horizontal="right" vertical="center"/>
    </xf>
    <xf numFmtId="4" fontId="31" fillId="0" borderId="4" xfId="0" applyNumberFormat="1" applyFont="1" applyFill="1" applyBorder="1" applyAlignment="1" applyProtection="1">
      <alignment horizontal="right" vertical="center"/>
    </xf>
    <xf numFmtId="4" fontId="31" fillId="0" borderId="1" xfId="0" applyNumberFormat="1" applyFont="1" applyFill="1" applyBorder="1" applyAlignment="1" applyProtection="1">
      <alignment horizontal="right" vertical="center"/>
    </xf>
    <xf numFmtId="0" fontId="25" fillId="0" borderId="0" xfId="0" applyFont="1" applyBorder="1" applyAlignment="1" applyProtection="1">
      <alignment horizontal="left" vertical="center"/>
    </xf>
    <xf numFmtId="0" fontId="55" fillId="0" borderId="0" xfId="0" applyFont="1" applyBorder="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Alignment="1" applyProtection="1">
      <alignment vertical="center"/>
    </xf>
    <xf numFmtId="0" fontId="22" fillId="0" borderId="0" xfId="0" applyFont="1" applyFill="1" applyAlignment="1" applyProtection="1">
      <alignment vertical="center" wrapText="1"/>
    </xf>
    <xf numFmtId="4" fontId="31" fillId="4" borderId="28" xfId="0" applyNumberFormat="1" applyFont="1" applyFill="1" applyBorder="1" applyAlignment="1" applyProtection="1">
      <alignment horizontal="right" vertical="center"/>
    </xf>
    <xf numFmtId="4" fontId="31" fillId="4" borderId="11" xfId="0" applyNumberFormat="1" applyFont="1" applyFill="1" applyBorder="1" applyAlignment="1" applyProtection="1">
      <alignment horizontal="right" vertical="center"/>
    </xf>
    <xf numFmtId="0" fontId="56" fillId="0" borderId="0" xfId="0" applyFont="1" applyFill="1" applyBorder="1" applyAlignment="1" applyProtection="1">
      <alignment horizontal="center"/>
      <protection locked="0"/>
    </xf>
    <xf numFmtId="0" fontId="57" fillId="0" borderId="0" xfId="0" applyFont="1" applyBorder="1" applyAlignment="1" applyProtection="1">
      <alignment horizontal="left"/>
      <protection locked="0"/>
    </xf>
    <xf numFmtId="0" fontId="55" fillId="0" borderId="0" xfId="0" applyFont="1" applyBorder="1" applyAlignment="1" applyProtection="1">
      <alignment horizontal="left"/>
      <protection locked="0"/>
    </xf>
    <xf numFmtId="0" fontId="57" fillId="0" borderId="0" xfId="0" applyFont="1" applyFill="1" applyAlignment="1" applyProtection="1">
      <alignment horizontal="center" vertical="center"/>
      <protection locked="0"/>
    </xf>
    <xf numFmtId="0" fontId="58" fillId="0" borderId="0" xfId="0" applyFont="1" applyFill="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4" fontId="0" fillId="0" borderId="1" xfId="0" applyNumberFormat="1" applyFill="1" applyBorder="1" applyAlignment="1" applyProtection="1">
      <alignment horizontal="center"/>
      <protection locked="0"/>
    </xf>
    <xf numFmtId="4" fontId="23" fillId="0" borderId="1" xfId="0" applyNumberFormat="1" applyFont="1" applyFill="1" applyBorder="1" applyAlignment="1" applyProtection="1">
      <alignment vertical="top"/>
      <protection locked="0"/>
    </xf>
    <xf numFmtId="4" fontId="31" fillId="0" borderId="2" xfId="0" applyNumberFormat="1" applyFont="1" applyBorder="1" applyAlignment="1" applyProtection="1">
      <alignment horizontal="left" vertical="top"/>
      <protection locked="0"/>
    </xf>
    <xf numFmtId="4" fontId="57" fillId="0" borderId="0" xfId="0" applyNumberFormat="1" applyFont="1" applyBorder="1" applyAlignment="1" applyProtection="1">
      <alignment horizontal="left"/>
      <protection locked="0"/>
    </xf>
    <xf numFmtId="4" fontId="22" fillId="0" borderId="0" xfId="0" applyNumberFormat="1" applyFont="1" applyFill="1" applyProtection="1">
      <protection locked="0"/>
    </xf>
    <xf numFmtId="4" fontId="21" fillId="0" borderId="0" xfId="0" applyNumberFormat="1" applyFont="1" applyBorder="1" applyAlignment="1" applyProtection="1">
      <alignment horizontal="left"/>
      <protection locked="0"/>
    </xf>
    <xf numFmtId="0" fontId="56" fillId="0" borderId="0" xfId="0" applyFont="1" applyFill="1" applyBorder="1" applyAlignment="1" applyProtection="1">
      <alignment horizontal="left"/>
    </xf>
    <xf numFmtId="0" fontId="43" fillId="0" borderId="0" xfId="0" applyFont="1" applyBorder="1" applyAlignment="1" applyProtection="1">
      <alignment horizontal="center" vertical="center" wrapText="1"/>
      <protection locked="0"/>
    </xf>
    <xf numFmtId="0" fontId="45" fillId="0" borderId="0" xfId="0" applyFont="1" applyFill="1" applyBorder="1" applyAlignment="1" applyProtection="1">
      <alignment horizontal="left"/>
    </xf>
    <xf numFmtId="0" fontId="35" fillId="0" borderId="0" xfId="0" applyFont="1" applyFill="1" applyProtection="1">
      <protection locked="0"/>
    </xf>
    <xf numFmtId="0" fontId="45" fillId="0" borderId="0" xfId="0" applyFont="1" applyFill="1" applyBorder="1" applyAlignment="1" applyProtection="1">
      <alignment horizontal="left"/>
      <protection locked="0"/>
    </xf>
    <xf numFmtId="0" fontId="20" fillId="0" borderId="0" xfId="0" applyFont="1" applyFill="1" applyProtection="1">
      <protection locked="0"/>
    </xf>
    <xf numFmtId="3" fontId="23" fillId="0" borderId="9" xfId="0" applyNumberFormat="1" applyFont="1" applyBorder="1" applyAlignment="1" applyProtection="1">
      <alignment horizontal="right" vertical="center" wrapText="1"/>
    </xf>
    <xf numFmtId="3" fontId="35" fillId="0" borderId="9" xfId="0" applyNumberFormat="1" applyFont="1" applyBorder="1" applyAlignment="1" applyProtection="1">
      <alignment horizontal="right" vertical="center" wrapText="1"/>
      <protection locked="0"/>
    </xf>
    <xf numFmtId="3" fontId="35" fillId="0" borderId="9" xfId="0" applyNumberFormat="1" applyFont="1" applyBorder="1" applyAlignment="1" applyProtection="1">
      <alignment horizontal="right" vertical="center" wrapText="1"/>
    </xf>
    <xf numFmtId="3" fontId="23" fillId="0" borderId="9"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0" fontId="24" fillId="0" borderId="27" xfId="0" applyFont="1" applyFill="1" applyBorder="1" applyAlignment="1" applyProtection="1">
      <alignment vertical="center" wrapText="1"/>
      <protection locked="0"/>
    </xf>
    <xf numFmtId="3" fontId="24" fillId="0" borderId="9" xfId="0" applyNumberFormat="1" applyFont="1" applyFill="1" applyBorder="1" applyAlignment="1" applyProtection="1">
      <alignment horizontal="right" vertical="center" wrapText="1"/>
    </xf>
    <xf numFmtId="3" fontId="24" fillId="0" borderId="28" xfId="0" applyNumberFormat="1" applyFont="1" applyFill="1" applyBorder="1" applyAlignment="1" applyProtection="1">
      <alignment horizontal="right" vertical="center" wrapText="1"/>
    </xf>
    <xf numFmtId="3" fontId="20" fillId="0" borderId="9" xfId="0" applyNumberFormat="1" applyFont="1" applyFill="1" applyBorder="1" applyAlignment="1" applyProtection="1">
      <alignment horizontal="right" vertical="center" wrapText="1"/>
      <protection locked="0"/>
    </xf>
    <xf numFmtId="3" fontId="20" fillId="0" borderId="9" xfId="0" applyNumberFormat="1" applyFont="1" applyFill="1" applyBorder="1" applyAlignment="1" applyProtection="1">
      <alignment horizontal="right" vertical="center" wrapText="1"/>
    </xf>
    <xf numFmtId="3" fontId="20" fillId="0" borderId="28" xfId="0" applyNumberFormat="1" applyFont="1" applyFill="1" applyBorder="1" applyAlignment="1" applyProtection="1">
      <alignment horizontal="right" vertical="center" wrapText="1"/>
    </xf>
    <xf numFmtId="0" fontId="20" fillId="0" borderId="27" xfId="0" applyFont="1" applyFill="1" applyBorder="1" applyAlignment="1" applyProtection="1">
      <alignment horizontal="left" vertical="top" wrapText="1" indent="2"/>
      <protection locked="0"/>
    </xf>
    <xf numFmtId="3" fontId="20" fillId="0" borderId="17" xfId="0" applyNumberFormat="1" applyFont="1" applyFill="1" applyBorder="1" applyAlignment="1" applyProtection="1">
      <alignment horizontal="right" vertical="center" wrapText="1"/>
    </xf>
    <xf numFmtId="3" fontId="20"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20" fillId="0" borderId="10" xfId="0" applyNumberFormat="1" applyFont="1" applyFill="1" applyBorder="1" applyAlignment="1" applyProtection="1">
      <alignment horizontal="right" vertical="center" wrapText="1"/>
    </xf>
    <xf numFmtId="3" fontId="20" fillId="0" borderId="11" xfId="0" applyNumberFormat="1" applyFont="1" applyFill="1" applyBorder="1" applyAlignment="1" applyProtection="1">
      <alignment horizontal="right" vertical="center" wrapText="1"/>
    </xf>
    <xf numFmtId="3" fontId="24" fillId="0" borderId="10" xfId="0" applyNumberFormat="1" applyFont="1" applyFill="1" applyBorder="1" applyAlignment="1" applyProtection="1">
      <alignment horizontal="right" vertical="center" wrapText="1"/>
    </xf>
    <xf numFmtId="3" fontId="24" fillId="0" borderId="11" xfId="0" applyNumberFormat="1" applyFont="1" applyFill="1" applyBorder="1" applyAlignment="1" applyProtection="1">
      <alignment horizontal="right" vertical="center" wrapText="1"/>
    </xf>
    <xf numFmtId="3" fontId="35" fillId="0" borderId="9" xfId="0" applyNumberFormat="1" applyFont="1" applyFill="1" applyBorder="1" applyAlignment="1" applyProtection="1">
      <alignment horizontal="right" vertical="center" wrapText="1"/>
      <protection locked="0"/>
    </xf>
    <xf numFmtId="3" fontId="35" fillId="0" borderId="9" xfId="0" applyNumberFormat="1" applyFont="1" applyFill="1" applyBorder="1" applyAlignment="1" applyProtection="1">
      <alignment horizontal="right" vertical="center" wrapText="1"/>
    </xf>
    <xf numFmtId="3" fontId="35" fillId="0" borderId="28" xfId="0" applyNumberFormat="1" applyFont="1" applyFill="1" applyBorder="1" applyAlignment="1" applyProtection="1">
      <alignment horizontal="right" vertical="center" wrapText="1"/>
    </xf>
    <xf numFmtId="0" fontId="24" fillId="0" borderId="2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49" fontId="24" fillId="0" borderId="10" xfId="0" applyNumberFormat="1"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wrapText="1"/>
    </xf>
    <xf numFmtId="0" fontId="20" fillId="0" borderId="27" xfId="0" applyFont="1" applyBorder="1" applyAlignment="1" applyProtection="1">
      <alignment horizontal="left" vertical="center" wrapText="1" indent="3"/>
    </xf>
    <xf numFmtId="0" fontId="20" fillId="0" borderId="27" xfId="0" applyFont="1" applyBorder="1" applyAlignment="1" applyProtection="1">
      <alignment vertical="center" wrapText="1"/>
    </xf>
    <xf numFmtId="0" fontId="20" fillId="0" borderId="22" xfId="0" applyFont="1" applyBorder="1" applyAlignment="1" applyProtection="1">
      <alignment horizontal="left" vertical="center" wrapText="1" indent="3"/>
    </xf>
    <xf numFmtId="0" fontId="24" fillId="0" borderId="24" xfId="0" applyFont="1" applyBorder="1" applyAlignment="1" applyProtection="1">
      <alignment vertical="center" wrapText="1"/>
    </xf>
    <xf numFmtId="3" fontId="20" fillId="0" borderId="9" xfId="0" applyNumberFormat="1" applyFont="1" applyBorder="1" applyAlignment="1" applyProtection="1">
      <alignment horizontal="right" vertical="center" wrapText="1"/>
    </xf>
    <xf numFmtId="3" fontId="20" fillId="0" borderId="28" xfId="0" applyNumberFormat="1" applyFont="1" applyBorder="1" applyAlignment="1" applyProtection="1">
      <alignment horizontal="right" vertical="center" wrapText="1"/>
    </xf>
    <xf numFmtId="3" fontId="20" fillId="0" borderId="9" xfId="0" applyNumberFormat="1" applyFont="1" applyBorder="1" applyAlignment="1" applyProtection="1">
      <alignment horizontal="right" vertical="center" wrapText="1"/>
      <protection locked="0"/>
    </xf>
    <xf numFmtId="3" fontId="20" fillId="0" borderId="10" xfId="0" applyNumberFormat="1" applyFont="1" applyBorder="1" applyAlignment="1" applyProtection="1">
      <alignment horizontal="right" vertical="center" wrapText="1"/>
      <protection locked="0"/>
    </xf>
    <xf numFmtId="3" fontId="20" fillId="0" borderId="10" xfId="0" applyNumberFormat="1" applyFont="1" applyBorder="1" applyAlignment="1" applyProtection="1">
      <alignment horizontal="right" vertical="center" wrapText="1"/>
    </xf>
    <xf numFmtId="3" fontId="20" fillId="0" borderId="11" xfId="0" applyNumberFormat="1" applyFont="1" applyBorder="1" applyAlignment="1" applyProtection="1">
      <alignment horizontal="right" vertical="center" wrapText="1"/>
    </xf>
    <xf numFmtId="3" fontId="24" fillId="0" borderId="18" xfId="0" applyNumberFormat="1" applyFont="1" applyBorder="1" applyAlignment="1" applyProtection="1">
      <alignment horizontal="right" vertical="center" wrapText="1"/>
    </xf>
    <xf numFmtId="3" fontId="28" fillId="0" borderId="7" xfId="0" applyNumberFormat="1" applyFont="1" applyBorder="1" applyAlignment="1" applyProtection="1">
      <alignment horizontal="right" vertical="center"/>
    </xf>
    <xf numFmtId="3" fontId="20" fillId="0" borderId="7" xfId="0" applyNumberFormat="1" applyFont="1" applyBorder="1" applyAlignment="1" applyProtection="1">
      <alignment horizontal="right" vertical="center"/>
      <protection locked="0"/>
    </xf>
    <xf numFmtId="3" fontId="20" fillId="0" borderId="7" xfId="0" applyNumberFormat="1" applyFont="1" applyBorder="1" applyAlignment="1" applyProtection="1">
      <alignment horizontal="right" vertical="center"/>
    </xf>
    <xf numFmtId="3" fontId="20" fillId="0" borderId="35" xfId="0" applyNumberFormat="1" applyFont="1" applyBorder="1" applyAlignment="1" applyProtection="1">
      <alignment horizontal="right" vertical="center"/>
    </xf>
    <xf numFmtId="3" fontId="32" fillId="0" borderId="7" xfId="0" applyNumberFormat="1" applyFont="1" applyBorder="1" applyAlignment="1" applyProtection="1">
      <alignment horizontal="right" vertical="center"/>
    </xf>
    <xf numFmtId="3" fontId="32" fillId="0" borderId="35" xfId="0" applyNumberFormat="1" applyFont="1" applyBorder="1" applyAlignment="1" applyProtection="1">
      <alignment horizontal="right" vertical="center"/>
    </xf>
    <xf numFmtId="3" fontId="32" fillId="0" borderId="7" xfId="0" applyNumberFormat="1" applyFont="1" applyBorder="1" applyAlignment="1" applyProtection="1">
      <alignment horizontal="right" vertical="center" wrapText="1"/>
    </xf>
    <xf numFmtId="3" fontId="20" fillId="0" borderId="7" xfId="0" applyNumberFormat="1" applyFont="1" applyBorder="1" applyAlignment="1" applyProtection="1">
      <alignment horizontal="right" vertical="center" wrapText="1"/>
      <protection locked="0"/>
    </xf>
    <xf numFmtId="3" fontId="20" fillId="0" borderId="2" xfId="0" applyNumberFormat="1" applyFont="1" applyBorder="1" applyAlignment="1" applyProtection="1">
      <alignment horizontal="right" vertical="center"/>
      <protection locked="0"/>
    </xf>
    <xf numFmtId="3" fontId="20" fillId="0" borderId="2" xfId="0" applyNumberFormat="1" applyFont="1" applyBorder="1" applyAlignment="1" applyProtection="1">
      <alignment horizontal="right" vertical="center"/>
    </xf>
    <xf numFmtId="3" fontId="20" fillId="0" borderId="23" xfId="0" applyNumberFormat="1" applyFont="1" applyBorder="1" applyAlignment="1" applyProtection="1">
      <alignment horizontal="right" vertical="center"/>
      <protection locked="0"/>
    </xf>
    <xf numFmtId="43" fontId="20" fillId="0" borderId="0" xfId="0" applyNumberFormat="1" applyFont="1" applyFill="1" applyBorder="1" applyProtection="1">
      <protection locked="0"/>
    </xf>
    <xf numFmtId="0" fontId="20" fillId="0" borderId="0" xfId="0" applyFont="1" applyFill="1" applyBorder="1" applyProtection="1">
      <protection locked="0"/>
    </xf>
    <xf numFmtId="0" fontId="20" fillId="0" borderId="0" xfId="0" applyFont="1" applyProtection="1">
      <protection locked="0"/>
    </xf>
    <xf numFmtId="4" fontId="31" fillId="0" borderId="0" xfId="0" applyNumberFormat="1" applyFont="1" applyBorder="1" applyAlignment="1" applyProtection="1">
      <alignment horizontal="left" vertical="top"/>
      <protection locked="0"/>
    </xf>
    <xf numFmtId="0" fontId="28" fillId="0" borderId="0" xfId="0" applyFont="1" applyBorder="1" applyAlignment="1" applyProtection="1">
      <alignment horizontal="justify" vertical="top" wrapText="1"/>
      <protection locked="0"/>
    </xf>
    <xf numFmtId="0" fontId="24" fillId="0" borderId="0" xfId="0"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right" vertical="center" wrapText="1"/>
    </xf>
    <xf numFmtId="0" fontId="24" fillId="0" borderId="0" xfId="0" applyFont="1" applyFill="1" applyBorder="1" applyAlignment="1" applyProtection="1">
      <alignment horizontal="justify" vertical="center" wrapText="1"/>
      <protection locked="0"/>
    </xf>
    <xf numFmtId="0" fontId="20" fillId="0" borderId="0" xfId="0" applyFont="1" applyFill="1" applyBorder="1" applyAlignment="1" applyProtection="1">
      <alignment horizontal="left" vertical="center" wrapText="1" indent="2"/>
      <protection locked="0"/>
    </xf>
    <xf numFmtId="3" fontId="20" fillId="0" borderId="0" xfId="0" applyNumberFormat="1" applyFont="1" applyFill="1" applyBorder="1" applyAlignment="1" applyProtection="1">
      <alignment horizontal="right" vertical="center" wrapText="1"/>
      <protection locked="0"/>
    </xf>
    <xf numFmtId="3" fontId="20"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horizontal="justify" vertical="center"/>
      <protection locked="0"/>
    </xf>
    <xf numFmtId="0" fontId="31" fillId="0" borderId="0" xfId="0" applyFont="1" applyFill="1" applyBorder="1" applyAlignment="1" applyProtection="1">
      <alignment horizontal="justify" vertical="center"/>
      <protection locked="0"/>
    </xf>
    <xf numFmtId="4" fontId="31" fillId="0" borderId="0" xfId="0" applyNumberFormat="1" applyFont="1" applyFill="1" applyBorder="1" applyAlignment="1" applyProtection="1">
      <alignment horizontal="right" vertical="center"/>
    </xf>
    <xf numFmtId="0" fontId="34" fillId="0" borderId="0" xfId="0" applyFont="1" applyFill="1" applyBorder="1" applyAlignment="1" applyProtection="1">
      <alignment vertical="center"/>
      <protection locked="0"/>
    </xf>
    <xf numFmtId="0" fontId="34" fillId="0" borderId="24" xfId="0"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4" fontId="6" fillId="0" borderId="0" xfId="0" applyNumberFormat="1" applyFont="1" applyBorder="1" applyAlignment="1" applyProtection="1">
      <alignment horizontal="right" vertical="center"/>
    </xf>
    <xf numFmtId="0" fontId="21" fillId="0" borderId="0" xfId="0" applyFont="1" applyBorder="1" applyAlignment="1" applyProtection="1">
      <alignment wrapText="1"/>
      <protection locked="0"/>
    </xf>
    <xf numFmtId="0" fontId="21" fillId="0" borderId="0" xfId="0" applyFont="1" applyBorder="1" applyProtection="1">
      <protection locked="0"/>
    </xf>
    <xf numFmtId="0" fontId="24" fillId="0" borderId="0" xfId="0" applyFont="1" applyBorder="1" applyAlignment="1" applyProtection="1">
      <alignment horizontal="justify" vertical="center" wrapText="1"/>
      <protection locked="0"/>
    </xf>
    <xf numFmtId="4" fontId="29" fillId="0" borderId="0" xfId="0" applyNumberFormat="1" applyFont="1" applyFill="1" applyBorder="1" applyAlignment="1" applyProtection="1">
      <alignment horizontal="right" vertical="center"/>
      <protection locked="0"/>
    </xf>
    <xf numFmtId="0" fontId="24" fillId="0" borderId="0" xfId="0" applyFont="1" applyFill="1" applyAlignment="1" applyProtection="1">
      <alignment vertical="center"/>
    </xf>
    <xf numFmtId="3" fontId="24" fillId="0" borderId="0" xfId="0" applyNumberFormat="1" applyFont="1" applyBorder="1" applyAlignment="1" applyProtection="1">
      <alignment horizontal="right" vertical="center" wrapText="1"/>
      <protection locked="0"/>
    </xf>
    <xf numFmtId="0" fontId="0" fillId="0" borderId="1" xfId="0" applyBorder="1" applyAlignment="1" applyProtection="1">
      <alignment horizontal="center"/>
      <protection locked="0"/>
    </xf>
    <xf numFmtId="3" fontId="35" fillId="0" borderId="28" xfId="0" applyNumberFormat="1" applyFont="1" applyFill="1" applyBorder="1" applyAlignment="1" applyProtection="1">
      <alignment horizontal="right" vertical="center" wrapText="1"/>
      <protection locked="0"/>
    </xf>
    <xf numFmtId="0" fontId="20" fillId="0" borderId="22" xfId="0" applyFont="1" applyFill="1" applyBorder="1" applyAlignment="1" applyProtection="1">
      <alignment horizontal="justify" vertical="center" wrapText="1"/>
    </xf>
    <xf numFmtId="0" fontId="20" fillId="0" borderId="27" xfId="0" applyFont="1" applyFill="1" applyBorder="1" applyAlignment="1" applyProtection="1">
      <alignment horizontal="justify" vertical="center" wrapText="1"/>
    </xf>
    <xf numFmtId="0" fontId="59" fillId="0" borderId="0" xfId="0" applyFont="1"/>
    <xf numFmtId="3" fontId="35" fillId="0" borderId="10" xfId="0" applyNumberFormat="1" applyFont="1" applyFill="1" applyBorder="1" applyAlignment="1" applyProtection="1">
      <alignment horizontal="right" vertical="center" wrapText="1"/>
      <protection locked="0"/>
    </xf>
    <xf numFmtId="3" fontId="35" fillId="0" borderId="10" xfId="0" applyNumberFormat="1" applyFont="1" applyFill="1" applyBorder="1" applyAlignment="1" applyProtection="1">
      <alignment horizontal="right" vertical="center" wrapText="1"/>
    </xf>
    <xf numFmtId="3" fontId="35" fillId="0" borderId="11" xfId="0" applyNumberFormat="1" applyFont="1" applyFill="1" applyBorder="1" applyAlignment="1" applyProtection="1">
      <alignment horizontal="right" vertical="center" wrapText="1"/>
    </xf>
    <xf numFmtId="3" fontId="23" fillId="0" borderId="10" xfId="0" applyNumberFormat="1" applyFont="1" applyFill="1" applyBorder="1" applyAlignment="1" applyProtection="1">
      <alignment horizontal="right" vertical="center" wrapText="1"/>
    </xf>
    <xf numFmtId="3" fontId="51" fillId="0" borderId="10"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xf>
    <xf numFmtId="0" fontId="21" fillId="0" borderId="6" xfId="0" applyFont="1" applyFill="1" applyBorder="1" applyAlignment="1" applyProtection="1">
      <alignment horizontal="center" wrapText="1"/>
      <protection locked="0"/>
    </xf>
    <xf numFmtId="0" fontId="21" fillId="0" borderId="6" xfId="0" applyFont="1" applyFill="1" applyBorder="1" applyAlignment="1" applyProtection="1">
      <alignment horizontal="left" vertical="top" wrapText="1"/>
      <protection locked="0"/>
    </xf>
    <xf numFmtId="0" fontId="21" fillId="0" borderId="6" xfId="0" applyFont="1" applyFill="1" applyBorder="1" applyAlignment="1" applyProtection="1">
      <alignment vertical="top" wrapText="1"/>
      <protection locked="0"/>
    </xf>
    <xf numFmtId="4" fontId="22" fillId="0" borderId="1" xfId="0" applyNumberFormat="1" applyFont="1" applyFill="1" applyBorder="1" applyAlignment="1" applyProtection="1">
      <alignment horizontal="right" vertical="top"/>
      <protection locked="0"/>
    </xf>
    <xf numFmtId="0" fontId="24" fillId="0" borderId="4" xfId="0" applyFont="1" applyFill="1" applyBorder="1" applyAlignment="1" applyProtection="1">
      <alignment horizontal="justify" vertical="center" wrapText="1"/>
      <protection locked="0"/>
    </xf>
    <xf numFmtId="3" fontId="24" fillId="0" borderId="4" xfId="0" applyNumberFormat="1" applyFont="1" applyFill="1" applyBorder="1" applyAlignment="1" applyProtection="1">
      <alignment horizontal="right" vertical="center" wrapText="1"/>
    </xf>
    <xf numFmtId="0" fontId="20" fillId="0" borderId="0" xfId="0" applyFont="1" applyFill="1" applyBorder="1" applyAlignment="1" applyProtection="1">
      <alignment horizontal="justify" vertical="center" wrapText="1"/>
      <protection locked="0"/>
    </xf>
    <xf numFmtId="0" fontId="22" fillId="0" borderId="1" xfId="0" applyFont="1" applyFill="1" applyBorder="1" applyAlignment="1" applyProtection="1">
      <alignment vertical="center" wrapText="1"/>
      <protection locked="0"/>
    </xf>
    <xf numFmtId="43" fontId="22" fillId="3" borderId="0" xfId="5" applyFont="1" applyFill="1" applyBorder="1" applyAlignment="1" applyProtection="1">
      <alignment horizontal="right" vertical="top"/>
    </xf>
    <xf numFmtId="43" fontId="22" fillId="3" borderId="7" xfId="5" applyFont="1" applyFill="1" applyBorder="1" applyAlignment="1" applyProtection="1">
      <alignment horizontal="right" vertical="top"/>
    </xf>
    <xf numFmtId="43" fontId="21" fillId="0" borderId="0" xfId="5" applyFont="1" applyBorder="1" applyAlignment="1" applyProtection="1">
      <alignment horizontal="right" vertical="top"/>
      <protection locked="0"/>
    </xf>
    <xf numFmtId="43" fontId="21" fillId="0" borderId="7" xfId="5" applyFont="1" applyBorder="1" applyAlignment="1" applyProtection="1">
      <alignment horizontal="right" vertical="top"/>
      <protection locked="0"/>
    </xf>
    <xf numFmtId="43" fontId="30" fillId="3" borderId="0" xfId="5" applyFont="1" applyFill="1" applyBorder="1" applyAlignment="1" applyProtection="1">
      <alignment horizontal="right" vertical="top"/>
    </xf>
    <xf numFmtId="43" fontId="30" fillId="3" borderId="7" xfId="5" applyFont="1" applyFill="1" applyBorder="1" applyAlignment="1" applyProtection="1">
      <alignment horizontal="right" vertical="top"/>
    </xf>
    <xf numFmtId="0" fontId="22" fillId="0" borderId="6" xfId="0" applyFont="1" applyFill="1" applyBorder="1" applyAlignment="1" applyProtection="1">
      <alignment horizontal="justify" vertical="top"/>
      <protection locked="0"/>
    </xf>
    <xf numFmtId="4" fontId="28" fillId="0" borderId="0" xfId="0" applyNumberFormat="1" applyFont="1" applyFill="1" applyBorder="1" applyAlignment="1" applyProtection="1">
      <alignment horizontal="right" vertical="top"/>
    </xf>
    <xf numFmtId="4" fontId="28" fillId="0" borderId="7" xfId="0" applyNumberFormat="1" applyFont="1" applyFill="1" applyBorder="1" applyAlignment="1" applyProtection="1">
      <alignment horizontal="right" vertical="top"/>
    </xf>
    <xf numFmtId="0" fontId="30" fillId="0" borderId="6"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xf>
    <xf numFmtId="4" fontId="24" fillId="0" borderId="7" xfId="0" applyNumberFormat="1" applyFont="1" applyFill="1" applyBorder="1" applyAlignment="1" applyProtection="1">
      <alignment horizontal="right" vertical="top"/>
    </xf>
    <xf numFmtId="0" fontId="35" fillId="0" borderId="6" xfId="0" applyFont="1" applyFill="1" applyBorder="1" applyAlignment="1" applyProtection="1">
      <alignment horizontal="justify" vertical="top"/>
      <protection locked="0"/>
    </xf>
    <xf numFmtId="4" fontId="35" fillId="0" borderId="0" xfId="0" applyNumberFormat="1" applyFont="1" applyFill="1" applyBorder="1" applyAlignment="1" applyProtection="1">
      <alignment horizontal="right" vertical="top"/>
      <protection locked="0"/>
    </xf>
    <xf numFmtId="4" fontId="35" fillId="0" borderId="7" xfId="0" applyNumberFormat="1" applyFont="1" applyFill="1" applyBorder="1" applyAlignment="1" applyProtection="1">
      <alignment horizontal="right" vertical="top"/>
      <protection locked="0"/>
    </xf>
    <xf numFmtId="4" fontId="24" fillId="0" borderId="0" xfId="0" applyNumberFormat="1" applyFont="1" applyFill="1" applyBorder="1" applyAlignment="1" applyProtection="1">
      <alignment horizontal="right" vertical="top"/>
      <protection locked="0"/>
    </xf>
    <xf numFmtId="4" fontId="24" fillId="0" borderId="7" xfId="0" applyNumberFormat="1" applyFont="1" applyFill="1" applyBorder="1" applyAlignment="1" applyProtection="1">
      <alignment horizontal="right" vertical="top"/>
      <protection locked="0"/>
    </xf>
    <xf numFmtId="0" fontId="33" fillId="0" borderId="6" xfId="0" applyFont="1" applyFill="1" applyBorder="1" applyAlignment="1" applyProtection="1">
      <alignment horizontal="justify" vertical="top"/>
      <protection locked="0"/>
    </xf>
    <xf numFmtId="4" fontId="20" fillId="0" borderId="0" xfId="0" applyNumberFormat="1" applyFont="1" applyFill="1" applyAlignment="1" applyProtection="1">
      <alignment horizontal="right"/>
      <protection locked="0"/>
    </xf>
    <xf numFmtId="4" fontId="20" fillId="0" borderId="7" xfId="0" applyNumberFormat="1" applyFont="1" applyFill="1" applyBorder="1" applyAlignment="1" applyProtection="1">
      <alignment horizontal="right"/>
      <protection locked="0"/>
    </xf>
    <xf numFmtId="0" fontId="20" fillId="0" borderId="6" xfId="0" applyFont="1" applyFill="1" applyBorder="1" applyAlignment="1" applyProtection="1">
      <alignment horizontal="justify" vertical="top"/>
      <protection locked="0"/>
    </xf>
    <xf numFmtId="0" fontId="35" fillId="0" borderId="8" xfId="0" applyFont="1" applyFill="1" applyBorder="1" applyAlignment="1" applyProtection="1">
      <alignment horizontal="justify" vertical="top"/>
      <protection locked="0"/>
    </xf>
    <xf numFmtId="4" fontId="35" fillId="0" borderId="1" xfId="0" applyNumberFormat="1" applyFont="1" applyFill="1" applyBorder="1" applyAlignment="1" applyProtection="1">
      <alignment horizontal="right" vertical="top"/>
      <protection locked="0"/>
    </xf>
    <xf numFmtId="4" fontId="35" fillId="0" borderId="2" xfId="0" applyNumberFormat="1" applyFont="1" applyFill="1" applyBorder="1" applyAlignment="1" applyProtection="1">
      <alignment horizontal="right" vertical="top"/>
      <protection locked="0"/>
    </xf>
    <xf numFmtId="0" fontId="35" fillId="0" borderId="0" xfId="0" applyFont="1" applyFill="1" applyBorder="1" applyAlignment="1" applyProtection="1">
      <alignment horizontal="justify" vertical="top"/>
      <protection locked="0"/>
    </xf>
    <xf numFmtId="0" fontId="21" fillId="0" borderId="0" xfId="0" applyFont="1" applyFill="1" applyAlignment="1" applyProtection="1">
      <protection locked="0"/>
    </xf>
    <xf numFmtId="0" fontId="34" fillId="0" borderId="3" xfId="0" applyFont="1" applyFill="1" applyBorder="1" applyAlignment="1" applyProtection="1">
      <alignment vertical="center"/>
      <protection locked="0"/>
    </xf>
    <xf numFmtId="0" fontId="34" fillId="0" borderId="25" xfId="0" applyFont="1" applyFill="1" applyBorder="1" applyAlignment="1" applyProtection="1">
      <alignment vertical="center"/>
      <protection locked="0"/>
    </xf>
    <xf numFmtId="4" fontId="31" fillId="0" borderId="9" xfId="0" applyNumberFormat="1" applyFont="1" applyFill="1" applyBorder="1" applyAlignment="1" applyProtection="1">
      <alignment horizontal="justify" vertical="center"/>
      <protection locked="0"/>
    </xf>
    <xf numFmtId="4" fontId="31" fillId="0" borderId="28" xfId="0" applyNumberFormat="1" applyFont="1" applyFill="1" applyBorder="1" applyAlignment="1" applyProtection="1">
      <alignment horizontal="justify" vertical="center"/>
      <protection locked="0"/>
    </xf>
    <xf numFmtId="0" fontId="34" fillId="0" borderId="6" xfId="0" applyFont="1" applyFill="1" applyBorder="1" applyAlignment="1" applyProtection="1">
      <alignment vertical="center"/>
      <protection locked="0"/>
    </xf>
    <xf numFmtId="0" fontId="34" fillId="0" borderId="12" xfId="0" applyFont="1" applyFill="1" applyBorder="1" applyAlignment="1" applyProtection="1">
      <alignment vertical="center"/>
      <protection locked="0"/>
    </xf>
    <xf numFmtId="4" fontId="48" fillId="0" borderId="9" xfId="0" applyNumberFormat="1" applyFont="1" applyFill="1" applyBorder="1" applyAlignment="1" applyProtection="1">
      <alignment horizontal="right" vertical="center"/>
    </xf>
    <xf numFmtId="4" fontId="60" fillId="0" borderId="9" xfId="0" applyNumberFormat="1" applyFont="1" applyFill="1" applyBorder="1" applyAlignment="1" applyProtection="1">
      <alignment horizontal="right" vertical="center"/>
    </xf>
    <xf numFmtId="4" fontId="60" fillId="0" borderId="28" xfId="0" applyNumberFormat="1" applyFont="1" applyFill="1" applyBorder="1" applyAlignment="1" applyProtection="1">
      <alignment horizontal="right" vertical="center"/>
    </xf>
    <xf numFmtId="0" fontId="34" fillId="0" borderId="6" xfId="0" applyFont="1" applyFill="1" applyBorder="1" applyAlignment="1" applyProtection="1">
      <alignment horizontal="justify" vertical="center"/>
      <protection locked="0"/>
    </xf>
    <xf numFmtId="0" fontId="47" fillId="0" borderId="12" xfId="0" applyFont="1" applyFill="1" applyBorder="1" applyAlignment="1" applyProtection="1">
      <alignment horizontal="justify" vertical="center"/>
      <protection locked="0"/>
    </xf>
    <xf numFmtId="4" fontId="29" fillId="0" borderId="9" xfId="0" applyNumberFormat="1" applyFont="1" applyFill="1" applyBorder="1" applyAlignment="1" applyProtection="1">
      <alignment horizontal="right" vertical="center"/>
      <protection locked="0"/>
    </xf>
    <xf numFmtId="4" fontId="29" fillId="0" borderId="28" xfId="0" applyNumberFormat="1" applyFont="1" applyFill="1" applyBorder="1" applyAlignment="1" applyProtection="1">
      <alignment horizontal="right" vertical="center"/>
      <protection locked="0"/>
    </xf>
    <xf numFmtId="0" fontId="31" fillId="0" borderId="6" xfId="0" applyFont="1" applyFill="1" applyBorder="1" applyAlignment="1" applyProtection="1">
      <alignment horizontal="justify" vertical="center"/>
      <protection locked="0"/>
    </xf>
    <xf numFmtId="0" fontId="29" fillId="0" borderId="12" xfId="0" applyFont="1" applyFill="1" applyBorder="1" applyAlignment="1" applyProtection="1">
      <alignment horizontal="left" vertical="center" wrapText="1" indent="2"/>
      <protection locked="0"/>
    </xf>
    <xf numFmtId="4" fontId="29" fillId="0" borderId="9" xfId="0" applyNumberFormat="1" applyFont="1" applyFill="1" applyBorder="1" applyAlignment="1" applyProtection="1">
      <alignment horizontal="right" vertical="center"/>
    </xf>
    <xf numFmtId="4" fontId="29" fillId="0" borderId="28" xfId="0" applyNumberFormat="1" applyFont="1" applyFill="1" applyBorder="1" applyAlignment="1" applyProtection="1">
      <alignment horizontal="right" vertical="center"/>
    </xf>
    <xf numFmtId="0" fontId="31" fillId="0" borderId="8" xfId="0" applyFont="1" applyFill="1" applyBorder="1" applyAlignment="1" applyProtection="1">
      <alignment horizontal="justify" vertical="center"/>
      <protection locked="0"/>
    </xf>
    <xf numFmtId="0" fontId="31" fillId="0" borderId="26" xfId="0" applyFont="1" applyFill="1" applyBorder="1" applyAlignment="1" applyProtection="1">
      <alignment horizontal="justify" vertical="center"/>
      <protection locked="0"/>
    </xf>
    <xf numFmtId="4" fontId="29" fillId="0" borderId="10" xfId="0" applyNumberFormat="1" applyFont="1" applyFill="1" applyBorder="1" applyAlignment="1" applyProtection="1">
      <alignment horizontal="right" vertical="center"/>
      <protection locked="0"/>
    </xf>
    <xf numFmtId="4" fontId="29" fillId="0" borderId="11" xfId="0" applyNumberFormat="1" applyFont="1" applyFill="1" applyBorder="1" applyAlignment="1" applyProtection="1">
      <alignment horizontal="right" vertical="center"/>
      <protection locked="0"/>
    </xf>
    <xf numFmtId="4" fontId="41" fillId="0" borderId="0" xfId="0" applyNumberFormat="1" applyFont="1" applyBorder="1" applyAlignment="1" applyProtection="1">
      <alignment horizontal="right" vertical="center" wrapText="1"/>
      <protection locked="0"/>
    </xf>
    <xf numFmtId="4" fontId="43" fillId="0" borderId="0" xfId="0" applyNumberFormat="1" applyFont="1" applyBorder="1" applyAlignment="1" applyProtection="1">
      <alignment horizontal="right" vertical="center" wrapText="1"/>
      <protection locked="0"/>
    </xf>
    <xf numFmtId="4" fontId="23" fillId="0" borderId="0" xfId="0" applyNumberFormat="1" applyFont="1" applyBorder="1" applyAlignment="1" applyProtection="1">
      <alignment vertical="center"/>
      <protection locked="0"/>
    </xf>
    <xf numFmtId="3" fontId="23" fillId="0" borderId="0" xfId="0" applyNumberFormat="1" applyFont="1" applyFill="1" applyBorder="1" applyAlignment="1" applyProtection="1">
      <alignment horizontal="right" vertical="center" wrapText="1"/>
    </xf>
    <xf numFmtId="3" fontId="51" fillId="0" borderId="0" xfId="0" applyNumberFormat="1" applyFont="1" applyFill="1" applyBorder="1" applyAlignment="1" applyProtection="1">
      <alignment horizontal="right" vertical="center" wrapText="1"/>
    </xf>
    <xf numFmtId="0" fontId="24" fillId="0" borderId="0" xfId="0" applyFont="1" applyBorder="1" applyAlignment="1" applyProtection="1">
      <alignment vertical="center" wrapText="1"/>
    </xf>
    <xf numFmtId="3" fontId="24" fillId="0" borderId="0" xfId="0" applyNumberFormat="1" applyFont="1" applyBorder="1" applyAlignment="1" applyProtection="1">
      <alignment horizontal="right" vertical="center" wrapText="1"/>
    </xf>
    <xf numFmtId="4" fontId="21" fillId="0" borderId="36" xfId="0" applyNumberFormat="1" applyFont="1" applyBorder="1" applyAlignment="1" applyProtection="1">
      <alignment horizontal="left" vertical="top"/>
      <protection locked="0"/>
    </xf>
    <xf numFmtId="0" fontId="61" fillId="0" borderId="0" xfId="0" applyFont="1" applyFill="1" applyBorder="1" applyAlignment="1" applyProtection="1">
      <alignment horizontal="left"/>
    </xf>
    <xf numFmtId="0" fontId="37" fillId="0" borderId="0" xfId="0" applyFont="1" applyFill="1" applyAlignment="1" applyProtection="1">
      <alignment vertical="center"/>
      <protection locked="0"/>
    </xf>
    <xf numFmtId="4" fontId="6" fillId="0" borderId="21" xfId="0" applyNumberFormat="1" applyFont="1" applyBorder="1" applyAlignment="1" applyProtection="1">
      <alignment horizontal="righ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0" applyFont="1" applyFill="1" applyBorder="1"/>
    <xf numFmtId="0" fontId="6" fillId="0" borderId="4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Fill="1" applyBorder="1"/>
    <xf numFmtId="0" fontId="6" fillId="0" borderId="41" xfId="0" applyFont="1" applyFill="1" applyBorder="1" applyAlignment="1">
      <alignment horizontal="right" vertical="center"/>
    </xf>
    <xf numFmtId="0" fontId="21" fillId="0" borderId="4" xfId="0" applyFont="1" applyFill="1" applyBorder="1"/>
    <xf numFmtId="0" fontId="21" fillId="0" borderId="0" xfId="0" applyFont="1" applyFill="1" applyBorder="1" applyAlignment="1"/>
    <xf numFmtId="0" fontId="38" fillId="0" borderId="35" xfId="0" applyFont="1" applyBorder="1" applyAlignment="1">
      <alignment horizontal="justify" vertical="center" wrapText="1"/>
    </xf>
    <xf numFmtId="0" fontId="37" fillId="0" borderId="35" xfId="0" applyFont="1" applyBorder="1" applyAlignment="1">
      <alignment horizontal="left" vertical="center" wrapText="1"/>
    </xf>
    <xf numFmtId="0" fontId="40" fillId="0" borderId="7" xfId="0" applyFont="1" applyBorder="1" applyAlignment="1">
      <alignment horizontal="justify" vertical="center" wrapText="1"/>
    </xf>
    <xf numFmtId="0" fontId="62" fillId="6" borderId="7" xfId="0" applyFont="1" applyFill="1" applyBorder="1" applyAlignment="1">
      <alignment horizontal="center" vertical="center" wrapText="1"/>
    </xf>
    <xf numFmtId="0" fontId="62" fillId="6" borderId="2" xfId="0" applyFont="1" applyFill="1" applyBorder="1" applyAlignment="1">
      <alignment horizontal="center" vertical="center" wrapText="1"/>
    </xf>
    <xf numFmtId="0" fontId="63" fillId="0" borderId="7" xfId="0" applyFont="1" applyBorder="1" applyAlignment="1">
      <alignment horizontal="justify" vertical="center" wrapText="1"/>
    </xf>
    <xf numFmtId="0" fontId="64" fillId="5" borderId="7" xfId="0" applyFont="1" applyFill="1" applyBorder="1" applyAlignment="1">
      <alignment horizontal="center" vertical="center" wrapText="1"/>
    </xf>
    <xf numFmtId="0" fontId="38" fillId="5" borderId="2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8" fillId="0" borderId="35" xfId="0" applyFont="1" applyBorder="1" applyAlignment="1">
      <alignment horizontal="left" vertical="center" wrapText="1"/>
    </xf>
    <xf numFmtId="0" fontId="37" fillId="0" borderId="35" xfId="0" applyFont="1" applyBorder="1" applyAlignment="1">
      <alignment horizontal="left" vertical="center" wrapText="1" indent="1"/>
    </xf>
    <xf numFmtId="0" fontId="37" fillId="0" borderId="23" xfId="0" applyFont="1" applyBorder="1" applyAlignment="1">
      <alignment horizontal="justify" vertical="center" wrapText="1"/>
    </xf>
    <xf numFmtId="0" fontId="38" fillId="0" borderId="2" xfId="0" applyFont="1" applyBorder="1" applyAlignment="1">
      <alignment horizontal="justify" vertical="center" wrapText="1"/>
    </xf>
    <xf numFmtId="0" fontId="62" fillId="6" borderId="5" xfId="0" applyFont="1" applyFill="1" applyBorder="1" applyAlignment="1">
      <alignment horizontal="center" vertical="center" wrapText="1"/>
    </xf>
    <xf numFmtId="0" fontId="65" fillId="6" borderId="2" xfId="0" applyFont="1" applyFill="1" applyBorder="1" applyAlignment="1">
      <alignment vertical="center" wrapText="1"/>
    </xf>
    <xf numFmtId="0" fontId="62" fillId="0" borderId="35" xfId="0" applyFont="1" applyBorder="1" applyAlignment="1">
      <alignment horizontal="left" vertical="center" wrapText="1"/>
    </xf>
    <xf numFmtId="0" fontId="63" fillId="0" borderId="35" xfId="0" applyFont="1" applyBorder="1" applyAlignment="1">
      <alignment horizontal="justify" vertical="center" wrapText="1"/>
    </xf>
    <xf numFmtId="0" fontId="63" fillId="0" borderId="23" xfId="0" applyFont="1" applyBorder="1" applyAlignment="1">
      <alignment horizontal="justify" vertical="center" wrapText="1"/>
    </xf>
    <xf numFmtId="0" fontId="66" fillId="0" borderId="0" xfId="0" applyFont="1" applyAlignment="1">
      <alignment horizontal="center" vertical="center"/>
    </xf>
    <xf numFmtId="0" fontId="66" fillId="0" borderId="2" xfId="0" applyFont="1" applyBorder="1" applyAlignment="1">
      <alignment vertical="center" wrapText="1"/>
    </xf>
    <xf numFmtId="0" fontId="66" fillId="0" borderId="8" xfId="0" applyFont="1" applyBorder="1" applyAlignment="1">
      <alignment vertical="center" wrapText="1"/>
    </xf>
    <xf numFmtId="0" fontId="64" fillId="6" borderId="2" xfId="0" applyFont="1" applyFill="1" applyBorder="1" applyAlignment="1">
      <alignment horizontal="center" vertical="center" wrapText="1"/>
    </xf>
    <xf numFmtId="0" fontId="67" fillId="0" borderId="7" xfId="0" applyFont="1" applyBorder="1" applyAlignment="1">
      <alignment vertical="center" wrapText="1"/>
    </xf>
    <xf numFmtId="0" fontId="64" fillId="0" borderId="7" xfId="0" applyFont="1" applyBorder="1" applyAlignment="1">
      <alignment vertical="center" wrapText="1"/>
    </xf>
    <xf numFmtId="0" fontId="67" fillId="0" borderId="7" xfId="0" applyFont="1" applyBorder="1" applyAlignment="1">
      <alignment horizontal="left" vertical="center" wrapText="1" indent="5"/>
    </xf>
    <xf numFmtId="0" fontId="67" fillId="0" borderId="8" xfId="0" applyFont="1" applyBorder="1" applyAlignment="1">
      <alignment vertical="center" wrapText="1"/>
    </xf>
    <xf numFmtId="0" fontId="64" fillId="0" borderId="2" xfId="0" applyFont="1" applyBorder="1" applyAlignment="1">
      <alignment vertical="center" wrapText="1"/>
    </xf>
    <xf numFmtId="0" fontId="67" fillId="0" borderId="2" xfId="0" applyFont="1" applyBorder="1" applyAlignment="1">
      <alignment vertical="center" wrapText="1"/>
    </xf>
    <xf numFmtId="0" fontId="68" fillId="0" borderId="8" xfId="0" applyFont="1" applyBorder="1" applyAlignment="1">
      <alignment horizontal="left" vertical="center"/>
    </xf>
    <xf numFmtId="0" fontId="67" fillId="0" borderId="8" xfId="0" applyFont="1" applyBorder="1" applyAlignment="1">
      <alignment horizontal="left" vertical="center"/>
    </xf>
    <xf numFmtId="0" fontId="64" fillId="6" borderId="5" xfId="0" applyFont="1" applyFill="1" applyBorder="1" applyAlignment="1">
      <alignment horizontal="center" vertical="center"/>
    </xf>
    <xf numFmtId="0" fontId="64" fillId="6" borderId="2" xfId="0" applyFont="1" applyFill="1" applyBorder="1" applyAlignment="1">
      <alignment horizontal="center" vertical="center"/>
    </xf>
    <xf numFmtId="0" fontId="67" fillId="0" borderId="7" xfId="0" applyFont="1" applyBorder="1" applyAlignment="1">
      <alignment vertical="center"/>
    </xf>
    <xf numFmtId="0" fontId="67" fillId="0" borderId="7" xfId="0" applyFont="1" applyBorder="1" applyAlignment="1">
      <alignment horizontal="left" vertical="center" indent="5"/>
    </xf>
    <xf numFmtId="0" fontId="67" fillId="0" borderId="7" xfId="0" applyFont="1" applyBorder="1" applyAlignment="1">
      <alignment horizontal="justify" vertical="center"/>
    </xf>
    <xf numFmtId="0" fontId="64" fillId="0" borderId="7" xfId="0" applyFont="1" applyBorder="1" applyAlignment="1">
      <alignment horizontal="left" vertical="center" indent="1"/>
    </xf>
    <xf numFmtId="0" fontId="67" fillId="0" borderId="2" xfId="0" applyFont="1" applyBorder="1" applyAlignment="1">
      <alignment horizontal="left" vertical="center" indent="1"/>
    </xf>
    <xf numFmtId="0" fontId="64" fillId="0" borderId="0" xfId="0" applyFont="1" applyBorder="1" applyAlignment="1">
      <alignment vertical="center"/>
    </xf>
    <xf numFmtId="0" fontId="64" fillId="0" borderId="6" xfId="0" applyFont="1" applyBorder="1" applyAlignment="1">
      <alignment horizontal="left" vertical="center" wrapText="1"/>
    </xf>
    <xf numFmtId="0" fontId="67" fillId="0" borderId="6" xfId="0" applyFont="1" applyBorder="1" applyAlignment="1">
      <alignment horizontal="left" vertical="center" wrapText="1"/>
    </xf>
    <xf numFmtId="0" fontId="67" fillId="0" borderId="6" xfId="0" applyFont="1" applyBorder="1" applyAlignment="1">
      <alignment horizontal="left" vertical="center" wrapText="1" indent="1"/>
    </xf>
    <xf numFmtId="0" fontId="64" fillId="0" borderId="8" xfId="0" applyFont="1" applyBorder="1" applyAlignment="1">
      <alignment horizontal="left" vertical="center" wrapText="1"/>
    </xf>
    <xf numFmtId="0" fontId="64" fillId="0" borderId="23" xfId="0" applyFont="1" applyBorder="1" applyAlignment="1">
      <alignment horizontal="center" vertical="center" wrapText="1"/>
    </xf>
    <xf numFmtId="0" fontId="64" fillId="0" borderId="2" xfId="0" applyFont="1" applyBorder="1" applyAlignment="1">
      <alignment horizontal="center" vertical="center" wrapText="1"/>
    </xf>
    <xf numFmtId="0" fontId="43" fillId="0" borderId="0" xfId="0" applyFont="1" applyFill="1" applyBorder="1" applyAlignment="1" applyProtection="1">
      <protection locked="0"/>
    </xf>
    <xf numFmtId="0" fontId="43" fillId="0" borderId="0" xfId="0" applyFont="1" applyFill="1" applyBorder="1" applyAlignment="1" applyProtection="1">
      <alignment vertical="top"/>
      <protection locked="0"/>
    </xf>
    <xf numFmtId="0" fontId="69" fillId="5" borderId="0" xfId="0" applyFont="1" applyFill="1" applyBorder="1" applyAlignment="1">
      <alignment vertical="center" wrapText="1"/>
    </xf>
    <xf numFmtId="0" fontId="70" fillId="5" borderId="0" xfId="0" applyFont="1" applyFill="1" applyBorder="1" applyAlignment="1">
      <alignment vertical="center" wrapText="1"/>
    </xf>
    <xf numFmtId="0" fontId="19" fillId="0" borderId="0" xfId="0" applyFont="1"/>
    <xf numFmtId="0" fontId="67" fillId="0" borderId="7" xfId="0" applyFont="1" applyBorder="1" applyAlignment="1">
      <alignment horizontal="right" vertical="center"/>
    </xf>
    <xf numFmtId="0" fontId="67" fillId="0" borderId="23" xfId="0" applyFont="1" applyBorder="1" applyAlignment="1">
      <alignment horizontal="right" vertical="center"/>
    </xf>
    <xf numFmtId="0" fontId="67" fillId="0" borderId="2" xfId="0" applyFont="1" applyBorder="1" applyAlignment="1">
      <alignment horizontal="right" vertical="center"/>
    </xf>
    <xf numFmtId="43" fontId="64" fillId="0" borderId="7" xfId="0" applyNumberFormat="1" applyFont="1" applyBorder="1" applyAlignment="1">
      <alignment horizontal="right" vertical="center" wrapText="1"/>
    </xf>
    <xf numFmtId="43" fontId="67" fillId="0" borderId="7" xfId="0" applyNumberFormat="1" applyFont="1" applyBorder="1" applyAlignment="1">
      <alignment horizontal="right" vertical="center" wrapText="1"/>
    </xf>
    <xf numFmtId="43" fontId="67" fillId="0" borderId="2" xfId="0" applyNumberFormat="1" applyFont="1" applyBorder="1" applyAlignment="1">
      <alignment horizontal="right" vertical="center" wrapText="1"/>
    </xf>
    <xf numFmtId="0" fontId="71" fillId="0" borderId="2" xfId="0" applyFont="1" applyBorder="1" applyAlignment="1">
      <alignment horizontal="right" vertical="center" wrapText="1"/>
    </xf>
    <xf numFmtId="43" fontId="38" fillId="0" borderId="7" xfId="0" applyNumberFormat="1" applyFont="1" applyBorder="1" applyAlignment="1">
      <alignment horizontal="right" vertical="center" wrapText="1"/>
    </xf>
    <xf numFmtId="0" fontId="64" fillId="0" borderId="56" xfId="0" applyFont="1" applyBorder="1" applyAlignment="1">
      <alignment vertical="center"/>
    </xf>
    <xf numFmtId="43" fontId="67" fillId="0" borderId="7" xfId="0" applyNumberFormat="1" applyFont="1" applyBorder="1" applyAlignment="1">
      <alignment horizontal="right" vertical="center"/>
    </xf>
    <xf numFmtId="43" fontId="67" fillId="0" borderId="2" xfId="0" applyNumberFormat="1" applyFont="1" applyBorder="1" applyAlignment="1">
      <alignment horizontal="right" vertical="center"/>
    </xf>
    <xf numFmtId="43" fontId="64" fillId="0" borderId="7" xfId="0" applyNumberFormat="1" applyFont="1" applyBorder="1" applyAlignment="1">
      <alignment horizontal="right" vertical="center"/>
    </xf>
    <xf numFmtId="0" fontId="67" fillId="0" borderId="7" xfId="0" applyFont="1" applyBorder="1" applyAlignment="1" applyProtection="1">
      <alignment horizontal="right" vertical="center"/>
    </xf>
    <xf numFmtId="43" fontId="67" fillId="0" borderId="7" xfId="0" applyNumberFormat="1" applyFont="1" applyBorder="1" applyAlignment="1" applyProtection="1">
      <alignment horizontal="right" vertical="center"/>
    </xf>
    <xf numFmtId="43" fontId="67" fillId="0" borderId="7" xfId="0" applyNumberFormat="1" applyFont="1" applyBorder="1" applyAlignment="1" applyProtection="1">
      <alignment horizontal="right" vertical="center"/>
      <protection locked="0"/>
    </xf>
    <xf numFmtId="43" fontId="67" fillId="0" borderId="2" xfId="0" applyNumberFormat="1" applyFont="1" applyBorder="1" applyAlignment="1" applyProtection="1">
      <alignment horizontal="right" vertical="center"/>
      <protection locked="0"/>
    </xf>
    <xf numFmtId="43" fontId="67" fillId="6" borderId="7" xfId="0" applyNumberFormat="1" applyFont="1" applyFill="1" applyBorder="1" applyAlignment="1" applyProtection="1">
      <alignment horizontal="right" vertical="center"/>
    </xf>
    <xf numFmtId="43" fontId="67" fillId="0" borderId="7" xfId="0" applyNumberFormat="1" applyFont="1" applyFill="1" applyBorder="1" applyAlignment="1" applyProtection="1">
      <alignment horizontal="right" vertical="center"/>
    </xf>
    <xf numFmtId="43" fontId="38" fillId="0" borderId="7" xfId="0" applyNumberFormat="1" applyFont="1" applyBorder="1" applyAlignment="1" applyProtection="1">
      <alignment horizontal="right" vertical="center" wrapText="1"/>
      <protection locked="0"/>
    </xf>
    <xf numFmtId="43" fontId="38" fillId="0" borderId="7" xfId="0" applyNumberFormat="1" applyFont="1" applyBorder="1" applyAlignment="1" applyProtection="1">
      <alignment horizontal="right" vertical="center" wrapText="1"/>
    </xf>
    <xf numFmtId="0" fontId="0" fillId="0" borderId="0" xfId="0" applyFill="1"/>
    <xf numFmtId="0" fontId="72" fillId="0" borderId="1" xfId="0" applyFont="1" applyBorder="1" applyAlignment="1">
      <alignment horizontal="left" vertical="center"/>
    </xf>
    <xf numFmtId="0" fontId="72" fillId="0" borderId="23" xfId="0" applyFont="1" applyBorder="1" applyAlignment="1">
      <alignment horizontal="center" vertical="center"/>
    </xf>
    <xf numFmtId="0" fontId="72" fillId="0" borderId="2" xfId="0" applyFont="1" applyBorder="1" applyAlignment="1">
      <alignment horizontal="center" vertical="center"/>
    </xf>
    <xf numFmtId="0" fontId="41" fillId="0" borderId="23" xfId="0" applyFont="1" applyBorder="1" applyAlignment="1">
      <alignment horizontal="justify" vertical="center" wrapText="1"/>
    </xf>
    <xf numFmtId="0" fontId="64" fillId="6" borderId="5" xfId="0" applyFont="1" applyFill="1" applyBorder="1" applyAlignment="1">
      <alignment horizontal="center" vertical="center" wrapText="1"/>
    </xf>
    <xf numFmtId="43" fontId="41" fillId="0" borderId="2" xfId="0" applyNumberFormat="1" applyFont="1" applyBorder="1" applyAlignment="1">
      <alignment horizontal="right" vertical="center" wrapText="1"/>
    </xf>
    <xf numFmtId="43" fontId="67" fillId="0" borderId="7" xfId="0" applyNumberFormat="1" applyFont="1" applyBorder="1" applyAlignment="1" applyProtection="1">
      <alignment horizontal="right" vertical="center" wrapText="1"/>
      <protection locked="0"/>
    </xf>
    <xf numFmtId="0" fontId="38" fillId="0" borderId="23" xfId="0" applyFont="1" applyBorder="1" applyAlignment="1">
      <alignment horizontal="left" vertical="center" wrapText="1"/>
    </xf>
    <xf numFmtId="0" fontId="38" fillId="0" borderId="1" xfId="0" applyFont="1" applyBorder="1" applyAlignment="1">
      <alignment horizontal="justify" vertical="center" wrapText="1"/>
    </xf>
    <xf numFmtId="0" fontId="38" fillId="0" borderId="2" xfId="0" applyFont="1" applyBorder="1" applyAlignment="1">
      <alignment horizontal="left" vertical="center" wrapText="1"/>
    </xf>
    <xf numFmtId="43" fontId="37" fillId="0" borderId="2" xfId="0" applyNumberFormat="1" applyFont="1" applyBorder="1" applyAlignment="1">
      <alignment horizontal="justify" vertical="center" wrapText="1"/>
    </xf>
    <xf numFmtId="0" fontId="37" fillId="0" borderId="1" xfId="0" applyFont="1" applyBorder="1" applyAlignment="1">
      <alignment horizontal="justify" vertical="center" wrapText="1"/>
    </xf>
    <xf numFmtId="0" fontId="37" fillId="0" borderId="2" xfId="0" applyFont="1" applyBorder="1" applyAlignment="1">
      <alignment horizontal="justify" vertical="center" wrapText="1"/>
    </xf>
    <xf numFmtId="0" fontId="38" fillId="0" borderId="7" xfId="0" applyFont="1" applyBorder="1" applyAlignment="1">
      <alignment horizontal="justify" vertical="center" wrapText="1"/>
    </xf>
    <xf numFmtId="0" fontId="37" fillId="0" borderId="0" xfId="0" applyFont="1" applyAlignment="1">
      <alignment horizontal="justify" vertical="center" wrapText="1"/>
    </xf>
    <xf numFmtId="0" fontId="37" fillId="0" borderId="7" xfId="0" applyFont="1" applyBorder="1" applyAlignment="1">
      <alignment horizontal="justify" vertical="center" wrapText="1"/>
    </xf>
    <xf numFmtId="0" fontId="38" fillId="0" borderId="0" xfId="0" applyFont="1" applyAlignment="1">
      <alignment horizontal="justify" vertical="center" wrapText="1"/>
    </xf>
    <xf numFmtId="0" fontId="37" fillId="0" borderId="35" xfId="0" applyFont="1" applyBorder="1" applyAlignment="1">
      <alignment horizontal="left" vertical="top" wrapText="1"/>
    </xf>
    <xf numFmtId="43" fontId="37" fillId="0" borderId="7" xfId="0" applyNumberFormat="1" applyFont="1" applyBorder="1" applyAlignment="1" applyProtection="1">
      <alignment horizontal="right" vertical="center" wrapText="1"/>
      <protection locked="0"/>
    </xf>
    <xf numFmtId="0" fontId="37" fillId="0" borderId="35" xfId="0" applyFont="1" applyBorder="1" applyAlignment="1">
      <alignment horizontal="justify" vertical="center" wrapText="1"/>
    </xf>
    <xf numFmtId="43" fontId="37" fillId="0" borderId="7" xfId="0" applyNumberFormat="1" applyFont="1" applyBorder="1" applyAlignment="1">
      <alignment horizontal="right" vertical="center" wrapText="1"/>
    </xf>
    <xf numFmtId="43" fontId="37" fillId="0" borderId="2" xfId="0" applyNumberFormat="1" applyFont="1" applyBorder="1" applyAlignment="1" applyProtection="1">
      <alignment horizontal="right" vertical="center" wrapText="1"/>
      <protection locked="0"/>
    </xf>
    <xf numFmtId="0" fontId="37" fillId="0" borderId="0" xfId="0" applyFont="1" applyBorder="1" applyAlignment="1">
      <alignment horizontal="justify" vertical="center" wrapText="1"/>
    </xf>
    <xf numFmtId="43" fontId="37" fillId="0" borderId="7" xfId="0" applyNumberFormat="1" applyFont="1" applyBorder="1" applyAlignment="1">
      <alignment horizontal="justify" vertical="center" wrapText="1"/>
    </xf>
    <xf numFmtId="43" fontId="38" fillId="0" borderId="2" xfId="0" applyNumberFormat="1" applyFont="1" applyBorder="1" applyAlignment="1">
      <alignment horizontal="right" vertical="center" wrapText="1"/>
    </xf>
    <xf numFmtId="43" fontId="64" fillId="6" borderId="7" xfId="0" applyNumberFormat="1" applyFont="1" applyFill="1" applyBorder="1" applyAlignment="1">
      <alignment horizontal="right" vertical="center" wrapText="1"/>
    </xf>
    <xf numFmtId="43" fontId="73" fillId="0" borderId="35" xfId="0" applyNumberFormat="1" applyFont="1" applyBorder="1" applyAlignment="1">
      <alignment vertical="center"/>
    </xf>
    <xf numFmtId="43" fontId="72" fillId="0" borderId="35" xfId="0" applyNumberFormat="1" applyFont="1" applyBorder="1" applyAlignment="1">
      <alignment vertical="center"/>
    </xf>
    <xf numFmtId="43" fontId="72" fillId="0" borderId="7" xfId="0" applyNumberFormat="1" applyFont="1" applyBorder="1" applyAlignment="1">
      <alignment vertical="center"/>
    </xf>
    <xf numFmtId="43" fontId="72" fillId="0" borderId="35" xfId="0" applyNumberFormat="1" applyFont="1" applyBorder="1" applyAlignment="1" applyProtection="1">
      <alignment vertical="center"/>
      <protection locked="0"/>
    </xf>
    <xf numFmtId="43" fontId="72" fillId="0" borderId="35" xfId="0" applyNumberFormat="1" applyFont="1" applyBorder="1" applyAlignment="1" applyProtection="1">
      <alignment vertical="center"/>
    </xf>
    <xf numFmtId="43" fontId="73" fillId="0" borderId="35" xfId="0" applyNumberFormat="1" applyFont="1" applyBorder="1" applyAlignment="1" applyProtection="1">
      <alignment vertical="center"/>
    </xf>
    <xf numFmtId="0" fontId="73" fillId="0" borderId="2" xfId="0" applyFont="1" applyFill="1" applyBorder="1" applyAlignment="1">
      <alignment horizontal="center" vertical="center" wrapText="1"/>
    </xf>
    <xf numFmtId="43" fontId="64" fillId="0" borderId="35" xfId="0" applyNumberFormat="1" applyFont="1" applyBorder="1" applyAlignment="1">
      <alignment horizontal="right" wrapText="1"/>
    </xf>
    <xf numFmtId="43" fontId="64" fillId="0" borderId="7" xfId="0" applyNumberFormat="1" applyFont="1" applyBorder="1" applyAlignment="1">
      <alignment horizontal="right" wrapText="1"/>
    </xf>
    <xf numFmtId="43" fontId="64" fillId="0" borderId="35" xfId="0" applyNumberFormat="1" applyFont="1" applyBorder="1" applyAlignment="1" applyProtection="1">
      <alignment horizontal="right" wrapText="1"/>
      <protection locked="0"/>
    </xf>
    <xf numFmtId="43" fontId="64" fillId="0" borderId="7" xfId="0" applyNumberFormat="1" applyFont="1" applyBorder="1" applyAlignment="1" applyProtection="1">
      <alignment horizontal="right" wrapText="1"/>
      <protection locked="0"/>
    </xf>
    <xf numFmtId="0" fontId="38" fillId="0" borderId="42" xfId="0" applyFont="1" applyBorder="1" applyAlignment="1">
      <alignment horizontal="justify" vertical="center" wrapText="1"/>
    </xf>
    <xf numFmtId="43" fontId="38" fillId="0" borderId="5" xfId="0" applyNumberFormat="1" applyFont="1" applyBorder="1" applyAlignment="1">
      <alignment horizontal="right" vertical="center" wrapText="1"/>
    </xf>
    <xf numFmtId="0" fontId="37" fillId="0" borderId="4" xfId="0" applyFont="1" applyBorder="1" applyAlignment="1">
      <alignment horizontal="justify" vertical="center" wrapText="1"/>
    </xf>
    <xf numFmtId="0" fontId="38" fillId="0" borderId="5" xfId="0" applyFont="1" applyBorder="1" applyAlignment="1">
      <alignment horizontal="justify" vertical="center" wrapText="1"/>
    </xf>
    <xf numFmtId="0" fontId="67" fillId="0" borderId="1" xfId="0" applyFont="1" applyBorder="1" applyAlignment="1">
      <alignment horizontal="left" vertical="center"/>
    </xf>
    <xf numFmtId="0" fontId="67" fillId="0" borderId="57" xfId="0" applyFont="1" applyBorder="1" applyAlignment="1">
      <alignment horizontal="left" vertical="justify"/>
    </xf>
    <xf numFmtId="43" fontId="72" fillId="0" borderId="23" xfId="0" applyNumberFormat="1" applyFont="1" applyBorder="1" applyAlignment="1" applyProtection="1">
      <alignment vertical="center"/>
      <protection locked="0"/>
    </xf>
    <xf numFmtId="43" fontId="72" fillId="0" borderId="23" xfId="0" applyNumberFormat="1" applyFont="1" applyBorder="1" applyAlignment="1" applyProtection="1">
      <alignment vertical="center"/>
    </xf>
    <xf numFmtId="43" fontId="72" fillId="0" borderId="2" xfId="0" applyNumberFormat="1" applyFont="1" applyBorder="1" applyAlignment="1">
      <alignment vertical="center"/>
    </xf>
    <xf numFmtId="0" fontId="37" fillId="0" borderId="7" xfId="0" applyFont="1" applyBorder="1" applyAlignment="1">
      <alignment horizontal="center" vertical="center" wrapText="1"/>
    </xf>
    <xf numFmtId="0" fontId="59" fillId="0" borderId="0" xfId="0" applyFont="1" applyFill="1"/>
    <xf numFmtId="43" fontId="37" fillId="0" borderId="7" xfId="0" applyNumberFormat="1" applyFont="1" applyBorder="1" applyAlignment="1">
      <alignmen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43" fontId="37" fillId="0" borderId="7" xfId="0" applyNumberFormat="1" applyFont="1" applyBorder="1" applyAlignment="1" applyProtection="1">
      <alignment vertical="center"/>
      <protection locked="0"/>
    </xf>
    <xf numFmtId="0" fontId="38" fillId="0" borderId="6" xfId="0" applyFont="1" applyBorder="1" applyAlignment="1">
      <alignment horizontal="justify" vertical="center"/>
    </xf>
    <xf numFmtId="0" fontId="38" fillId="0" borderId="7" xfId="0" applyFont="1" applyBorder="1" applyAlignment="1">
      <alignment horizontal="justify" vertical="center"/>
    </xf>
    <xf numFmtId="43" fontId="38" fillId="0" borderId="7" xfId="0" applyNumberFormat="1" applyFont="1" applyBorder="1" applyAlignment="1" applyProtection="1">
      <alignment vertical="center"/>
    </xf>
    <xf numFmtId="43" fontId="37" fillId="0" borderId="7" xfId="0" applyNumberFormat="1" applyFont="1" applyBorder="1" applyAlignment="1" applyProtection="1">
      <alignment vertical="center"/>
    </xf>
    <xf numFmtId="43" fontId="38" fillId="0" borderId="7" xfId="0" applyNumberFormat="1" applyFont="1" applyBorder="1" applyAlignment="1" applyProtection="1">
      <alignment vertical="center"/>
      <protection locked="0"/>
    </xf>
    <xf numFmtId="0" fontId="37" fillId="0" borderId="8" xfId="0" applyFont="1" applyBorder="1" applyAlignment="1">
      <alignment horizontal="left" vertical="center"/>
    </xf>
    <xf numFmtId="0" fontId="37" fillId="0" borderId="2" xfId="0" applyFont="1" applyBorder="1" applyAlignment="1">
      <alignment horizontal="left" vertical="center"/>
    </xf>
    <xf numFmtId="43" fontId="37" fillId="0" borderId="2" xfId="0" applyNumberFormat="1" applyFont="1" applyBorder="1" applyAlignment="1" applyProtection="1">
      <alignment vertical="center"/>
      <protection locked="0"/>
    </xf>
    <xf numFmtId="43" fontId="37" fillId="0" borderId="2" xfId="0" applyNumberFormat="1" applyFont="1" applyBorder="1" applyAlignment="1">
      <alignment vertical="center"/>
    </xf>
    <xf numFmtId="0" fontId="37" fillId="0" borderId="0" xfId="0" applyFont="1" applyBorder="1" applyAlignment="1">
      <alignment horizontal="left" vertical="center"/>
    </xf>
    <xf numFmtId="43" fontId="37" fillId="0" borderId="0" xfId="0" applyNumberFormat="1" applyFont="1" applyBorder="1" applyAlignment="1" applyProtection="1">
      <alignment vertical="center"/>
      <protection locked="0"/>
    </xf>
    <xf numFmtId="43" fontId="37" fillId="0" borderId="0" xfId="0" applyNumberFormat="1" applyFont="1" applyBorder="1" applyAlignment="1">
      <alignment vertical="center"/>
    </xf>
    <xf numFmtId="0" fontId="72" fillId="0" borderId="8" xfId="0" applyFont="1" applyBorder="1" applyAlignment="1">
      <alignment horizontal="left" vertical="center"/>
    </xf>
    <xf numFmtId="0" fontId="72" fillId="0" borderId="0" xfId="0" applyFont="1" applyBorder="1" applyAlignment="1">
      <alignment horizontal="left" vertical="center"/>
    </xf>
    <xf numFmtId="41" fontId="67" fillId="0" borderId="7" xfId="0" applyNumberFormat="1" applyFont="1" applyBorder="1" applyAlignment="1" applyProtection="1">
      <alignment vertical="center" wrapText="1"/>
      <protection locked="0"/>
    </xf>
    <xf numFmtId="0" fontId="46" fillId="0" borderId="0" xfId="0" applyFont="1" applyFill="1" applyAlignment="1" applyProtection="1">
      <alignment wrapText="1"/>
    </xf>
    <xf numFmtId="43" fontId="67" fillId="0" borderId="2" xfId="0" applyNumberFormat="1" applyFont="1" applyBorder="1" applyAlignment="1" applyProtection="1">
      <alignment horizontal="right" vertical="center"/>
    </xf>
    <xf numFmtId="43" fontId="64" fillId="0" borderId="7" xfId="0" applyNumberFormat="1" applyFont="1" applyBorder="1" applyAlignment="1" applyProtection="1">
      <alignment horizontal="right" vertical="center"/>
    </xf>
    <xf numFmtId="43" fontId="64" fillId="0" borderId="7" xfId="0" applyNumberFormat="1" applyFont="1" applyFill="1" applyBorder="1" applyAlignment="1">
      <alignment horizontal="right" vertical="center" wrapText="1"/>
    </xf>
    <xf numFmtId="43" fontId="38" fillId="0" borderId="2" xfId="0" applyNumberFormat="1" applyFont="1" applyFill="1" applyBorder="1" applyAlignment="1">
      <alignment horizontal="right" vertical="center" wrapText="1"/>
    </xf>
    <xf numFmtId="43" fontId="37" fillId="0" borderId="2" xfId="0" applyNumberFormat="1" applyFont="1" applyBorder="1" applyAlignment="1" applyProtection="1">
      <alignment vertical="center"/>
    </xf>
    <xf numFmtId="41" fontId="67" fillId="0" borderId="7" xfId="0" applyNumberFormat="1" applyFont="1" applyBorder="1" applyAlignment="1">
      <alignment vertical="center" wrapText="1"/>
    </xf>
    <xf numFmtId="41" fontId="67" fillId="0" borderId="7" xfId="0" applyNumberFormat="1" applyFont="1" applyBorder="1" applyAlignment="1">
      <alignment horizontal="right" vertical="center"/>
    </xf>
    <xf numFmtId="41" fontId="67" fillId="6" borderId="7" xfId="0" applyNumberFormat="1" applyFont="1" applyFill="1" applyBorder="1" applyAlignment="1">
      <alignment horizontal="right" vertical="center" wrapText="1"/>
    </xf>
    <xf numFmtId="41" fontId="64" fillId="0" borderId="7" xfId="0" applyNumberFormat="1" applyFont="1" applyBorder="1" applyAlignment="1">
      <alignment horizontal="right" vertical="center" wrapText="1"/>
    </xf>
    <xf numFmtId="41" fontId="64" fillId="0" borderId="7" xfId="0" applyNumberFormat="1" applyFont="1" applyBorder="1" applyAlignment="1">
      <alignment horizontal="right" vertical="center"/>
    </xf>
    <xf numFmtId="41" fontId="64" fillId="0" borderId="7" xfId="0" applyNumberFormat="1" applyFont="1" applyBorder="1" applyAlignment="1">
      <alignment vertical="center" wrapText="1"/>
    </xf>
    <xf numFmtId="41" fontId="64" fillId="0" borderId="7" xfId="0" applyNumberFormat="1" applyFont="1" applyBorder="1" applyAlignment="1" applyProtection="1">
      <alignment vertical="center" wrapText="1"/>
      <protection locked="0"/>
    </xf>
    <xf numFmtId="41" fontId="67" fillId="3" borderId="7" xfId="0" applyNumberFormat="1" applyFont="1" applyFill="1" applyBorder="1" applyAlignment="1" applyProtection="1">
      <alignment vertical="center" wrapText="1"/>
    </xf>
    <xf numFmtId="41" fontId="67" fillId="0" borderId="7" xfId="0" applyNumberFormat="1" applyFont="1" applyFill="1" applyBorder="1" applyAlignment="1">
      <alignment horizontal="right" vertical="center" wrapText="1"/>
    </xf>
    <xf numFmtId="0" fontId="73" fillId="0" borderId="7" xfId="0" applyFont="1" applyFill="1" applyBorder="1" applyAlignment="1">
      <alignment horizontal="center" vertical="center"/>
    </xf>
    <xf numFmtId="0" fontId="73" fillId="0" borderId="7" xfId="0" applyFont="1" applyFill="1" applyBorder="1" applyAlignment="1">
      <alignment horizontal="center" vertical="center" wrapText="1"/>
    </xf>
    <xf numFmtId="0" fontId="73" fillId="0" borderId="35" xfId="0" applyFont="1" applyFill="1" applyBorder="1" applyAlignment="1">
      <alignment horizontal="center" vertical="center"/>
    </xf>
    <xf numFmtId="43" fontId="64" fillId="0" borderId="7" xfId="0" applyNumberFormat="1" applyFont="1" applyFill="1" applyBorder="1" applyAlignment="1" applyProtection="1">
      <alignment horizontal="right" vertical="center" wrapText="1"/>
      <protection locked="0"/>
    </xf>
    <xf numFmtId="0" fontId="12" fillId="0" borderId="0" xfId="0" applyFont="1" applyAlignment="1" applyProtection="1">
      <protection locked="0"/>
    </xf>
    <xf numFmtId="0" fontId="13" fillId="0" borderId="0" xfId="0" applyFont="1" applyAlignment="1" applyProtection="1">
      <protection locked="0"/>
    </xf>
    <xf numFmtId="0" fontId="8" fillId="0" borderId="0" xfId="0" applyFont="1" applyFill="1" applyBorder="1" applyAlignment="1" applyProtection="1">
      <alignment horizontal="right" vertical="top"/>
      <protection locked="0"/>
    </xf>
    <xf numFmtId="0" fontId="12" fillId="0" borderId="0" xfId="0" applyFont="1" applyProtection="1">
      <protection locked="0"/>
    </xf>
    <xf numFmtId="0" fontId="14" fillId="0" borderId="0" xfId="0" applyFont="1" applyFill="1" applyProtection="1">
      <protection locked="0"/>
    </xf>
    <xf numFmtId="0" fontId="13" fillId="0" borderId="0" xfId="0" applyFont="1" applyProtection="1">
      <protection locked="0"/>
    </xf>
    <xf numFmtId="0" fontId="68" fillId="0" borderId="5" xfId="0" applyFont="1" applyBorder="1" applyAlignment="1">
      <alignment horizontal="center" vertical="center"/>
    </xf>
    <xf numFmtId="43" fontId="67" fillId="0" borderId="35" xfId="0" applyNumberFormat="1" applyFont="1" applyBorder="1" applyAlignment="1" applyProtection="1">
      <alignment horizontal="right" vertical="center"/>
      <protection locked="0"/>
    </xf>
    <xf numFmtId="43" fontId="67" fillId="0" borderId="35" xfId="0" applyNumberFormat="1" applyFont="1" applyBorder="1" applyAlignment="1" applyProtection="1">
      <alignment horizontal="right" vertical="center"/>
    </xf>
    <xf numFmtId="0" fontId="67" fillId="0" borderId="57" xfId="0" applyFont="1" applyBorder="1" applyAlignment="1">
      <alignment horizontal="left" vertical="center"/>
    </xf>
    <xf numFmtId="0" fontId="37" fillId="0" borderId="5" xfId="0" applyFont="1" applyBorder="1" applyAlignment="1">
      <alignment horizontal="center" vertical="center" wrapText="1"/>
    </xf>
    <xf numFmtId="0" fontId="5" fillId="0" borderId="0" xfId="0" applyFont="1" applyProtection="1">
      <protection locked="0"/>
    </xf>
    <xf numFmtId="0" fontId="22" fillId="0" borderId="1" xfId="0" applyFont="1" applyFill="1" applyBorder="1" applyAlignment="1" applyProtection="1">
      <alignment horizontal="center" vertical="top"/>
      <protection locked="0"/>
    </xf>
    <xf numFmtId="0" fontId="21" fillId="0" borderId="0" xfId="0" applyFont="1" applyFill="1" applyBorder="1" applyAlignment="1" applyProtection="1">
      <alignment horizontal="left" wrapText="1"/>
      <protection locked="0"/>
    </xf>
    <xf numFmtId="0" fontId="64" fillId="0" borderId="6" xfId="0" applyFont="1" applyBorder="1" applyAlignment="1">
      <alignment horizontal="justify" vertical="center" wrapText="1"/>
    </xf>
    <xf numFmtId="0" fontId="64" fillId="0" borderId="7" xfId="0" applyFont="1" applyBorder="1" applyAlignment="1">
      <alignment horizontal="justify" vertical="center" wrapText="1"/>
    </xf>
    <xf numFmtId="0" fontId="64" fillId="5" borderId="2" xfId="0" applyFont="1" applyFill="1" applyBorder="1" applyAlignment="1">
      <alignment horizontal="center" vertical="center" wrapText="1"/>
    </xf>
    <xf numFmtId="0" fontId="67" fillId="0" borderId="6" xfId="0" applyFont="1" applyBorder="1" applyAlignment="1">
      <alignment horizontal="justify" vertical="center" wrapText="1"/>
    </xf>
    <xf numFmtId="0" fontId="67" fillId="0" borderId="7" xfId="0" applyFont="1" applyBorder="1" applyAlignment="1">
      <alignment horizontal="justify" vertical="center" wrapText="1"/>
    </xf>
    <xf numFmtId="0" fontId="67" fillId="0" borderId="0" xfId="0" applyFont="1" applyBorder="1" applyAlignment="1">
      <alignment horizontal="left" vertical="center"/>
    </xf>
    <xf numFmtId="0" fontId="67" fillId="0" borderId="56" xfId="0" applyFont="1" applyBorder="1" applyAlignment="1">
      <alignment horizontal="left" vertical="center"/>
    </xf>
    <xf numFmtId="0" fontId="67" fillId="0" borderId="6" xfId="0" applyFont="1" applyBorder="1" applyAlignment="1">
      <alignment horizontal="left" vertical="center"/>
    </xf>
    <xf numFmtId="0" fontId="67" fillId="0" borderId="0" xfId="0" applyFont="1" applyBorder="1" applyAlignment="1">
      <alignment vertical="center"/>
    </xf>
    <xf numFmtId="0" fontId="67" fillId="0" borderId="56" xfId="0" applyFont="1" applyBorder="1" applyAlignment="1">
      <alignment vertical="center"/>
    </xf>
    <xf numFmtId="0" fontId="67" fillId="0" borderId="56" xfId="0" applyFont="1" applyBorder="1" applyAlignment="1">
      <alignment horizontal="left" vertical="justify"/>
    </xf>
    <xf numFmtId="0" fontId="24" fillId="0" borderId="22" xfId="0" applyFont="1" applyFill="1" applyBorder="1" applyAlignment="1" applyProtection="1">
      <alignment horizontal="center" vertical="center" wrapText="1"/>
      <protection locked="0"/>
    </xf>
    <xf numFmtId="0" fontId="38" fillId="0" borderId="2" xfId="0" applyFont="1" applyFill="1" applyBorder="1" applyAlignment="1">
      <alignment horizontal="center" vertical="center" wrapText="1"/>
    </xf>
    <xf numFmtId="0" fontId="64" fillId="6" borderId="19" xfId="0" applyFont="1" applyFill="1" applyBorder="1" applyAlignment="1">
      <alignment horizontal="center" vertical="center" wrapText="1"/>
    </xf>
    <xf numFmtId="0" fontId="64" fillId="6" borderId="42" xfId="0" applyFont="1" applyFill="1" applyBorder="1" applyAlignment="1">
      <alignment horizontal="center" vertical="center" wrapText="1"/>
    </xf>
    <xf numFmtId="0" fontId="64" fillId="6" borderId="23" xfId="0" applyFont="1" applyFill="1" applyBorder="1" applyAlignment="1">
      <alignment horizontal="center" vertical="center" wrapText="1"/>
    </xf>
    <xf numFmtId="0" fontId="5" fillId="0" borderId="0" xfId="0" applyFont="1" applyAlignment="1" applyProtection="1">
      <alignment horizontal="center"/>
      <protection locked="0"/>
    </xf>
    <xf numFmtId="0" fontId="6" fillId="0" borderId="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0" xfId="0" applyFont="1" applyFill="1" applyAlignment="1">
      <alignment horizontal="center"/>
    </xf>
    <xf numFmtId="0" fontId="6" fillId="0" borderId="4" xfId="0" applyFont="1" applyFill="1" applyBorder="1" applyAlignment="1">
      <alignment horizontal="center" vertical="center"/>
    </xf>
    <xf numFmtId="0" fontId="64" fillId="0" borderId="6" xfId="0" applyFont="1" applyBorder="1" applyAlignment="1">
      <alignment vertical="center"/>
    </xf>
    <xf numFmtId="0" fontId="67" fillId="0" borderId="6" xfId="0" applyFont="1" applyBorder="1" applyAlignment="1">
      <alignment vertical="center"/>
    </xf>
    <xf numFmtId="0" fontId="67" fillId="0" borderId="7" xfId="0" applyFont="1" applyBorder="1" applyAlignment="1">
      <alignment horizontal="left" vertical="center" indent="1"/>
    </xf>
    <xf numFmtId="0" fontId="64" fillId="0" borderId="7" xfId="0" applyFont="1" applyBorder="1" applyAlignment="1">
      <alignment vertical="center"/>
    </xf>
    <xf numFmtId="0" fontId="64" fillId="0" borderId="6" xfId="0" applyFont="1" applyBorder="1" applyAlignment="1">
      <alignment vertical="center" wrapText="1"/>
    </xf>
    <xf numFmtId="0" fontId="70" fillId="5" borderId="0" xfId="0" applyFont="1" applyFill="1" applyBorder="1" applyAlignment="1">
      <alignment horizontal="center" vertical="center" wrapText="1"/>
    </xf>
    <xf numFmtId="0" fontId="67" fillId="0" borderId="6" xfId="0" applyFont="1" applyBorder="1" applyAlignment="1">
      <alignment vertical="center" wrapText="1"/>
    </xf>
    <xf numFmtId="0" fontId="31" fillId="0" borderId="20" xfId="0" applyFont="1" applyFill="1" applyBorder="1" applyAlignment="1" applyProtection="1">
      <alignment vertical="center"/>
      <protection locked="0"/>
    </xf>
    <xf numFmtId="0" fontId="20" fillId="0" borderId="6" xfId="0" applyFont="1" applyBorder="1" applyAlignment="1" applyProtection="1">
      <alignment horizontal="left" vertical="center" wrapText="1" indent="1"/>
      <protection locked="0"/>
    </xf>
    <xf numFmtId="3" fontId="24" fillId="0" borderId="2" xfId="0" applyNumberFormat="1" applyFont="1" applyBorder="1" applyAlignment="1" applyProtection="1">
      <alignment horizontal="right" vertical="center" wrapText="1"/>
    </xf>
    <xf numFmtId="0" fontId="23" fillId="0" borderId="32" xfId="0" applyFont="1" applyBorder="1" applyAlignment="1" applyProtection="1">
      <alignment vertical="center" wrapText="1"/>
      <protection locked="0"/>
    </xf>
    <xf numFmtId="0" fontId="23" fillId="0" borderId="19" xfId="0" applyFont="1" applyBorder="1" applyAlignment="1" applyProtection="1">
      <alignment vertical="center" wrapText="1"/>
      <protection locked="0"/>
    </xf>
    <xf numFmtId="4" fontId="23" fillId="0" borderId="32" xfId="0" applyNumberFormat="1" applyFont="1" applyBorder="1" applyAlignment="1" applyProtection="1">
      <alignment vertical="center"/>
      <protection locked="0"/>
    </xf>
    <xf numFmtId="4" fontId="23" fillId="0" borderId="19" xfId="0" applyNumberFormat="1" applyFont="1" applyBorder="1" applyAlignment="1" applyProtection="1">
      <alignment vertical="center"/>
      <protection locked="0"/>
    </xf>
    <xf numFmtId="0" fontId="22" fillId="0" borderId="0" xfId="0" applyFont="1" applyAlignment="1">
      <alignment horizontal="center"/>
    </xf>
    <xf numFmtId="0" fontId="74" fillId="0" borderId="23" xfId="0" applyFont="1" applyBorder="1" applyAlignment="1">
      <alignment horizontal="justify" vertical="center" wrapText="1"/>
    </xf>
    <xf numFmtId="0" fontId="74" fillId="0" borderId="2" xfId="0" applyFont="1" applyBorder="1" applyAlignment="1">
      <alignment horizontal="justify" vertical="center" wrapText="1"/>
    </xf>
    <xf numFmtId="0" fontId="74" fillId="6" borderId="23" xfId="0" applyFont="1" applyFill="1" applyBorder="1" applyAlignment="1">
      <alignment horizontal="justify" vertical="center" wrapText="1"/>
    </xf>
    <xf numFmtId="0" fontId="74" fillId="6" borderId="2" xfId="0" applyFont="1" applyFill="1" applyBorder="1" applyAlignment="1">
      <alignment horizontal="justify" vertical="center" wrapText="1"/>
    </xf>
    <xf numFmtId="0" fontId="74" fillId="6" borderId="7" xfId="0" applyFont="1" applyFill="1" applyBorder="1" applyAlignment="1">
      <alignment horizontal="justify" vertical="center" wrapText="1"/>
    </xf>
    <xf numFmtId="0" fontId="74" fillId="0" borderId="7" xfId="0" applyFont="1" applyBorder="1" applyAlignment="1">
      <alignment horizontal="justify" vertical="center" wrapText="1"/>
    </xf>
    <xf numFmtId="0" fontId="24"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justify" vertical="center" wrapText="1"/>
      <protection locked="0"/>
    </xf>
    <xf numFmtId="0" fontId="20" fillId="0" borderId="1" xfId="0" applyFont="1" applyBorder="1" applyAlignment="1" applyProtection="1">
      <alignment horizontal="justify" vertical="center" wrapText="1"/>
      <protection locked="0"/>
    </xf>
    <xf numFmtId="0" fontId="24" fillId="0" borderId="4"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wrapText="1"/>
      <protection locked="0"/>
    </xf>
    <xf numFmtId="0" fontId="24" fillId="0" borderId="42" xfId="0" applyFont="1" applyFill="1" applyBorder="1" applyAlignment="1" applyProtection="1">
      <alignment horizontal="center" vertical="center" wrapText="1"/>
      <protection locked="0"/>
    </xf>
    <xf numFmtId="0" fontId="24" fillId="5" borderId="42" xfId="0" applyFont="1" applyFill="1" applyBorder="1" applyAlignment="1" applyProtection="1">
      <alignment horizontal="center" vertical="center" wrapText="1"/>
      <protection locked="0"/>
    </xf>
    <xf numFmtId="49" fontId="24" fillId="5" borderId="23" xfId="0" applyNumberFormat="1" applyFont="1" applyFill="1" applyBorder="1" applyAlignment="1" applyProtection="1">
      <alignment horizontal="center" vertical="center" wrapText="1"/>
      <protection locked="0"/>
    </xf>
    <xf numFmtId="4" fontId="24" fillId="0" borderId="35"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xf>
    <xf numFmtId="3" fontId="20" fillId="0" borderId="35" xfId="0" applyNumberFormat="1" applyFont="1" applyBorder="1" applyAlignment="1" applyProtection="1">
      <alignment horizontal="right" vertical="center" wrapText="1"/>
      <protection locked="0"/>
    </xf>
    <xf numFmtId="3" fontId="20" fillId="0" borderId="35" xfId="0" applyNumberFormat="1" applyFont="1" applyBorder="1" applyAlignment="1" applyProtection="1">
      <alignment horizontal="right" vertical="center" wrapText="1"/>
    </xf>
    <xf numFmtId="3" fontId="20" fillId="0" borderId="35" xfId="0" applyNumberFormat="1" applyFont="1" applyBorder="1" applyAlignment="1" applyProtection="1">
      <alignment horizontal="right" vertical="center"/>
      <protection locked="0"/>
    </xf>
    <xf numFmtId="3" fontId="20" fillId="0" borderId="23" xfId="0" applyNumberFormat="1" applyFont="1" applyBorder="1" applyAlignment="1" applyProtection="1">
      <alignment horizontal="right" vertical="center" wrapText="1"/>
      <protection locked="0"/>
    </xf>
    <xf numFmtId="3" fontId="20" fillId="0" borderId="23" xfId="0" applyNumberFormat="1" applyFont="1" applyBorder="1" applyAlignment="1" applyProtection="1">
      <alignment horizontal="right" vertical="center" wrapText="1"/>
    </xf>
    <xf numFmtId="3" fontId="24" fillId="0" borderId="23" xfId="0" applyNumberFormat="1" applyFont="1" applyBorder="1" applyAlignment="1" applyProtection="1">
      <alignment horizontal="right" vertical="center" wrapText="1"/>
    </xf>
    <xf numFmtId="0" fontId="72" fillId="0" borderId="6" xfId="0" applyFont="1" applyBorder="1" applyAlignment="1">
      <alignment horizontal="left" vertical="center"/>
    </xf>
    <xf numFmtId="0" fontId="73" fillId="0" borderId="2" xfId="0" applyFont="1" applyFill="1" applyBorder="1" applyAlignment="1">
      <alignment horizontal="center" vertical="center"/>
    </xf>
    <xf numFmtId="0" fontId="73" fillId="0" borderId="6" xfId="0" applyFont="1" applyFill="1" applyBorder="1" applyAlignment="1">
      <alignment horizontal="center" vertical="center"/>
    </xf>
    <xf numFmtId="0" fontId="38"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4" fillId="0" borderId="14" xfId="0" applyFont="1" applyFill="1" applyBorder="1" applyAlignment="1" applyProtection="1">
      <alignment horizontal="center" vertical="center" wrapText="1"/>
      <protection locked="0"/>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36" fillId="0" borderId="14" xfId="0" applyFont="1" applyFill="1" applyBorder="1" applyAlignment="1" applyProtection="1">
      <alignment horizontal="center" vertical="center" wrapText="1"/>
      <protection locked="0"/>
    </xf>
    <xf numFmtId="0" fontId="36" fillId="0" borderId="43" xfId="0" applyFont="1" applyFill="1" applyBorder="1" applyAlignment="1" applyProtection="1">
      <alignment horizontal="center" vertical="center" wrapText="1"/>
      <protection locked="0"/>
    </xf>
    <xf numFmtId="43" fontId="21" fillId="0" borderId="9" xfId="5" applyFont="1" applyFill="1" applyBorder="1" applyAlignment="1" applyProtection="1">
      <alignment horizontal="right" vertical="center"/>
      <protection locked="0"/>
    </xf>
    <xf numFmtId="43" fontId="21" fillId="0" borderId="10" xfId="5" applyFont="1" applyFill="1" applyBorder="1" applyAlignment="1" applyProtection="1">
      <alignment horizontal="right" vertical="center"/>
      <protection locked="0"/>
    </xf>
    <xf numFmtId="43" fontId="31" fillId="0" borderId="20" xfId="5" applyFont="1" applyFill="1" applyBorder="1" applyAlignment="1" applyProtection="1">
      <alignment horizontal="justify" vertical="center"/>
      <protection locked="0"/>
    </xf>
    <xf numFmtId="43" fontId="31" fillId="0" borderId="10" xfId="5" applyFont="1" applyFill="1" applyBorder="1" applyAlignment="1" applyProtection="1">
      <alignment horizontal="justify" vertical="center"/>
      <protection locked="0"/>
    </xf>
    <xf numFmtId="43" fontId="31" fillId="0" borderId="17" xfId="5" applyFont="1" applyFill="1" applyBorder="1" applyAlignment="1" applyProtection="1">
      <alignment horizontal="justify" vertical="center"/>
      <protection locked="0"/>
    </xf>
    <xf numFmtId="4" fontId="48" fillId="0" borderId="28" xfId="0" applyNumberFormat="1" applyFont="1" applyFill="1" applyBorder="1" applyAlignment="1" applyProtection="1">
      <alignment horizontal="right" vertical="center"/>
    </xf>
    <xf numFmtId="0" fontId="69" fillId="7" borderId="23" xfId="0" applyFont="1" applyFill="1" applyBorder="1" applyAlignment="1">
      <alignment horizontal="center" vertical="center"/>
    </xf>
    <xf numFmtId="0" fontId="69" fillId="7" borderId="2" xfId="0" applyFont="1" applyFill="1" applyBorder="1" applyAlignment="1">
      <alignment horizontal="center" vertical="center" wrapText="1"/>
    </xf>
    <xf numFmtId="0" fontId="69" fillId="7" borderId="2" xfId="0" applyFont="1" applyFill="1" applyBorder="1" applyAlignment="1">
      <alignment horizontal="center" vertical="center"/>
    </xf>
    <xf numFmtId="0" fontId="66" fillId="0" borderId="44" xfId="0" applyFont="1" applyBorder="1" applyAlignment="1">
      <alignment horizontal="justify" vertical="center"/>
    </xf>
    <xf numFmtId="0" fontId="66" fillId="0" borderId="45" xfId="0" applyFont="1" applyBorder="1" applyAlignment="1">
      <alignment horizontal="center" vertical="center" wrapText="1"/>
    </xf>
    <xf numFmtId="0" fontId="66" fillId="0" borderId="45" xfId="0" applyFont="1" applyBorder="1" applyAlignment="1">
      <alignment horizontal="center" vertical="center"/>
    </xf>
    <xf numFmtId="0" fontId="70" fillId="0" borderId="44" xfId="0" applyFont="1" applyBorder="1" applyAlignment="1">
      <alignment horizontal="justify" vertical="center"/>
    </xf>
    <xf numFmtId="43" fontId="66" fillId="0" borderId="45" xfId="5" applyFont="1" applyBorder="1" applyAlignment="1">
      <alignment horizontal="center" vertical="center" wrapText="1"/>
    </xf>
    <xf numFmtId="0" fontId="66" fillId="3" borderId="45" xfId="0" applyFont="1" applyFill="1" applyBorder="1" applyAlignment="1" applyProtection="1">
      <alignment horizontal="center" vertical="center" wrapText="1"/>
    </xf>
    <xf numFmtId="0" fontId="66" fillId="3" borderId="45" xfId="0" applyFont="1" applyFill="1" applyBorder="1" applyAlignment="1" applyProtection="1">
      <alignment horizontal="center" vertical="center"/>
    </xf>
    <xf numFmtId="43" fontId="66" fillId="0" borderId="45" xfId="5" applyFont="1" applyBorder="1" applyAlignment="1">
      <alignment horizontal="center" vertical="center"/>
    </xf>
    <xf numFmtId="0" fontId="75" fillId="0" borderId="44" xfId="0" applyFont="1" applyBorder="1" applyAlignment="1">
      <alignment horizontal="justify" vertical="center"/>
    </xf>
    <xf numFmtId="43" fontId="68" fillId="0" borderId="45" xfId="5" applyFont="1" applyBorder="1" applyAlignment="1" applyProtection="1">
      <alignment horizontal="center" vertical="center" wrapText="1"/>
      <protection locked="0"/>
    </xf>
    <xf numFmtId="0" fontId="68" fillId="3" borderId="45" xfId="0" applyFont="1" applyFill="1" applyBorder="1" applyAlignment="1" applyProtection="1">
      <alignment horizontal="center" vertical="center" wrapText="1"/>
    </xf>
    <xf numFmtId="0" fontId="68" fillId="3" borderId="45" xfId="0" applyFont="1" applyFill="1" applyBorder="1" applyAlignment="1" applyProtection="1">
      <alignment horizontal="center" vertical="center"/>
    </xf>
    <xf numFmtId="0" fontId="66" fillId="0" borderId="45" xfId="0" applyFont="1" applyBorder="1" applyAlignment="1">
      <alignment horizontal="justify" vertical="center" wrapText="1"/>
    </xf>
    <xf numFmtId="0" fontId="66" fillId="0" borderId="45" xfId="0" applyFont="1" applyBorder="1" applyAlignment="1">
      <alignment horizontal="justify" vertical="center"/>
    </xf>
    <xf numFmtId="0" fontId="66" fillId="3" borderId="45" xfId="0" applyFont="1" applyFill="1" applyBorder="1" applyAlignment="1">
      <alignment horizontal="center" vertical="center" wrapText="1"/>
    </xf>
    <xf numFmtId="0" fontId="66" fillId="3" borderId="45" xfId="0" applyFont="1" applyFill="1" applyBorder="1" applyAlignment="1">
      <alignment horizontal="center" vertical="center"/>
    </xf>
    <xf numFmtId="0" fontId="68" fillId="3" borderId="45" xfId="0" applyFont="1" applyFill="1" applyBorder="1" applyAlignment="1">
      <alignment horizontal="center" vertical="center" wrapText="1"/>
    </xf>
    <xf numFmtId="0" fontId="68" fillId="3" borderId="45" xfId="0" applyFont="1" applyFill="1" applyBorder="1" applyAlignment="1">
      <alignment horizontal="center" vertical="center"/>
    </xf>
    <xf numFmtId="43" fontId="68" fillId="0" borderId="45" xfId="5" applyFont="1" applyBorder="1" applyAlignment="1" applyProtection="1">
      <alignment horizontal="center" vertical="center"/>
      <protection locked="0"/>
    </xf>
    <xf numFmtId="0" fontId="68" fillId="0" borderId="45" xfId="0" applyFont="1" applyBorder="1" applyAlignment="1">
      <alignment horizontal="center" vertical="center" wrapText="1"/>
    </xf>
    <xf numFmtId="0" fontId="68" fillId="0" borderId="45" xfId="0" applyFont="1" applyBorder="1" applyAlignment="1">
      <alignment horizontal="center" vertical="center"/>
    </xf>
    <xf numFmtId="0" fontId="70" fillId="0" borderId="23" xfId="0" applyFont="1" applyBorder="1" applyAlignment="1">
      <alignment horizontal="left" vertical="center"/>
    </xf>
    <xf numFmtId="0" fontId="66" fillId="0" borderId="2" xfId="0" applyFont="1" applyBorder="1" applyAlignment="1">
      <alignment horizontal="center" vertical="center" wrapText="1"/>
    </xf>
    <xf numFmtId="0" fontId="66" fillId="0" borderId="2" xfId="0" applyFont="1" applyBorder="1" applyAlignment="1">
      <alignment horizontal="center" vertical="center"/>
    </xf>
    <xf numFmtId="43" fontId="66" fillId="0" borderId="2" xfId="5" applyFont="1" applyBorder="1" applyAlignment="1">
      <alignment horizontal="center" vertical="center" wrapText="1"/>
    </xf>
    <xf numFmtId="43" fontId="66" fillId="0" borderId="2" xfId="5" applyFont="1" applyBorder="1" applyAlignment="1">
      <alignment horizontal="center" vertical="center"/>
    </xf>
    <xf numFmtId="0" fontId="76" fillId="0" borderId="0" xfId="0" applyFont="1" applyAlignment="1">
      <alignment horizontal="left" vertical="center"/>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77" fillId="8" borderId="58" xfId="0" applyFont="1" applyFill="1" applyBorder="1" applyAlignment="1">
      <alignment horizontal="center" vertical="top"/>
    </xf>
    <xf numFmtId="0" fontId="77" fillId="8" borderId="58" xfId="0" applyFont="1" applyFill="1" applyBorder="1" applyAlignment="1">
      <alignment horizontal="center" vertical="top" wrapText="1"/>
    </xf>
    <xf numFmtId="0" fontId="77" fillId="8" borderId="58" xfId="0" applyFont="1" applyFill="1" applyBorder="1" applyAlignment="1">
      <alignment horizontal="center" vertical="center"/>
    </xf>
    <xf numFmtId="0" fontId="77" fillId="8" borderId="58" xfId="0" applyFont="1" applyFill="1" applyBorder="1" applyAlignment="1">
      <alignment horizontal="center" vertical="center" wrapText="1"/>
    </xf>
    <xf numFmtId="0" fontId="77" fillId="8" borderId="58" xfId="0" applyFont="1" applyFill="1" applyBorder="1" applyAlignment="1">
      <alignment horizontal="center" wrapText="1"/>
    </xf>
    <xf numFmtId="0" fontId="78" fillId="3" borderId="58" xfId="0" applyFont="1" applyFill="1" applyBorder="1" applyAlignment="1">
      <alignment horizontal="center" vertical="center" wrapText="1"/>
    </xf>
    <xf numFmtId="2" fontId="79" fillId="3" borderId="58" xfId="0" applyNumberFormat="1" applyFont="1" applyFill="1" applyBorder="1" applyAlignment="1">
      <alignment horizontal="center" vertical="center" wrapText="1"/>
    </xf>
    <xf numFmtId="2" fontId="79" fillId="3" borderId="58" xfId="0" applyNumberFormat="1" applyFont="1" applyFill="1" applyBorder="1" applyAlignment="1">
      <alignment horizontal="center" vertical="center"/>
    </xf>
    <xf numFmtId="0" fontId="0" fillId="3" borderId="59" xfId="0" applyFill="1" applyBorder="1" applyAlignment="1">
      <alignment horizontal="center" vertical="center" wrapText="1"/>
    </xf>
    <xf numFmtId="9" fontId="0" fillId="3" borderId="60" xfId="0" applyNumberFormat="1" applyFill="1" applyBorder="1" applyAlignment="1">
      <alignment horizontal="center" vertical="center"/>
    </xf>
    <xf numFmtId="0" fontId="77" fillId="8" borderId="61" xfId="0" applyFont="1" applyFill="1" applyBorder="1" applyAlignment="1">
      <alignment vertical="center"/>
    </xf>
    <xf numFmtId="0" fontId="0" fillId="3" borderId="0" xfId="0" applyFill="1"/>
    <xf numFmtId="0" fontId="0" fillId="3" borderId="62" xfId="0" applyFill="1" applyBorder="1"/>
    <xf numFmtId="0" fontId="77" fillId="8" borderId="63" xfId="0" applyFont="1" applyFill="1" applyBorder="1" applyAlignment="1">
      <alignment vertical="center"/>
    </xf>
    <xf numFmtId="0" fontId="0" fillId="3" borderId="0" xfId="0" applyFill="1" applyAlignment="1">
      <alignment horizontal="center" vertical="top"/>
    </xf>
    <xf numFmtId="9" fontId="0" fillId="3" borderId="64" xfId="0" applyNumberFormat="1" applyFill="1" applyBorder="1" applyAlignment="1">
      <alignment horizontal="center" vertical="top"/>
    </xf>
    <xf numFmtId="0" fontId="79" fillId="3" borderId="58" xfId="0" applyFont="1" applyFill="1" applyBorder="1" applyAlignment="1">
      <alignment horizontal="center" vertical="center" wrapText="1"/>
    </xf>
    <xf numFmtId="0" fontId="0" fillId="3" borderId="65" xfId="0" applyFill="1" applyBorder="1" applyAlignment="1">
      <alignment horizontal="center" vertical="center" wrapText="1"/>
    </xf>
    <xf numFmtId="9" fontId="0" fillId="3" borderId="66" xfId="0" applyNumberFormat="1" applyFill="1" applyBorder="1" applyAlignment="1">
      <alignment horizontal="center" vertical="center"/>
    </xf>
    <xf numFmtId="3" fontId="79" fillId="3" borderId="58" xfId="0" applyNumberFormat="1" applyFont="1" applyFill="1" applyBorder="1" applyAlignment="1">
      <alignment horizontal="center" vertical="center" wrapText="1"/>
    </xf>
    <xf numFmtId="0" fontId="0" fillId="3" borderId="65" xfId="0" applyFill="1" applyBorder="1" applyAlignment="1">
      <alignment horizontal="center" vertical="center"/>
    </xf>
    <xf numFmtId="10" fontId="0" fillId="3" borderId="66" xfId="0" applyNumberFormat="1" applyFill="1" applyBorder="1" applyAlignment="1">
      <alignment horizontal="center" vertical="center"/>
    </xf>
    <xf numFmtId="0" fontId="78" fillId="3" borderId="61" xfId="0" applyFont="1" applyFill="1" applyBorder="1" applyAlignment="1">
      <alignment horizontal="center" vertical="center" wrapText="1"/>
    </xf>
    <xf numFmtId="0" fontId="0" fillId="3" borderId="67" xfId="0" applyFill="1" applyBorder="1" applyAlignment="1">
      <alignment horizontal="center" vertical="center" wrapText="1"/>
    </xf>
    <xf numFmtId="10" fontId="0" fillId="3" borderId="62" xfId="0" applyNumberFormat="1" applyFill="1" applyBorder="1" applyAlignment="1">
      <alignment horizontal="center" vertical="center"/>
    </xf>
    <xf numFmtId="0" fontId="78" fillId="3" borderId="63" xfId="0" applyFont="1" applyFill="1" applyBorder="1" applyAlignment="1">
      <alignment vertical="center" wrapText="1"/>
    </xf>
    <xf numFmtId="0" fontId="0" fillId="3" borderId="68" xfId="0" applyFill="1" applyBorder="1"/>
    <xf numFmtId="0" fontId="0" fillId="3" borderId="67" xfId="0" applyFill="1" applyBorder="1"/>
    <xf numFmtId="0" fontId="78" fillId="3" borderId="69" xfId="0" applyFont="1" applyFill="1" applyBorder="1" applyAlignment="1">
      <alignment horizontal="center" vertical="center" wrapText="1"/>
    </xf>
    <xf numFmtId="0" fontId="78" fillId="3" borderId="63" xfId="0" applyFont="1" applyFill="1" applyBorder="1" applyAlignment="1">
      <alignment horizontal="center" vertical="center" wrapText="1"/>
    </xf>
    <xf numFmtId="0" fontId="79" fillId="3" borderId="63" xfId="0" applyFont="1" applyFill="1" applyBorder="1" applyAlignment="1">
      <alignment horizontal="center" vertical="center" wrapText="1"/>
    </xf>
    <xf numFmtId="1" fontId="79" fillId="3" borderId="63" xfId="0" applyNumberFormat="1" applyFont="1" applyFill="1" applyBorder="1" applyAlignment="1">
      <alignment horizontal="center" vertical="center" wrapText="1"/>
    </xf>
    <xf numFmtId="0" fontId="78" fillId="3" borderId="70" xfId="0" applyFont="1" applyFill="1" applyBorder="1" applyAlignment="1">
      <alignment horizontal="center" vertical="center" wrapText="1"/>
    </xf>
    <xf numFmtId="0" fontId="0" fillId="3" borderId="71" xfId="0" applyFill="1" applyBorder="1" applyAlignment="1">
      <alignment horizontal="center" vertical="center"/>
    </xf>
    <xf numFmtId="1" fontId="79" fillId="3" borderId="58" xfId="0" applyNumberFormat="1" applyFont="1" applyFill="1" applyBorder="1" applyAlignment="1">
      <alignment horizontal="center" vertical="center" wrapText="1"/>
    </xf>
    <xf numFmtId="0" fontId="0" fillId="3" borderId="72" xfId="0" applyFill="1" applyBorder="1" applyAlignment="1">
      <alignment horizontal="center" vertical="center"/>
    </xf>
    <xf numFmtId="10" fontId="0" fillId="3" borderId="0" xfId="0" applyNumberFormat="1" applyFill="1" applyAlignment="1">
      <alignment horizontal="center" vertical="center"/>
    </xf>
    <xf numFmtId="0" fontId="0" fillId="3" borderId="73" xfId="0" applyFill="1" applyBorder="1" applyAlignment="1">
      <alignment horizontal="center" vertical="center"/>
    </xf>
    <xf numFmtId="0" fontId="0" fillId="3" borderId="73" xfId="0" applyFill="1" applyBorder="1" applyAlignment="1">
      <alignment horizontal="center" vertical="center" wrapText="1"/>
    </xf>
    <xf numFmtId="0" fontId="0" fillId="3" borderId="0" xfId="0" applyFill="1" applyAlignment="1">
      <alignment horizontal="center" vertical="center" wrapText="1"/>
    </xf>
    <xf numFmtId="0" fontId="78" fillId="3" borderId="0" xfId="0" applyFont="1" applyFill="1" applyBorder="1" applyAlignment="1">
      <alignment horizontal="center" vertical="center" wrapText="1"/>
    </xf>
    <xf numFmtId="0" fontId="0" fillId="3" borderId="62" xfId="0" applyFill="1" applyBorder="1" applyAlignment="1">
      <alignment horizontal="center" vertical="center" wrapText="1"/>
    </xf>
    <xf numFmtId="0" fontId="78" fillId="3" borderId="74" xfId="0" applyFont="1" applyFill="1" applyBorder="1" applyAlignment="1">
      <alignment horizontal="center" vertical="center" wrapText="1"/>
    </xf>
    <xf numFmtId="0" fontId="79" fillId="3" borderId="75" xfId="0" applyFont="1" applyFill="1" applyBorder="1" applyAlignment="1">
      <alignment horizontal="center" vertical="center" wrapText="1"/>
    </xf>
    <xf numFmtId="0" fontId="79" fillId="3" borderId="0" xfId="0" applyFont="1" applyFill="1" applyBorder="1" applyAlignment="1">
      <alignment horizontal="center" vertical="center" wrapText="1"/>
    </xf>
    <xf numFmtId="0" fontId="78" fillId="3" borderId="73" xfId="0" applyFont="1" applyFill="1" applyBorder="1" applyAlignment="1">
      <alignment horizontal="center" vertical="center" wrapText="1"/>
    </xf>
    <xf numFmtId="0" fontId="0" fillId="3" borderId="76" xfId="0" applyFill="1" applyBorder="1" applyAlignment="1">
      <alignment horizontal="center" vertical="center" wrapText="1"/>
    </xf>
    <xf numFmtId="10" fontId="0" fillId="3" borderId="67" xfId="0" applyNumberFormat="1" applyFill="1" applyBorder="1" applyAlignment="1">
      <alignment horizontal="center" vertical="center"/>
    </xf>
    <xf numFmtId="0" fontId="0" fillId="0" borderId="77" xfId="0" applyBorder="1"/>
    <xf numFmtId="0" fontId="19" fillId="0" borderId="0" xfId="0" applyFont="1" applyAlignment="1"/>
    <xf numFmtId="0" fontId="0" fillId="0" borderId="0" xfId="0" applyAlignment="1"/>
    <xf numFmtId="0" fontId="24" fillId="0" borderId="0" xfId="0" applyFont="1" applyBorder="1" applyAlignment="1">
      <alignment horizontal="center" vertical="justify"/>
    </xf>
    <xf numFmtId="165" fontId="67" fillId="0" borderId="7" xfId="0" applyNumberFormat="1" applyFont="1" applyBorder="1" applyAlignment="1">
      <alignment horizontal="right" vertical="center" wrapText="1"/>
    </xf>
    <xf numFmtId="39" fontId="22" fillId="0" borderId="9" xfId="5" applyNumberFormat="1" applyFont="1" applyFill="1" applyBorder="1" applyAlignment="1" applyProtection="1">
      <alignment horizontal="right" vertical="center" wrapText="1"/>
      <protection locked="0"/>
    </xf>
    <xf numFmtId="39" fontId="22" fillId="0" borderId="10" xfId="5" applyNumberFormat="1" applyFont="1" applyFill="1" applyBorder="1" applyAlignment="1" applyProtection="1">
      <alignment horizontal="right" vertical="center" wrapText="1"/>
      <protection locked="0"/>
    </xf>
    <xf numFmtId="166" fontId="22" fillId="0" borderId="9" xfId="5" applyNumberFormat="1" applyFont="1" applyFill="1" applyBorder="1" applyAlignment="1" applyProtection="1">
      <alignment horizontal="right" vertical="center" wrapText="1"/>
      <protection locked="0"/>
    </xf>
    <xf numFmtId="43" fontId="6" fillId="0" borderId="9" xfId="5" applyFont="1" applyBorder="1" applyAlignment="1" applyProtection="1">
      <alignment horizontal="center" vertical="center"/>
      <protection locked="0"/>
    </xf>
    <xf numFmtId="43" fontId="6" fillId="0" borderId="7" xfId="5" applyFont="1" applyBorder="1" applyAlignment="1" applyProtection="1">
      <alignment horizontal="center" vertical="center"/>
      <protection locked="0"/>
    </xf>
    <xf numFmtId="3" fontId="67" fillId="0" borderId="35" xfId="0" applyNumberFormat="1" applyFont="1" applyBorder="1" applyAlignment="1" applyProtection="1">
      <alignment horizontal="right" vertical="center" wrapText="1"/>
      <protection locked="0"/>
    </xf>
    <xf numFmtId="167" fontId="64" fillId="0" borderId="7" xfId="0" applyNumberFormat="1" applyFont="1" applyBorder="1" applyAlignment="1">
      <alignment horizontal="right" vertical="center"/>
    </xf>
    <xf numFmtId="167" fontId="64" fillId="0" borderId="7" xfId="0" applyNumberFormat="1" applyFont="1" applyBorder="1" applyAlignment="1" applyProtection="1">
      <alignment horizontal="right" vertical="center"/>
    </xf>
    <xf numFmtId="3" fontId="22" fillId="3" borderId="18" xfId="0" applyNumberFormat="1" applyFont="1" applyFill="1" applyBorder="1" applyAlignment="1" applyProtection="1">
      <alignment horizontal="right" vertical="center" wrapText="1"/>
    </xf>
    <xf numFmtId="168" fontId="24" fillId="0" borderId="9" xfId="0" applyNumberFormat="1" applyFont="1" applyBorder="1" applyAlignment="1">
      <alignment vertical="center" wrapText="1"/>
    </xf>
    <xf numFmtId="168" fontId="24" fillId="0" borderId="9" xfId="0" applyNumberFormat="1" applyFont="1" applyBorder="1" applyAlignment="1">
      <alignment horizontal="right" vertical="center" wrapText="1"/>
    </xf>
    <xf numFmtId="168" fontId="24" fillId="0" borderId="9" xfId="0" applyNumberFormat="1" applyFont="1" applyFill="1" applyBorder="1" applyAlignment="1" applyProtection="1">
      <alignment horizontal="right" vertical="center" wrapText="1"/>
    </xf>
    <xf numFmtId="168" fontId="20" fillId="0" borderId="9" xfId="8" applyNumberFormat="1" applyFont="1" applyBorder="1" applyAlignment="1">
      <alignment vertical="center" wrapText="1"/>
    </xf>
    <xf numFmtId="168" fontId="20" fillId="0" borderId="9" xfId="8" applyNumberFormat="1" applyFont="1" applyBorder="1" applyAlignment="1">
      <alignment horizontal="right" vertical="center" wrapText="1"/>
    </xf>
    <xf numFmtId="168" fontId="20" fillId="0" borderId="9" xfId="0" applyNumberFormat="1" applyFont="1" applyFill="1" applyBorder="1" applyAlignment="1" applyProtection="1">
      <alignment vertical="center" wrapText="1"/>
    </xf>
    <xf numFmtId="168" fontId="20" fillId="0" borderId="9" xfId="8" applyNumberFormat="1" applyFont="1" applyBorder="1" applyAlignment="1">
      <alignment horizontal="justify" vertical="center" wrapText="1"/>
    </xf>
    <xf numFmtId="168" fontId="20" fillId="0" borderId="9" xfId="0" applyNumberFormat="1" applyFont="1" applyFill="1" applyBorder="1" applyAlignment="1" applyProtection="1">
      <alignment horizontal="right" vertical="center" wrapText="1"/>
    </xf>
    <xf numFmtId="168" fontId="20" fillId="0" borderId="9" xfId="0" applyNumberFormat="1" applyFont="1" applyBorder="1" applyAlignment="1">
      <alignment vertical="center" wrapText="1"/>
    </xf>
    <xf numFmtId="168" fontId="20" fillId="0" borderId="9" xfId="0" applyNumberFormat="1" applyFont="1" applyBorder="1" applyAlignment="1">
      <alignment horizontal="right" vertical="center" wrapText="1"/>
    </xf>
    <xf numFmtId="168" fontId="20" fillId="0" borderId="9" xfId="0" applyNumberFormat="1" applyFont="1" applyBorder="1" applyAlignment="1">
      <alignment horizontal="justify" vertical="center" wrapText="1"/>
    </xf>
    <xf numFmtId="169" fontId="20" fillId="0" borderId="0" xfId="0" applyNumberFormat="1" applyFont="1"/>
    <xf numFmtId="168" fontId="20" fillId="0" borderId="0" xfId="0" applyNumberFormat="1" applyFont="1" applyAlignment="1"/>
    <xf numFmtId="0" fontId="20" fillId="0" borderId="46" xfId="0" applyFont="1" applyBorder="1" applyAlignment="1">
      <alignment horizontal="justify" vertical="top" wrapText="1"/>
    </xf>
    <xf numFmtId="168" fontId="20" fillId="0" borderId="46" xfId="0" applyNumberFormat="1" applyFont="1" applyBorder="1" applyAlignment="1">
      <alignment horizontal="right" vertical="center" wrapText="1"/>
    </xf>
    <xf numFmtId="168" fontId="20" fillId="0" borderId="46" xfId="0" applyNumberFormat="1" applyFont="1" applyFill="1" applyBorder="1" applyAlignment="1" applyProtection="1">
      <alignment vertical="center" wrapText="1"/>
    </xf>
    <xf numFmtId="168" fontId="20" fillId="0" borderId="46" xfId="0" applyNumberFormat="1" applyFont="1" applyFill="1" applyBorder="1" applyAlignment="1" applyProtection="1">
      <alignment horizontal="right" vertical="center" wrapText="1"/>
    </xf>
    <xf numFmtId="0" fontId="20" fillId="0" borderId="27" xfId="0" applyFont="1" applyBorder="1" applyAlignment="1">
      <alignment horizontal="center" vertical="top" wrapText="1"/>
    </xf>
    <xf numFmtId="0" fontId="24" fillId="0" borderId="27" xfId="0" applyFont="1" applyBorder="1" applyAlignment="1">
      <alignment horizontal="center" vertical="top" wrapText="1"/>
    </xf>
    <xf numFmtId="168" fontId="24" fillId="0" borderId="9" xfId="0" applyNumberFormat="1" applyFont="1" applyBorder="1" applyAlignment="1">
      <alignment horizontal="right" vertical="center" wrapText="1" indent="1"/>
    </xf>
    <xf numFmtId="168" fontId="20" fillId="0" borderId="9" xfId="0" applyNumberFormat="1" applyFont="1" applyBorder="1" applyAlignment="1">
      <alignment horizontal="right" vertical="center" wrapText="1" indent="1"/>
    </xf>
    <xf numFmtId="0" fontId="20" fillId="0" borderId="88" xfId="0" applyFont="1" applyBorder="1" applyAlignment="1">
      <alignment horizontal="center" vertical="top" wrapText="1"/>
    </xf>
    <xf numFmtId="0" fontId="24" fillId="0" borderId="6" xfId="0" applyFont="1" applyBorder="1" applyAlignment="1">
      <alignment horizontal="center" vertical="top" wrapText="1"/>
    </xf>
    <xf numFmtId="0" fontId="85" fillId="0" borderId="0" xfId="0" applyFont="1" applyAlignment="1">
      <alignment vertical="center"/>
    </xf>
    <xf numFmtId="0" fontId="21" fillId="0" borderId="22" xfId="0" applyFont="1" applyBorder="1" applyAlignment="1">
      <alignment vertical="center"/>
    </xf>
    <xf numFmtId="168" fontId="24" fillId="0" borderId="10" xfId="0" applyNumberFormat="1" applyFont="1" applyBorder="1" applyAlignment="1">
      <alignment vertical="center" wrapText="1"/>
    </xf>
    <xf numFmtId="169" fontId="35" fillId="0" borderId="27" xfId="0" applyNumberFormat="1" applyFont="1" applyFill="1" applyBorder="1" applyAlignment="1" applyProtection="1">
      <alignment horizontal="justify" vertical="center" wrapText="1"/>
      <protection locked="0"/>
    </xf>
    <xf numFmtId="169" fontId="35" fillId="0" borderId="0" xfId="0" applyNumberFormat="1" applyFont="1" applyFill="1" applyAlignment="1" applyProtection="1">
      <alignment vertical="center"/>
      <protection locked="0"/>
    </xf>
    <xf numFmtId="169" fontId="37" fillId="0" borderId="35" xfId="0" applyNumberFormat="1" applyFont="1" applyBorder="1" applyAlignment="1">
      <alignment vertical="center" wrapText="1"/>
    </xf>
    <xf numFmtId="4" fontId="35" fillId="0" borderId="9" xfId="0" applyNumberFormat="1" applyFont="1" applyFill="1" applyBorder="1" applyAlignment="1" applyProtection="1">
      <alignment horizontal="right" vertical="center" wrapText="1"/>
      <protection locked="0"/>
    </xf>
    <xf numFmtId="0" fontId="35" fillId="0" borderId="0" xfId="0" applyFont="1" applyAlignment="1">
      <alignment vertical="center"/>
    </xf>
    <xf numFmtId="0" fontId="86" fillId="0" borderId="87" xfId="0" applyFont="1" applyBorder="1" applyAlignment="1">
      <alignment horizontal="center" vertical="center"/>
    </xf>
    <xf numFmtId="0" fontId="86" fillId="0" borderId="0" xfId="0" applyFont="1" applyBorder="1" applyAlignment="1">
      <alignment horizontal="center" vertical="center"/>
    </xf>
    <xf numFmtId="0" fontId="86" fillId="0" borderId="12" xfId="0" applyFont="1" applyBorder="1" applyAlignment="1">
      <alignment horizontal="center" vertical="center"/>
    </xf>
    <xf numFmtId="0" fontId="38" fillId="0" borderId="37" xfId="0" applyFont="1" applyBorder="1" applyAlignment="1">
      <alignment horizontal="center" vertical="center"/>
    </xf>
    <xf numFmtId="168" fontId="38" fillId="0" borderId="37" xfId="5" applyNumberFormat="1" applyFont="1" applyBorder="1" applyAlignment="1">
      <alignment horizontal="center" vertical="center"/>
    </xf>
    <xf numFmtId="168" fontId="38" fillId="0" borderId="37" xfId="5" applyNumberFormat="1" applyFont="1" applyBorder="1" applyAlignment="1">
      <alignment horizontal="center" vertical="center" wrapText="1"/>
    </xf>
    <xf numFmtId="168" fontId="38" fillId="0" borderId="37" xfId="5" applyNumberFormat="1" applyFont="1" applyFill="1" applyBorder="1" applyAlignment="1">
      <alignment horizontal="center" vertical="center"/>
    </xf>
    <xf numFmtId="43" fontId="38" fillId="0" borderId="37" xfId="5" applyFont="1" applyBorder="1" applyAlignment="1">
      <alignment horizontal="center" vertical="center"/>
    </xf>
    <xf numFmtId="0" fontId="35" fillId="0" borderId="0" xfId="0" applyFont="1" applyAlignment="1">
      <alignment horizontal="center" vertical="center"/>
    </xf>
    <xf numFmtId="168" fontId="38" fillId="0" borderId="37" xfId="5" applyNumberFormat="1" applyFont="1" applyFill="1" applyBorder="1" applyAlignment="1">
      <alignment vertical="center"/>
    </xf>
    <xf numFmtId="43" fontId="38" fillId="0" borderId="37" xfId="5" applyFont="1" applyBorder="1" applyAlignment="1">
      <alignment horizontal="left" vertical="center" wrapText="1"/>
    </xf>
    <xf numFmtId="0" fontId="38" fillId="0" borderId="37" xfId="0" applyFont="1" applyBorder="1" applyAlignment="1">
      <alignment vertical="center"/>
    </xf>
    <xf numFmtId="0" fontId="38" fillId="0" borderId="37" xfId="0" applyFont="1" applyBorder="1" applyAlignment="1">
      <alignment vertical="center" wrapText="1"/>
    </xf>
    <xf numFmtId="168" fontId="38" fillId="0" borderId="37" xfId="5" applyNumberFormat="1" applyFont="1" applyBorder="1" applyAlignment="1">
      <alignment vertical="center"/>
    </xf>
    <xf numFmtId="0" fontId="38" fillId="0" borderId="46" xfId="0" applyFont="1" applyBorder="1" applyAlignment="1">
      <alignment vertical="center"/>
    </xf>
    <xf numFmtId="0" fontId="38" fillId="0" borderId="46" xfId="0" applyFont="1" applyBorder="1" applyAlignment="1">
      <alignment vertical="center" wrapText="1"/>
    </xf>
    <xf numFmtId="168" fontId="38" fillId="0" borderId="46" xfId="5" applyNumberFormat="1" applyFont="1" applyBorder="1" applyAlignment="1">
      <alignment vertical="center"/>
    </xf>
    <xf numFmtId="168" fontId="38" fillId="0" borderId="46" xfId="5" applyNumberFormat="1" applyFont="1" applyFill="1" applyBorder="1" applyAlignment="1">
      <alignment vertical="center"/>
    </xf>
    <xf numFmtId="43" fontId="38" fillId="0" borderId="37" xfId="5" applyFont="1" applyBorder="1" applyAlignment="1">
      <alignment vertical="center" wrapText="1"/>
    </xf>
    <xf numFmtId="0" fontId="38" fillId="0" borderId="96" xfId="0" applyFont="1" applyBorder="1" applyAlignment="1">
      <alignment vertical="center"/>
    </xf>
    <xf numFmtId="0" fontId="38" fillId="0" borderId="96" xfId="0" applyFont="1" applyBorder="1" applyAlignment="1">
      <alignment vertical="center" wrapText="1"/>
    </xf>
    <xf numFmtId="168" fontId="38" fillId="0" borderId="96" xfId="5" applyNumberFormat="1" applyFont="1" applyBorder="1" applyAlignment="1">
      <alignment vertical="center"/>
    </xf>
    <xf numFmtId="168" fontId="38" fillId="0" borderId="96" xfId="5" applyNumberFormat="1" applyFont="1" applyFill="1" applyBorder="1" applyAlignment="1">
      <alignment vertical="center"/>
    </xf>
    <xf numFmtId="0" fontId="38" fillId="0" borderId="37" xfId="5" applyNumberFormat="1" applyFont="1" applyBorder="1" applyAlignment="1">
      <alignment horizontal="justify" vertical="center" wrapText="1"/>
    </xf>
    <xf numFmtId="0" fontId="38" fillId="0" borderId="96" xfId="5" applyNumberFormat="1" applyFont="1" applyBorder="1" applyAlignment="1">
      <alignment vertical="center" wrapText="1"/>
    </xf>
    <xf numFmtId="43" fontId="38" fillId="0" borderId="37" xfId="5" applyFont="1" applyBorder="1" applyAlignment="1">
      <alignment vertical="top"/>
    </xf>
    <xf numFmtId="0" fontId="35" fillId="0" borderId="90" xfId="0" applyFont="1" applyBorder="1" applyAlignment="1">
      <alignment vertical="center"/>
    </xf>
    <xf numFmtId="168" fontId="35" fillId="0" borderId="90" xfId="5" applyNumberFormat="1" applyFont="1" applyBorder="1" applyAlignment="1">
      <alignment vertical="center"/>
    </xf>
    <xf numFmtId="168" fontId="35" fillId="0" borderId="0" xfId="5" applyNumberFormat="1" applyFont="1" applyFill="1" applyAlignment="1">
      <alignment vertical="center"/>
    </xf>
    <xf numFmtId="43" fontId="35" fillId="0" borderId="90" xfId="5" applyFont="1" applyBorder="1" applyAlignment="1">
      <alignment vertical="top"/>
    </xf>
    <xf numFmtId="43" fontId="23" fillId="0" borderId="0" xfId="5" applyFont="1" applyAlignment="1">
      <alignment horizontal="center" vertical="top"/>
    </xf>
    <xf numFmtId="168" fontId="35" fillId="0" borderId="0" xfId="5" applyNumberFormat="1" applyFont="1" applyAlignment="1">
      <alignment vertical="center"/>
    </xf>
    <xf numFmtId="43" fontId="35" fillId="0" borderId="0" xfId="5" applyFont="1" applyAlignment="1">
      <alignment vertical="top"/>
    </xf>
    <xf numFmtId="4" fontId="20" fillId="0" borderId="9" xfId="0" applyNumberFormat="1" applyFont="1" applyBorder="1" applyAlignment="1" applyProtection="1">
      <alignment horizontal="center" vertical="top" wrapText="1"/>
      <protection locked="0"/>
    </xf>
    <xf numFmtId="4" fontId="20" fillId="0" borderId="9" xfId="0" applyNumberFormat="1" applyFont="1" applyBorder="1" applyAlignment="1" applyProtection="1">
      <alignment horizontal="right" vertical="center" wrapText="1"/>
      <protection locked="0"/>
    </xf>
    <xf numFmtId="4" fontId="24" fillId="0" borderId="9" xfId="0" applyNumberFormat="1" applyFont="1" applyBorder="1" applyAlignment="1" applyProtection="1">
      <alignment horizontal="right" vertical="center" wrapText="1"/>
      <protection locked="0"/>
    </xf>
    <xf numFmtId="4" fontId="24" fillId="0" borderId="7" xfId="0" applyNumberFormat="1" applyFont="1" applyBorder="1" applyAlignment="1" applyProtection="1">
      <alignment horizontal="right" vertical="center" wrapText="1"/>
      <protection locked="0"/>
    </xf>
    <xf numFmtId="4" fontId="20" fillId="0" borderId="7" xfId="0" applyNumberFormat="1" applyFont="1" applyBorder="1" applyAlignment="1" applyProtection="1">
      <alignment horizontal="right" vertical="center" wrapText="1"/>
      <protection locked="0"/>
    </xf>
    <xf numFmtId="168" fontId="20" fillId="0" borderId="12" xfId="0" applyNumberFormat="1" applyFont="1" applyBorder="1" applyAlignment="1">
      <alignment horizontal="justify" vertical="center" wrapText="1"/>
    </xf>
    <xf numFmtId="168" fontId="20" fillId="0" borderId="12" xfId="0" applyNumberFormat="1" applyFont="1" applyBorder="1" applyAlignment="1">
      <alignment horizontal="right" vertical="center" wrapText="1"/>
    </xf>
    <xf numFmtId="168" fontId="20" fillId="0" borderId="12" xfId="0" applyNumberFormat="1" applyFont="1" applyBorder="1" applyAlignment="1">
      <alignment vertical="center" wrapText="1"/>
    </xf>
    <xf numFmtId="168" fontId="21" fillId="0" borderId="0" xfId="0" applyNumberFormat="1" applyFont="1"/>
    <xf numFmtId="168" fontId="87" fillId="0" borderId="0" xfId="0" applyNumberFormat="1" applyFont="1" applyAlignment="1">
      <alignment vertical="center"/>
    </xf>
    <xf numFmtId="168" fontId="87" fillId="0" borderId="0" xfId="0" applyNumberFormat="1" applyFont="1" applyBorder="1" applyAlignment="1">
      <alignment vertical="center"/>
    </xf>
    <xf numFmtId="168" fontId="87" fillId="0" borderId="9" xfId="0" applyNumberFormat="1" applyFont="1" applyBorder="1" applyAlignment="1">
      <alignment vertical="center"/>
    </xf>
    <xf numFmtId="168" fontId="87" fillId="0" borderId="90" xfId="0" applyNumberFormat="1" applyFont="1" applyBorder="1" applyAlignment="1">
      <alignment vertical="center"/>
    </xf>
    <xf numFmtId="169" fontId="87" fillId="0" borderId="0" xfId="0" applyNumberFormat="1" applyFont="1" applyAlignment="1">
      <alignment horizontal="right" vertical="center"/>
    </xf>
    <xf numFmtId="169" fontId="87" fillId="0" borderId="0" xfId="0" applyNumberFormat="1" applyFont="1" applyBorder="1" applyAlignment="1">
      <alignment horizontal="right" vertical="center"/>
    </xf>
    <xf numFmtId="168" fontId="87" fillId="0" borderId="0" xfId="0" applyNumberFormat="1" applyFont="1" applyAlignment="1">
      <alignment horizontal="right" vertical="center"/>
    </xf>
    <xf numFmtId="4" fontId="87" fillId="0" borderId="0" xfId="0" applyNumberFormat="1" applyFont="1" applyBorder="1" applyAlignment="1">
      <alignment vertical="center"/>
    </xf>
    <xf numFmtId="168" fontId="87" fillId="0" borderId="0" xfId="0" applyNumberFormat="1" applyFont="1" applyBorder="1" applyAlignment="1">
      <alignment horizontal="right" vertical="center"/>
    </xf>
    <xf numFmtId="168" fontId="87" fillId="0" borderId="46" xfId="0" applyNumberFormat="1" applyFont="1" applyBorder="1" applyAlignment="1">
      <alignment horizontal="right" vertical="center"/>
    </xf>
    <xf numFmtId="168" fontId="87" fillId="0" borderId="90" xfId="0" applyNumberFormat="1" applyFont="1" applyBorder="1" applyAlignment="1">
      <alignment horizontal="right" vertical="center"/>
    </xf>
    <xf numFmtId="168" fontId="87" fillId="0" borderId="9" xfId="0" applyNumberFormat="1" applyFont="1" applyBorder="1" applyAlignment="1">
      <alignment horizontal="right" vertical="center"/>
    </xf>
    <xf numFmtId="168" fontId="20" fillId="0" borderId="0" xfId="0" applyNumberFormat="1" applyFont="1" applyAlignment="1">
      <alignment vertical="center"/>
    </xf>
    <xf numFmtId="0" fontId="20" fillId="0" borderId="0" xfId="0" applyFont="1" applyAlignment="1">
      <alignment vertical="center"/>
    </xf>
    <xf numFmtId="0" fontId="38" fillId="0" borderId="21" xfId="0" applyFont="1" applyFill="1" applyBorder="1" applyAlignment="1">
      <alignment horizontal="center" vertical="center" wrapText="1"/>
    </xf>
    <xf numFmtId="49" fontId="38" fillId="0" borderId="28" xfId="0" applyNumberFormat="1" applyFont="1" applyFill="1" applyBorder="1" applyAlignment="1">
      <alignment horizontal="center" vertical="center" wrapText="1"/>
    </xf>
    <xf numFmtId="0" fontId="37" fillId="0" borderId="0" xfId="0" applyFont="1" applyAlignment="1">
      <alignment vertical="center"/>
    </xf>
    <xf numFmtId="3" fontId="24" fillId="0" borderId="9" xfId="0" applyNumberFormat="1" applyFont="1" applyBorder="1" applyAlignment="1" applyProtection="1">
      <alignment horizontal="right" vertical="center" wrapText="1"/>
    </xf>
    <xf numFmtId="3" fontId="24" fillId="0" borderId="28" xfId="0" applyNumberFormat="1" applyFont="1" applyBorder="1" applyAlignment="1" applyProtection="1">
      <alignment horizontal="right" vertical="center" wrapText="1"/>
    </xf>
    <xf numFmtId="0" fontId="24" fillId="0" borderId="34" xfId="0" applyFont="1" applyBorder="1" applyAlignment="1" applyProtection="1">
      <alignment vertical="center" wrapText="1"/>
    </xf>
    <xf numFmtId="0" fontId="24" fillId="0" borderId="27" xfId="0" applyFont="1" applyBorder="1" applyAlignment="1" applyProtection="1">
      <alignment vertical="center" wrapText="1"/>
    </xf>
    <xf numFmtId="43" fontId="38" fillId="0" borderId="0" xfId="0" applyNumberFormat="1" applyFont="1" applyFill="1" applyAlignment="1" applyProtection="1">
      <alignment vertical="center"/>
    </xf>
    <xf numFmtId="9" fontId="81" fillId="0" borderId="28" xfId="14" applyFont="1" applyBorder="1" applyAlignment="1">
      <alignment horizontal="center" vertical="center" wrapText="1"/>
    </xf>
    <xf numFmtId="9" fontId="41" fillId="0" borderId="28" xfId="14" applyFont="1" applyBorder="1" applyAlignment="1">
      <alignment horizontal="center" vertical="center" wrapText="1"/>
    </xf>
    <xf numFmtId="9" fontId="41" fillId="0" borderId="89" xfId="14" applyFont="1" applyBorder="1" applyAlignment="1">
      <alignment horizontal="center" vertical="center" wrapText="1"/>
    </xf>
    <xf numFmtId="168" fontId="20" fillId="0" borderId="46" xfId="0" applyNumberFormat="1" applyFont="1" applyBorder="1" applyAlignment="1">
      <alignment vertical="center" wrapText="1"/>
    </xf>
    <xf numFmtId="168" fontId="86" fillId="0" borderId="0" xfId="0" applyNumberFormat="1" applyFont="1" applyBorder="1" applyAlignment="1">
      <alignment vertical="center"/>
    </xf>
    <xf numFmtId="43" fontId="38" fillId="0" borderId="9" xfId="5" applyFont="1" applyBorder="1" applyAlignment="1">
      <alignment horizontal="left" vertical="center" wrapText="1"/>
    </xf>
    <xf numFmtId="43" fontId="38" fillId="0" borderId="46" xfId="5" applyFont="1" applyBorder="1" applyAlignment="1">
      <alignment horizontal="left" vertical="center" wrapText="1"/>
    </xf>
    <xf numFmtId="43" fontId="38" fillId="0" borderId="96" xfId="5" applyFont="1" applyBorder="1" applyAlignment="1">
      <alignment horizontal="left" vertical="center" wrapText="1"/>
    </xf>
    <xf numFmtId="43" fontId="38" fillId="0" borderId="37" xfId="5" applyFont="1" applyFill="1" applyBorder="1" applyAlignment="1">
      <alignment horizontal="left" vertical="center" wrapText="1"/>
    </xf>
    <xf numFmtId="0" fontId="38" fillId="0" borderId="9" xfId="0" applyFont="1" applyBorder="1" applyAlignment="1">
      <alignment vertical="center"/>
    </xf>
    <xf numFmtId="0" fontId="38" fillId="0" borderId="9" xfId="0" applyFont="1" applyBorder="1" applyAlignment="1">
      <alignment vertical="center" wrapText="1"/>
    </xf>
    <xf numFmtId="168" fontId="38" fillId="0" borderId="9" xfId="5" applyNumberFormat="1" applyFont="1" applyBorder="1" applyAlignment="1">
      <alignment vertical="center"/>
    </xf>
    <xf numFmtId="168" fontId="38" fillId="0" borderId="9" xfId="5" applyNumberFormat="1" applyFont="1" applyFill="1" applyBorder="1" applyAlignment="1">
      <alignment vertical="center"/>
    </xf>
    <xf numFmtId="43" fontId="38" fillId="0" borderId="96" xfId="5" applyFont="1" applyFill="1" applyBorder="1" applyAlignment="1">
      <alignment vertical="center" wrapText="1"/>
    </xf>
    <xf numFmtId="43" fontId="38" fillId="0" borderId="46" xfId="5" applyFont="1" applyFill="1" applyBorder="1" applyAlignment="1">
      <alignment vertical="center" wrapText="1"/>
    </xf>
    <xf numFmtId="43" fontId="38" fillId="0" borderId="37" xfId="5" applyFont="1" applyFill="1" applyBorder="1" applyAlignment="1">
      <alignment vertical="center" wrapText="1"/>
    </xf>
    <xf numFmtId="0" fontId="88" fillId="0" borderId="0" xfId="9" applyFont="1" applyAlignment="1">
      <alignment vertical="center"/>
    </xf>
    <xf numFmtId="0" fontId="16" fillId="0" borderId="0" xfId="9" applyFont="1" applyBorder="1" applyAlignment="1">
      <alignment horizontal="center" vertical="center"/>
    </xf>
    <xf numFmtId="0" fontId="16" fillId="0" borderId="0" xfId="9" applyFont="1" applyBorder="1" applyAlignment="1">
      <alignment horizontal="center" vertical="center" wrapText="1"/>
    </xf>
    <xf numFmtId="0" fontId="88" fillId="0" borderId="0" xfId="9" applyFont="1" applyBorder="1" applyAlignment="1">
      <alignment horizontal="center" vertical="center"/>
    </xf>
    <xf numFmtId="0" fontId="88" fillId="0" borderId="0" xfId="9" applyFont="1" applyAlignment="1">
      <alignment horizontal="center" vertical="center"/>
    </xf>
    <xf numFmtId="0" fontId="88" fillId="0" borderId="97" xfId="9" applyFont="1" applyBorder="1" applyAlignment="1">
      <alignment horizontal="center" vertical="center"/>
    </xf>
    <xf numFmtId="0" fontId="88" fillId="0" borderId="97" xfId="9" applyFont="1" applyBorder="1" applyAlignment="1">
      <alignment horizontal="justify" vertical="center" wrapText="1"/>
    </xf>
    <xf numFmtId="0" fontId="88" fillId="0" borderId="97" xfId="9" applyFont="1" applyBorder="1" applyAlignment="1">
      <alignment horizontal="center" vertical="center" wrapText="1"/>
    </xf>
    <xf numFmtId="4" fontId="88" fillId="0" borderId="97" xfId="9" applyNumberFormat="1" applyFont="1" applyBorder="1" applyAlignment="1">
      <alignment horizontal="center" vertical="center"/>
    </xf>
    <xf numFmtId="4" fontId="88" fillId="0" borderId="0" xfId="9" applyNumberFormat="1" applyFont="1" applyAlignment="1">
      <alignment vertical="center"/>
    </xf>
    <xf numFmtId="0" fontId="88" fillId="0" borderId="99" xfId="9" applyFont="1" applyBorder="1" applyAlignment="1">
      <alignment horizontal="center" vertical="center"/>
    </xf>
    <xf numFmtId="4" fontId="88" fillId="0" borderId="100" xfId="9" applyNumberFormat="1" applyFont="1" applyBorder="1" applyAlignment="1">
      <alignment vertical="center"/>
    </xf>
    <xf numFmtId="0" fontId="16" fillId="0" borderId="106" xfId="9" applyFont="1" applyBorder="1" applyAlignment="1">
      <alignment horizontal="center" vertical="center" wrapText="1"/>
    </xf>
    <xf numFmtId="0" fontId="88" fillId="0" borderId="110" xfId="9" applyFont="1" applyBorder="1" applyAlignment="1">
      <alignment horizontal="center" vertical="center"/>
    </xf>
    <xf numFmtId="0" fontId="16" fillId="0" borderId="112" xfId="9" applyFont="1" applyBorder="1" applyAlignment="1">
      <alignment horizontal="center" vertical="center" wrapText="1"/>
    </xf>
    <xf numFmtId="0" fontId="16" fillId="0" borderId="113" xfId="9" applyFont="1" applyBorder="1" applyAlignment="1">
      <alignment horizontal="center" vertical="center" wrapText="1"/>
    </xf>
    <xf numFmtId="0" fontId="16" fillId="0" borderId="109" xfId="9" applyFont="1" applyBorder="1" applyAlignment="1">
      <alignment horizontal="center" vertical="center"/>
    </xf>
    <xf numFmtId="4" fontId="16" fillId="0" borderId="103" xfId="9" applyNumberFormat="1" applyFont="1" applyBorder="1" applyAlignment="1">
      <alignment horizontal="center" vertical="center"/>
    </xf>
    <xf numFmtId="0" fontId="16" fillId="0" borderId="103" xfId="9" applyFont="1" applyBorder="1" applyAlignment="1">
      <alignment horizontal="center" vertical="center"/>
    </xf>
    <xf numFmtId="0" fontId="88" fillId="0" borderId="115" xfId="9" applyFont="1" applyBorder="1" applyAlignment="1">
      <alignment horizontal="center" vertical="center"/>
    </xf>
    <xf numFmtId="0" fontId="88" fillId="0" borderId="116" xfId="9" applyFont="1" applyBorder="1" applyAlignment="1">
      <alignment horizontal="center" vertical="center"/>
    </xf>
    <xf numFmtId="0" fontId="16" fillId="0" borderId="124" xfId="9" applyFont="1" applyBorder="1" applyAlignment="1">
      <alignment horizontal="center" vertical="center" wrapText="1"/>
    </xf>
    <xf numFmtId="0" fontId="16" fillId="0" borderId="126" xfId="9" applyFont="1" applyBorder="1" applyAlignment="1">
      <alignment horizontal="center" vertical="center" wrapText="1"/>
    </xf>
    <xf numFmtId="0" fontId="16" fillId="0" borderId="127" xfId="9" applyFont="1" applyBorder="1" applyAlignment="1">
      <alignment horizontal="center" vertical="center" wrapText="1"/>
    </xf>
    <xf numFmtId="0" fontId="16" fillId="0" borderId="128" xfId="9" applyFont="1" applyBorder="1" applyAlignment="1">
      <alignment horizontal="center" vertical="center" wrapText="1"/>
    </xf>
    <xf numFmtId="0" fontId="16" fillId="0" borderId="129" xfId="9" applyFont="1" applyBorder="1" applyAlignment="1">
      <alignment horizontal="center" vertical="center" wrapText="1"/>
    </xf>
    <xf numFmtId="0" fontId="16" fillId="0" borderId="119" xfId="9" applyFont="1" applyBorder="1" applyAlignment="1">
      <alignment horizontal="center" vertical="center" wrapText="1"/>
    </xf>
    <xf numFmtId="0" fontId="16" fillId="0" borderId="107" xfId="9" applyFont="1" applyBorder="1" applyAlignment="1">
      <alignment horizontal="center" vertical="center" wrapText="1"/>
    </xf>
    <xf numFmtId="0" fontId="16" fillId="0" borderId="130" xfId="9" applyFont="1" applyBorder="1" applyAlignment="1">
      <alignment horizontal="center" vertical="center" wrapText="1"/>
    </xf>
    <xf numFmtId="49" fontId="88" fillId="0" borderId="132" xfId="9" applyNumberFormat="1" applyFont="1" applyBorder="1" applyAlignment="1">
      <alignment horizontal="center" vertical="center" wrapText="1"/>
    </xf>
    <xf numFmtId="49" fontId="88" fillId="0" borderId="133" xfId="9" applyNumberFormat="1" applyFont="1" applyBorder="1" applyAlignment="1">
      <alignment horizontal="center" vertical="center" wrapText="1"/>
    </xf>
    <xf numFmtId="49" fontId="88" fillId="0" borderId="134" xfId="9" applyNumberFormat="1" applyFont="1" applyBorder="1" applyAlignment="1">
      <alignment horizontal="center" vertical="center" wrapText="1"/>
    </xf>
    <xf numFmtId="0" fontId="88" fillId="0" borderId="113" xfId="9" applyFont="1" applyBorder="1" applyAlignment="1">
      <alignment horizontal="left" vertical="center" wrapText="1"/>
    </xf>
    <xf numFmtId="0" fontId="88" fillId="0" borderId="113" xfId="9" applyFont="1" applyBorder="1" applyAlignment="1">
      <alignment horizontal="center" vertical="center" wrapText="1"/>
    </xf>
    <xf numFmtId="0" fontId="88" fillId="0" borderId="135" xfId="9" applyFont="1" applyBorder="1" applyAlignment="1">
      <alignment horizontal="center" vertical="center" wrapText="1"/>
    </xf>
    <xf numFmtId="0" fontId="88" fillId="0" borderId="136" xfId="9" applyFont="1" applyBorder="1" applyAlignment="1">
      <alignment horizontal="center" vertical="center"/>
    </xf>
    <xf numFmtId="0" fontId="88" fillId="0" borderId="113" xfId="9" applyFont="1" applyBorder="1" applyAlignment="1">
      <alignment horizontal="center" vertical="center"/>
    </xf>
    <xf numFmtId="0" fontId="88" fillId="0" borderId="137" xfId="9" applyFont="1" applyBorder="1" applyAlignment="1">
      <alignment horizontal="center" vertical="center"/>
    </xf>
    <xf numFmtId="170" fontId="88" fillId="0" borderId="138" xfId="7" applyNumberFormat="1" applyFont="1" applyBorder="1" applyAlignment="1">
      <alignment horizontal="center" vertical="center" wrapText="1"/>
    </xf>
    <xf numFmtId="170" fontId="88" fillId="0" borderId="139" xfId="7" applyNumberFormat="1" applyFont="1" applyBorder="1" applyAlignment="1">
      <alignment horizontal="center" vertical="center" wrapText="1"/>
    </xf>
    <xf numFmtId="170" fontId="88" fillId="0" borderId="140" xfId="7" applyNumberFormat="1" applyFont="1" applyBorder="1" applyAlignment="1">
      <alignment horizontal="center" vertical="center" wrapText="1"/>
    </xf>
    <xf numFmtId="170" fontId="88" fillId="0" borderId="133" xfId="7" applyNumberFormat="1" applyFont="1" applyBorder="1" applyAlignment="1">
      <alignment horizontal="center" vertical="center" wrapText="1"/>
    </xf>
    <xf numFmtId="170" fontId="88" fillId="0" borderId="113" xfId="9" applyNumberFormat="1" applyFont="1" applyBorder="1" applyAlignment="1">
      <alignment horizontal="center" vertical="center" wrapText="1"/>
    </xf>
    <xf numFmtId="9" fontId="88" fillId="0" borderId="141" xfId="9" applyNumberFormat="1" applyFont="1" applyBorder="1" applyAlignment="1">
      <alignment horizontal="center" vertical="center" wrapText="1"/>
    </xf>
    <xf numFmtId="49" fontId="88" fillId="0" borderId="112" xfId="9" applyNumberFormat="1" applyFont="1" applyBorder="1" applyAlignment="1">
      <alignment horizontal="center" vertical="center" wrapText="1"/>
    </xf>
    <xf numFmtId="49" fontId="88" fillId="0" borderId="113" xfId="9" applyNumberFormat="1" applyFont="1" applyBorder="1" applyAlignment="1">
      <alignment horizontal="center" vertical="center" wrapText="1"/>
    </xf>
    <xf numFmtId="49" fontId="88" fillId="0" borderId="114" xfId="9" applyNumberFormat="1" applyFont="1" applyBorder="1" applyAlignment="1">
      <alignment horizontal="center" vertical="center" wrapText="1"/>
    </xf>
    <xf numFmtId="49" fontId="88" fillId="0" borderId="113" xfId="9" applyNumberFormat="1" applyFont="1" applyBorder="1" applyAlignment="1">
      <alignment horizontal="justify" vertical="center" wrapText="1"/>
    </xf>
    <xf numFmtId="3" fontId="88" fillId="0" borderId="113" xfId="9" applyNumberFormat="1" applyFont="1" applyBorder="1" applyAlignment="1">
      <alignment horizontal="center" vertical="center" wrapText="1"/>
    </xf>
    <xf numFmtId="3" fontId="88" fillId="0" borderId="135" xfId="9" applyNumberFormat="1" applyFont="1" applyBorder="1" applyAlignment="1">
      <alignment horizontal="center" vertical="center" wrapText="1"/>
    </xf>
    <xf numFmtId="3" fontId="88" fillId="0" borderId="142" xfId="9" applyNumberFormat="1" applyFont="1" applyBorder="1" applyAlignment="1">
      <alignment horizontal="center" vertical="center"/>
    </xf>
    <xf numFmtId="3" fontId="88" fillId="0" borderId="113" xfId="9" applyNumberFormat="1" applyFont="1" applyBorder="1" applyAlignment="1">
      <alignment horizontal="center" vertical="center"/>
    </xf>
    <xf numFmtId="3" fontId="88" fillId="0" borderId="137" xfId="9" applyNumberFormat="1" applyFont="1" applyBorder="1" applyAlignment="1">
      <alignment horizontal="center" vertical="center"/>
    </xf>
    <xf numFmtId="170" fontId="88" fillId="0" borderId="143" xfId="7" applyNumberFormat="1" applyFont="1" applyBorder="1" applyAlignment="1">
      <alignment horizontal="center" vertical="center" wrapText="1"/>
    </xf>
    <xf numFmtId="170" fontId="88" fillId="0" borderId="144" xfId="7" applyNumberFormat="1" applyFont="1" applyBorder="1" applyAlignment="1">
      <alignment horizontal="center" vertical="center" wrapText="1"/>
    </xf>
    <xf numFmtId="170" fontId="88" fillId="0" borderId="135" xfId="7" applyNumberFormat="1" applyFont="1" applyBorder="1" applyAlignment="1">
      <alignment horizontal="center" vertical="center" wrapText="1"/>
    </xf>
    <xf numFmtId="171" fontId="88" fillId="0" borderId="113" xfId="9" applyNumberFormat="1" applyFont="1" applyBorder="1" applyAlignment="1">
      <alignment horizontal="center" vertical="center" wrapText="1"/>
    </xf>
    <xf numFmtId="9" fontId="88" fillId="0" borderId="0" xfId="9" applyNumberFormat="1" applyFont="1" applyAlignment="1">
      <alignment vertical="center"/>
    </xf>
    <xf numFmtId="172" fontId="88" fillId="0" borderId="113" xfId="9" applyNumberFormat="1" applyFont="1" applyBorder="1" applyAlignment="1">
      <alignment horizontal="justify" vertical="center" wrapText="1"/>
    </xf>
    <xf numFmtId="3" fontId="88" fillId="0" borderId="142" xfId="9" applyNumberFormat="1" applyFont="1" applyBorder="1" applyAlignment="1">
      <alignment horizontal="center" vertical="center" wrapText="1"/>
    </xf>
    <xf numFmtId="1" fontId="88" fillId="0" borderId="142" xfId="9" applyNumberFormat="1" applyFont="1" applyBorder="1" applyAlignment="1">
      <alignment horizontal="center" vertical="center"/>
    </xf>
    <xf numFmtId="1" fontId="88" fillId="0" borderId="113" xfId="9" applyNumberFormat="1" applyFont="1" applyBorder="1" applyAlignment="1">
      <alignment horizontal="center" vertical="center"/>
    </xf>
    <xf numFmtId="1" fontId="88" fillId="0" borderId="137" xfId="9" applyNumberFormat="1" applyFont="1" applyBorder="1" applyAlignment="1">
      <alignment horizontal="center" vertical="center"/>
    </xf>
    <xf numFmtId="10" fontId="88" fillId="0" borderId="0" xfId="9" applyNumberFormat="1" applyFont="1" applyAlignment="1">
      <alignment vertical="center"/>
    </xf>
    <xf numFmtId="49" fontId="88" fillId="0" borderId="142" xfId="9" applyNumberFormat="1" applyFont="1" applyBorder="1" applyAlignment="1">
      <alignment horizontal="center" vertical="center" wrapText="1"/>
    </xf>
    <xf numFmtId="3" fontId="88" fillId="0" borderId="0" xfId="9" applyNumberFormat="1" applyFont="1" applyAlignment="1">
      <alignment horizontal="center" vertical="center"/>
    </xf>
    <xf numFmtId="3" fontId="88" fillId="0" borderId="145" xfId="9" applyNumberFormat="1" applyFont="1" applyBorder="1" applyAlignment="1">
      <alignment horizontal="center" vertical="center"/>
    </xf>
    <xf numFmtId="3" fontId="88" fillId="0" borderId="146" xfId="9" applyNumberFormat="1" applyFont="1" applyBorder="1" applyAlignment="1">
      <alignment horizontal="center" vertical="center"/>
    </xf>
    <xf numFmtId="3" fontId="88" fillId="0" borderId="147" xfId="9" applyNumberFormat="1" applyFont="1" applyBorder="1" applyAlignment="1">
      <alignment horizontal="center" vertical="center"/>
    </xf>
    <xf numFmtId="3" fontId="88" fillId="0" borderId="143" xfId="7" applyNumberFormat="1" applyFont="1" applyBorder="1" applyAlignment="1">
      <alignment horizontal="center" vertical="center" wrapText="1"/>
    </xf>
    <xf numFmtId="3" fontId="88" fillId="0" borderId="144" xfId="7" applyNumberFormat="1" applyFont="1" applyBorder="1" applyAlignment="1">
      <alignment horizontal="center" vertical="center" wrapText="1"/>
    </xf>
    <xf numFmtId="3" fontId="88" fillId="0" borderId="135" xfId="7" applyNumberFormat="1" applyFont="1" applyBorder="1" applyAlignment="1">
      <alignment horizontal="center" vertical="center" wrapText="1"/>
    </xf>
    <xf numFmtId="3" fontId="89" fillId="0" borderId="114" xfId="7" applyNumberFormat="1" applyFont="1" applyBorder="1" applyAlignment="1">
      <alignment horizontal="center" vertical="center"/>
    </xf>
    <xf numFmtId="0" fontId="88" fillId="0" borderId="113" xfId="9" applyFont="1" applyBorder="1" applyAlignment="1">
      <alignment horizontal="justify" vertical="center" wrapText="1"/>
    </xf>
    <xf numFmtId="0" fontId="88" fillId="0" borderId="135" xfId="9" applyFont="1" applyBorder="1" applyAlignment="1">
      <alignment horizontal="center" vertical="center"/>
    </xf>
    <xf numFmtId="0" fontId="88" fillId="0" borderId="142" xfId="9" applyFont="1" applyBorder="1" applyAlignment="1">
      <alignment horizontal="center" vertical="center"/>
    </xf>
    <xf numFmtId="170" fontId="88" fillId="0" borderId="0" xfId="7" applyNumberFormat="1" applyFont="1" applyAlignment="1">
      <alignment horizontal="center" vertical="center"/>
    </xf>
    <xf numFmtId="170" fontId="88" fillId="0" borderId="135" xfId="7" applyNumberFormat="1" applyFont="1" applyFill="1" applyBorder="1" applyAlignment="1">
      <alignment horizontal="center" vertical="center" wrapText="1"/>
    </xf>
    <xf numFmtId="49" fontId="88" fillId="0" borderId="124" xfId="9" applyNumberFormat="1" applyFont="1" applyBorder="1" applyAlignment="1">
      <alignment horizontal="center" vertical="center" wrapText="1"/>
    </xf>
    <xf numFmtId="49" fontId="88" fillId="0" borderId="125" xfId="9" applyNumberFormat="1" applyFont="1" applyBorder="1" applyAlignment="1">
      <alignment horizontal="center" vertical="center" wrapText="1"/>
    </xf>
    <xf numFmtId="3" fontId="88" fillId="0" borderId="124" xfId="9" applyNumberFormat="1" applyFont="1" applyBorder="1" applyAlignment="1">
      <alignment horizontal="center" vertical="center" wrapText="1"/>
    </xf>
    <xf numFmtId="3" fontId="88" fillId="0" borderId="129" xfId="9" applyNumberFormat="1" applyFont="1" applyBorder="1" applyAlignment="1">
      <alignment horizontal="center" vertical="center" wrapText="1"/>
    </xf>
    <xf numFmtId="3" fontId="88" fillId="0" borderId="148" xfId="9" applyNumberFormat="1" applyFont="1" applyBorder="1" applyAlignment="1">
      <alignment horizontal="center" vertical="center"/>
    </xf>
    <xf numFmtId="3" fontId="88" fillId="0" borderId="124" xfId="9" applyNumberFormat="1" applyFont="1" applyBorder="1" applyAlignment="1">
      <alignment horizontal="center" vertical="center"/>
    </xf>
    <xf numFmtId="3" fontId="88" fillId="0" borderId="127" xfId="9" applyNumberFormat="1" applyFont="1" applyBorder="1" applyAlignment="1">
      <alignment horizontal="center" vertical="center"/>
    </xf>
    <xf numFmtId="170" fontId="88" fillId="0" borderId="149" xfId="7" applyNumberFormat="1" applyFont="1" applyBorder="1" applyAlignment="1">
      <alignment horizontal="center" vertical="center" wrapText="1"/>
    </xf>
    <xf numFmtId="170" fontId="88" fillId="0" borderId="150" xfId="7" applyNumberFormat="1" applyFont="1" applyBorder="1" applyAlignment="1">
      <alignment horizontal="center" vertical="center" wrapText="1"/>
    </xf>
    <xf numFmtId="170" fontId="88" fillId="0" borderId="129" xfId="7" applyNumberFormat="1" applyFont="1" applyBorder="1" applyAlignment="1">
      <alignment horizontal="center" vertical="center" wrapText="1"/>
    </xf>
    <xf numFmtId="170" fontId="88" fillId="0" borderId="151" xfId="7" applyNumberFormat="1" applyFont="1" applyBorder="1" applyAlignment="1">
      <alignment horizontal="center" vertical="center" wrapText="1"/>
    </xf>
    <xf numFmtId="171" fontId="88" fillId="0" borderId="124" xfId="9" applyNumberFormat="1" applyFont="1" applyBorder="1" applyAlignment="1">
      <alignment horizontal="center" vertical="center" wrapText="1"/>
    </xf>
    <xf numFmtId="9" fontId="88" fillId="0" borderId="152" xfId="9" applyNumberFormat="1" applyFont="1" applyBorder="1" applyAlignment="1">
      <alignment horizontal="center" vertical="center" wrapText="1"/>
    </xf>
    <xf numFmtId="4" fontId="88" fillId="0" borderId="153" xfId="9" applyNumberFormat="1" applyFont="1" applyBorder="1" applyAlignment="1">
      <alignment horizontal="center" vertical="center"/>
    </xf>
    <xf numFmtId="0" fontId="88" fillId="0" borderId="0" xfId="9" applyFont="1" applyBorder="1" applyAlignment="1">
      <alignment horizontal="left" vertical="center"/>
    </xf>
    <xf numFmtId="0" fontId="88" fillId="0" borderId="0" xfId="9" applyFont="1" applyBorder="1" applyAlignment="1">
      <alignment horizontal="left" vertical="center" wrapText="1"/>
    </xf>
    <xf numFmtId="4" fontId="88" fillId="0" borderId="0" xfId="9" applyNumberFormat="1" applyFont="1" applyBorder="1" applyAlignment="1">
      <alignment horizontal="center" vertical="center"/>
    </xf>
    <xf numFmtId="49" fontId="88" fillId="0" borderId="0" xfId="9" applyNumberFormat="1" applyFont="1" applyBorder="1" applyAlignment="1">
      <alignment horizontal="center" vertical="center" wrapText="1"/>
    </xf>
    <xf numFmtId="49" fontId="88" fillId="0" borderId="0" xfId="9" applyNumberFormat="1" applyFont="1" applyBorder="1" applyAlignment="1">
      <alignment horizontal="justify" vertical="center" wrapText="1"/>
    </xf>
    <xf numFmtId="0" fontId="88" fillId="0" borderId="0" xfId="9" applyFont="1" applyBorder="1" applyAlignment="1">
      <alignment horizontal="center" vertical="center" wrapText="1"/>
    </xf>
    <xf numFmtId="3" fontId="88" fillId="0" borderId="0" xfId="9" applyNumberFormat="1" applyFont="1" applyBorder="1" applyAlignment="1">
      <alignment horizontal="center" vertical="center" wrapText="1"/>
    </xf>
    <xf numFmtId="3" fontId="88" fillId="0" borderId="0" xfId="9" applyNumberFormat="1" applyFont="1" applyBorder="1" applyAlignment="1">
      <alignment horizontal="center" vertical="center"/>
    </xf>
    <xf numFmtId="0" fontId="88" fillId="0" borderId="0" xfId="9" applyFont="1" applyAlignment="1">
      <alignment horizontal="justify" vertical="center" wrapText="1"/>
    </xf>
    <xf numFmtId="0" fontId="88" fillId="0" borderId="0" xfId="9" applyFont="1" applyAlignment="1">
      <alignment horizontal="center" vertical="center" wrapText="1"/>
    </xf>
    <xf numFmtId="4" fontId="88" fillId="0" borderId="0" xfId="9" applyNumberFormat="1" applyFont="1" applyAlignment="1">
      <alignment horizontal="center" vertical="center"/>
    </xf>
    <xf numFmtId="3" fontId="88" fillId="0" borderId="0" xfId="9" applyNumberFormat="1" applyFont="1" applyAlignment="1">
      <alignment horizontal="right" vertical="center" wrapText="1"/>
    </xf>
    <xf numFmtId="3" fontId="16" fillId="0" borderId="0" xfId="9" applyNumberFormat="1" applyFont="1" applyAlignment="1">
      <alignment horizontal="center" vertical="center" wrapText="1"/>
    </xf>
    <xf numFmtId="3" fontId="90" fillId="0" borderId="0" xfId="9" applyNumberFormat="1" applyFont="1" applyAlignment="1">
      <alignment horizontal="center" wrapText="1"/>
    </xf>
    <xf numFmtId="3" fontId="91" fillId="0" borderId="0" xfId="9" applyNumberFormat="1" applyFont="1" applyAlignment="1">
      <alignment horizontal="center" wrapText="1"/>
    </xf>
    <xf numFmtId="3" fontId="16" fillId="0" borderId="0" xfId="9" applyNumberFormat="1" applyFont="1" applyAlignment="1">
      <alignment horizontal="right" vertical="center" wrapText="1"/>
    </xf>
    <xf numFmtId="0" fontId="74" fillId="6" borderId="42" xfId="0" applyFont="1" applyFill="1" applyBorder="1" applyAlignment="1">
      <alignment horizontal="justify" vertical="center" wrapText="1"/>
    </xf>
    <xf numFmtId="0" fontId="74" fillId="6" borderId="23" xfId="0" applyFont="1" applyFill="1" applyBorder="1" applyAlignment="1">
      <alignment horizontal="justify" vertical="center" wrapText="1"/>
    </xf>
    <xf numFmtId="0" fontId="80" fillId="0" borderId="32" xfId="0" applyFont="1" applyBorder="1" applyAlignment="1">
      <alignment horizontal="justify" vertical="center" wrapText="1"/>
    </xf>
    <xf numFmtId="0" fontId="80" fillId="0" borderId="47" xfId="0" applyFont="1" applyBorder="1" applyAlignment="1">
      <alignment horizontal="justify" vertical="center" wrapText="1"/>
    </xf>
    <xf numFmtId="0" fontId="80" fillId="0" borderId="19" xfId="0" applyFont="1" applyBorder="1" applyAlignment="1">
      <alignment horizontal="justify" vertical="center" wrapText="1"/>
    </xf>
    <xf numFmtId="0" fontId="74" fillId="0" borderId="42" xfId="0" applyFont="1" applyBorder="1" applyAlignment="1">
      <alignment horizontal="justify" vertical="center" wrapText="1"/>
    </xf>
    <xf numFmtId="0" fontId="74" fillId="0" borderId="23" xfId="0" applyFont="1" applyBorder="1" applyAlignment="1">
      <alignment horizontal="justify" vertical="center" wrapText="1"/>
    </xf>
    <xf numFmtId="0" fontId="22" fillId="0" borderId="1" xfId="0" applyFont="1" applyFill="1" applyBorder="1" applyAlignment="1" applyProtection="1">
      <alignment horizontal="center" vertical="top"/>
      <protection locked="0"/>
    </xf>
    <xf numFmtId="0" fontId="43" fillId="0" borderId="0" xfId="0" applyFont="1" applyFill="1" applyBorder="1" applyAlignment="1" applyProtection="1">
      <alignment horizontal="center"/>
      <protection locked="0"/>
    </xf>
    <xf numFmtId="0" fontId="43" fillId="0" borderId="0"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21" fillId="0" borderId="0" xfId="0" applyFont="1" applyFill="1" applyBorder="1" applyAlignment="1" applyProtection="1">
      <alignment horizontal="left" wrapText="1"/>
      <protection locked="0"/>
    </xf>
    <xf numFmtId="0" fontId="23" fillId="0" borderId="1" xfId="0" applyFont="1" applyFill="1" applyBorder="1" applyAlignment="1" applyProtection="1">
      <alignment horizontal="left" vertical="top"/>
      <protection locked="0"/>
    </xf>
    <xf numFmtId="0" fontId="24" fillId="5" borderId="0" xfId="0" applyFont="1" applyFill="1" applyBorder="1" applyAlignment="1" applyProtection="1">
      <alignment horizontal="center" vertical="center" wrapText="1"/>
      <protection locked="0"/>
    </xf>
    <xf numFmtId="0" fontId="81" fillId="5" borderId="1" xfId="0" applyFont="1" applyFill="1" applyBorder="1" applyAlignment="1">
      <alignment horizontal="center" vertical="center" wrapText="1"/>
    </xf>
    <xf numFmtId="0" fontId="31" fillId="0" borderId="13" xfId="0" applyFont="1" applyBorder="1" applyAlignment="1" applyProtection="1">
      <alignment horizontal="center" vertical="center"/>
      <protection locked="0"/>
    </xf>
    <xf numFmtId="0" fontId="31" fillId="0" borderId="48" xfId="0" applyFont="1" applyBorder="1" applyAlignment="1" applyProtection="1">
      <alignment horizontal="center" vertical="center"/>
      <protection locked="0"/>
    </xf>
    <xf numFmtId="0" fontId="43" fillId="0" borderId="0" xfId="0" applyFont="1" applyFill="1" applyBorder="1" applyAlignment="1" applyProtection="1">
      <alignment horizontal="center" vertical="top"/>
    </xf>
    <xf numFmtId="0" fontId="23" fillId="0" borderId="1" xfId="0" applyFont="1" applyFill="1" applyBorder="1" applyAlignment="1" applyProtection="1">
      <alignment horizontal="center" vertical="top"/>
      <protection locked="0"/>
    </xf>
    <xf numFmtId="0" fontId="69" fillId="7" borderId="3" xfId="0" applyFont="1" applyFill="1" applyBorder="1" applyAlignment="1">
      <alignment horizontal="center" vertical="center"/>
    </xf>
    <xf numFmtId="0" fontId="69" fillId="7" borderId="4" xfId="0" applyFont="1" applyFill="1" applyBorder="1" applyAlignment="1">
      <alignment horizontal="center" vertical="center"/>
    </xf>
    <xf numFmtId="0" fontId="69" fillId="7" borderId="5" xfId="0" applyFont="1" applyFill="1" applyBorder="1" applyAlignment="1">
      <alignment horizontal="center" vertical="center"/>
    </xf>
    <xf numFmtId="0" fontId="69" fillId="7" borderId="6" xfId="0" applyFont="1" applyFill="1" applyBorder="1" applyAlignment="1">
      <alignment horizontal="center" vertical="center"/>
    </xf>
    <xf numFmtId="0" fontId="69" fillId="7" borderId="0" xfId="0" applyFont="1" applyFill="1" applyBorder="1" applyAlignment="1">
      <alignment horizontal="center" vertical="center"/>
    </xf>
    <xf numFmtId="0" fontId="69" fillId="7" borderId="7" xfId="0" applyFont="1" applyFill="1" applyBorder="1" applyAlignment="1">
      <alignment horizontal="center" vertical="center"/>
    </xf>
    <xf numFmtId="0" fontId="69" fillId="7" borderId="8" xfId="0" applyFont="1" applyFill="1" applyBorder="1" applyAlignment="1">
      <alignment horizontal="center" vertical="center"/>
    </xf>
    <xf numFmtId="0" fontId="69" fillId="7" borderId="1" xfId="0" applyFont="1" applyFill="1" applyBorder="1" applyAlignment="1">
      <alignment horizontal="center" vertical="center"/>
    </xf>
    <xf numFmtId="0" fontId="69" fillId="7" borderId="2" xfId="0" applyFont="1" applyFill="1" applyBorder="1" applyAlignment="1">
      <alignment horizontal="center" vertical="center"/>
    </xf>
    <xf numFmtId="0" fontId="22" fillId="0" borderId="0" xfId="0" applyFont="1" applyFill="1" applyBorder="1" applyAlignment="1" applyProtection="1">
      <alignment horizontal="center" vertical="top"/>
    </xf>
    <xf numFmtId="0" fontId="38" fillId="0" borderId="6" xfId="0" applyFont="1" applyFill="1" applyBorder="1" applyAlignment="1" applyProtection="1">
      <alignment horizontal="justify" vertical="top"/>
      <protection locked="0"/>
    </xf>
    <xf numFmtId="0" fontId="38" fillId="0" borderId="0" xfId="0" applyFont="1" applyFill="1" applyBorder="1" applyAlignment="1" applyProtection="1">
      <alignment horizontal="justify" vertical="top"/>
      <protection locked="0"/>
    </xf>
    <xf numFmtId="0" fontId="24" fillId="0" borderId="15"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1" xfId="0" applyFont="1" applyFill="1" applyBorder="1" applyAlignment="1" applyProtection="1">
      <alignment horizontal="center" vertical="center"/>
      <protection locked="0"/>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30" fillId="0" borderId="8" xfId="0" applyFont="1" applyBorder="1" applyAlignment="1" applyProtection="1">
      <alignment horizontal="justify" vertical="top" wrapText="1"/>
      <protection locked="0"/>
    </xf>
    <xf numFmtId="0" fontId="30" fillId="0" borderId="1" xfId="0" applyFont="1" applyBorder="1" applyAlignment="1" applyProtection="1">
      <alignment horizontal="justify" vertical="top" wrapText="1"/>
      <protection locked="0"/>
    </xf>
    <xf numFmtId="0" fontId="43" fillId="0" borderId="3"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30" fillId="0" borderId="6" xfId="0" applyFont="1" applyBorder="1" applyAlignment="1" applyProtection="1">
      <alignment horizontal="justify" vertical="top" wrapText="1"/>
      <protection locked="0"/>
    </xf>
    <xf numFmtId="0" fontId="30" fillId="0" borderId="0" xfId="0" applyFont="1" applyBorder="1" applyAlignment="1" applyProtection="1">
      <alignment horizontal="justify" vertical="top" wrapText="1"/>
      <protection locked="0"/>
    </xf>
    <xf numFmtId="0" fontId="22" fillId="0" borderId="6" xfId="0" applyFont="1" applyBorder="1" applyAlignment="1" applyProtection="1">
      <alignment horizontal="left" vertical="top" wrapText="1" indent="5"/>
      <protection locked="0"/>
    </xf>
    <xf numFmtId="0" fontId="22" fillId="0" borderId="0" xfId="0" applyFont="1" applyBorder="1" applyAlignment="1" applyProtection="1">
      <alignment horizontal="left" vertical="top" wrapText="1" indent="5"/>
      <protection locked="0"/>
    </xf>
    <xf numFmtId="0" fontId="24" fillId="0" borderId="32" xfId="0" applyFont="1" applyFill="1" applyBorder="1" applyAlignment="1" applyProtection="1">
      <alignment horizontal="center" vertical="center" wrapText="1"/>
      <protection locked="0"/>
    </xf>
    <xf numFmtId="0" fontId="24" fillId="0" borderId="47" xfId="0" applyFont="1" applyFill="1" applyBorder="1" applyAlignment="1" applyProtection="1">
      <alignment horizontal="center" vertical="center" wrapText="1"/>
      <protection locked="0"/>
    </xf>
    <xf numFmtId="0" fontId="64" fillId="0" borderId="6" xfId="0" applyFont="1" applyBorder="1" applyAlignment="1">
      <alignment horizontal="justify" vertical="center" wrapText="1"/>
    </xf>
    <xf numFmtId="0" fontId="64" fillId="0" borderId="7" xfId="0" applyFont="1" applyBorder="1" applyAlignment="1">
      <alignment horizontal="justify" vertical="center" wrapText="1"/>
    </xf>
    <xf numFmtId="0" fontId="69" fillId="5" borderId="0" xfId="0" applyFont="1" applyFill="1" applyBorder="1" applyAlignment="1">
      <alignment horizontal="center" vertical="center" wrapText="1"/>
    </xf>
    <xf numFmtId="0" fontId="70" fillId="5" borderId="1" xfId="0" applyFont="1" applyFill="1" applyBorder="1" applyAlignment="1">
      <alignment horizontal="center" vertical="center" wrapText="1"/>
    </xf>
    <xf numFmtId="0" fontId="64" fillId="5" borderId="3" xfId="0" applyFont="1" applyFill="1" applyBorder="1" applyAlignment="1">
      <alignment horizontal="center" vertical="center" wrapText="1"/>
    </xf>
    <xf numFmtId="0" fontId="64" fillId="5" borderId="5" xfId="0" applyFont="1" applyFill="1" applyBorder="1" applyAlignment="1">
      <alignment horizontal="center" vertical="center" wrapText="1"/>
    </xf>
    <xf numFmtId="0" fontId="64" fillId="5" borderId="8"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64" fillId="5" borderId="42" xfId="0" applyFont="1" applyFill="1" applyBorder="1" applyAlignment="1">
      <alignment horizontal="center" vertical="center" wrapText="1"/>
    </xf>
    <xf numFmtId="0" fontId="64" fillId="5" borderId="23" xfId="0" applyFont="1" applyFill="1" applyBorder="1" applyAlignment="1">
      <alignment horizontal="center" vertical="center" wrapText="1"/>
    </xf>
    <xf numFmtId="0" fontId="64" fillId="0" borderId="3" xfId="0" applyFont="1" applyBorder="1" applyAlignment="1">
      <alignment horizontal="justify" vertical="center" wrapText="1"/>
    </xf>
    <xf numFmtId="0" fontId="64" fillId="0" borderId="5" xfId="0" applyFont="1" applyBorder="1" applyAlignment="1">
      <alignment horizontal="justify" vertical="center" wrapText="1"/>
    </xf>
    <xf numFmtId="0" fontId="82" fillId="0" borderId="0" xfId="0" applyFont="1" applyAlignment="1">
      <alignment horizontal="center" vertical="justify"/>
    </xf>
    <xf numFmtId="0" fontId="62" fillId="6" borderId="42" xfId="0" applyFont="1" applyFill="1" applyBorder="1" applyAlignment="1">
      <alignment horizontal="center" vertical="center"/>
    </xf>
    <xf numFmtId="0" fontId="62" fillId="6" borderId="35" xfId="0" applyFont="1" applyFill="1" applyBorder="1" applyAlignment="1">
      <alignment horizontal="center" vertical="center"/>
    </xf>
    <xf numFmtId="0" fontId="62" fillId="6" borderId="23" xfId="0" applyFont="1" applyFill="1" applyBorder="1" applyAlignment="1">
      <alignment horizontal="center" vertical="center"/>
    </xf>
    <xf numFmtId="0" fontId="62" fillId="6" borderId="42" xfId="0" applyFont="1" applyFill="1" applyBorder="1" applyAlignment="1">
      <alignment horizontal="center" vertical="center" wrapText="1"/>
    </xf>
    <xf numFmtId="0" fontId="62" fillId="6" borderId="35" xfId="0" applyFont="1" applyFill="1" applyBorder="1" applyAlignment="1">
      <alignment horizontal="center" vertical="center" wrapText="1"/>
    </xf>
    <xf numFmtId="0" fontId="62" fillId="6" borderId="23" xfId="0" applyFont="1" applyFill="1" applyBorder="1" applyAlignment="1">
      <alignment horizontal="center" vertical="center" wrapText="1"/>
    </xf>
    <xf numFmtId="0" fontId="67" fillId="0" borderId="6" xfId="0" applyFont="1" applyBorder="1" applyAlignment="1">
      <alignment horizontal="justify" vertical="center" wrapText="1"/>
    </xf>
    <xf numFmtId="0" fontId="67" fillId="0" borderId="7" xfId="0" applyFont="1" applyBorder="1" applyAlignment="1">
      <alignment horizontal="justify" vertical="center" wrapText="1"/>
    </xf>
    <xf numFmtId="0" fontId="71" fillId="0" borderId="8" xfId="0" applyFont="1" applyBorder="1" applyAlignment="1">
      <alignment horizontal="justify" vertical="center" wrapText="1"/>
    </xf>
    <xf numFmtId="0" fontId="71" fillId="0" borderId="2" xfId="0" applyFont="1" applyBorder="1" applyAlignment="1">
      <alignment horizontal="justify" vertical="center" wrapText="1"/>
    </xf>
    <xf numFmtId="0" fontId="20" fillId="0" borderId="0" xfId="0" applyFont="1" applyFill="1" applyBorder="1" applyAlignment="1">
      <alignment horizontal="center"/>
    </xf>
    <xf numFmtId="0" fontId="20" fillId="0" borderId="0" xfId="0" applyFont="1" applyBorder="1" applyAlignment="1">
      <alignment horizontal="center"/>
    </xf>
    <xf numFmtId="0" fontId="24" fillId="0" borderId="3" xfId="0" applyFont="1" applyBorder="1" applyAlignment="1">
      <alignment horizontal="center" vertical="justify"/>
    </xf>
    <xf numFmtId="0" fontId="24" fillId="0" borderId="4" xfId="0" applyFont="1" applyBorder="1" applyAlignment="1">
      <alignment horizontal="center" vertical="justify"/>
    </xf>
    <xf numFmtId="0" fontId="24" fillId="0" borderId="5" xfId="0" applyFont="1" applyBorder="1" applyAlignment="1">
      <alignment horizontal="center" vertical="justify"/>
    </xf>
    <xf numFmtId="0" fontId="24" fillId="0" borderId="6" xfId="0" applyFont="1" applyBorder="1" applyAlignment="1">
      <alignment horizontal="center" vertical="justify"/>
    </xf>
    <xf numFmtId="0" fontId="24" fillId="0" borderId="0" xfId="0" applyFont="1" applyBorder="1" applyAlignment="1">
      <alignment horizontal="center" vertical="justify"/>
    </xf>
    <xf numFmtId="0" fontId="24" fillId="0" borderId="7" xfId="0" applyFont="1" applyBorder="1" applyAlignment="1">
      <alignment horizontal="center" vertical="justify"/>
    </xf>
    <xf numFmtId="0" fontId="43" fillId="0" borderId="0" xfId="0" applyFont="1" applyFill="1" applyBorder="1" applyAlignment="1">
      <alignment horizontal="center"/>
    </xf>
    <xf numFmtId="0" fontId="22" fillId="0" borderId="0" xfId="0" applyFont="1" applyFill="1" applyBorder="1" applyAlignment="1">
      <alignment horizontal="center" vertical="top"/>
    </xf>
    <xf numFmtId="0" fontId="43" fillId="0" borderId="0" xfId="0" applyFont="1" applyFill="1" applyBorder="1" applyAlignment="1">
      <alignment horizontal="center" vertical="top"/>
    </xf>
    <xf numFmtId="0" fontId="23" fillId="0" borderId="1" xfId="0" applyFont="1" applyFill="1" applyBorder="1" applyAlignment="1">
      <alignment horizontal="center" vertical="top"/>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3" fillId="0" borderId="1" xfId="0" applyFont="1" applyFill="1" applyBorder="1" applyAlignment="1">
      <alignment horizontal="left" vertical="top"/>
    </xf>
    <xf numFmtId="0" fontId="24" fillId="0" borderId="34"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49" xfId="0" applyFont="1" applyFill="1" applyBorder="1" applyAlignment="1" applyProtection="1">
      <alignment horizontal="center" vertical="center"/>
      <protection locked="0"/>
    </xf>
    <xf numFmtId="0" fontId="24" fillId="0" borderId="24" xfId="0" applyFont="1" applyBorder="1" applyAlignment="1" applyProtection="1">
      <alignment horizontal="center" vertical="center"/>
    </xf>
    <xf numFmtId="0" fontId="24" fillId="0" borderId="50" xfId="0" applyFont="1" applyBorder="1" applyAlignment="1" applyProtection="1">
      <alignment horizontal="center" vertical="center"/>
    </xf>
    <xf numFmtId="0" fontId="24" fillId="0" borderId="3" xfId="0" applyFont="1" applyFill="1" applyBorder="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0" fontId="20" fillId="0" borderId="6" xfId="0" applyFont="1" applyBorder="1" applyAlignment="1" applyProtection="1">
      <alignment horizontal="left" vertical="center" wrapText="1" indent="1"/>
      <protection locked="0"/>
    </xf>
    <xf numFmtId="0" fontId="20" fillId="0" borderId="7" xfId="0" applyFont="1" applyBorder="1" applyAlignment="1" applyProtection="1">
      <alignment horizontal="left" vertical="center" wrapText="1" indent="1"/>
      <protection locked="0"/>
    </xf>
    <xf numFmtId="0" fontId="38" fillId="0" borderId="32"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69" fillId="5" borderId="0" xfId="0" applyFont="1" applyFill="1" applyBorder="1" applyAlignment="1" applyProtection="1">
      <alignment horizontal="center" vertical="center" wrapText="1"/>
      <protection locked="0"/>
    </xf>
    <xf numFmtId="0" fontId="64" fillId="5" borderId="3" xfId="0" applyFont="1" applyFill="1" applyBorder="1" applyAlignment="1">
      <alignment horizontal="center" vertical="center"/>
    </xf>
    <xf numFmtId="0" fontId="64" fillId="5" borderId="4" xfId="0" applyFont="1" applyFill="1" applyBorder="1" applyAlignment="1">
      <alignment horizontal="center" vertical="center"/>
    </xf>
    <xf numFmtId="0" fontId="64" fillId="5" borderId="5" xfId="0" applyFont="1" applyFill="1" applyBorder="1" applyAlignment="1">
      <alignment horizontal="center" vertical="center"/>
    </xf>
    <xf numFmtId="0" fontId="64" fillId="5" borderId="32" xfId="0" applyFont="1" applyFill="1" applyBorder="1" applyAlignment="1">
      <alignment horizontal="center" vertical="center"/>
    </xf>
    <xf numFmtId="0" fontId="64" fillId="5" borderId="47" xfId="0" applyFont="1" applyFill="1" applyBorder="1" applyAlignment="1">
      <alignment horizontal="center" vertical="center"/>
    </xf>
    <xf numFmtId="0" fontId="64" fillId="5" borderId="19" xfId="0" applyFont="1" applyFill="1" applyBorder="1" applyAlignment="1">
      <alignment horizontal="center" vertical="center"/>
    </xf>
    <xf numFmtId="0" fontId="64" fillId="5" borderId="42" xfId="0" applyFont="1" applyFill="1" applyBorder="1" applyAlignment="1">
      <alignment horizontal="center" vertical="center"/>
    </xf>
    <xf numFmtId="0" fontId="64" fillId="5" borderId="35" xfId="0" applyFont="1" applyFill="1" applyBorder="1" applyAlignment="1">
      <alignment horizontal="center" vertical="center"/>
    </xf>
    <xf numFmtId="0" fontId="64" fillId="5" borderId="23" xfId="0" applyFont="1" applyFill="1" applyBorder="1" applyAlignment="1">
      <alignment horizontal="center" vertical="center"/>
    </xf>
    <xf numFmtId="0" fontId="64" fillId="5" borderId="6" xfId="0" applyFont="1" applyFill="1" applyBorder="1" applyAlignment="1">
      <alignment horizontal="center" vertical="center"/>
    </xf>
    <xf numFmtId="0" fontId="64" fillId="5" borderId="0" xfId="0" applyFont="1" applyFill="1" applyBorder="1" applyAlignment="1">
      <alignment horizontal="center" vertical="center"/>
    </xf>
    <xf numFmtId="0" fontId="64" fillId="5" borderId="7" xfId="0" applyFont="1" applyFill="1" applyBorder="1" applyAlignment="1">
      <alignment horizontal="center" vertical="center"/>
    </xf>
    <xf numFmtId="0" fontId="64" fillId="5" borderId="8" xfId="0" applyFont="1" applyFill="1" applyBorder="1" applyAlignment="1">
      <alignment horizontal="center" vertical="center"/>
    </xf>
    <xf numFmtId="0" fontId="64" fillId="5" borderId="1" xfId="0" applyFont="1" applyFill="1" applyBorder="1" applyAlignment="1">
      <alignment horizontal="center" vertical="center"/>
    </xf>
    <xf numFmtId="0" fontId="64" fillId="5" borderId="2" xfId="0" applyFont="1" applyFill="1" applyBorder="1" applyAlignment="1">
      <alignment horizontal="center" vertical="center"/>
    </xf>
    <xf numFmtId="0" fontId="64" fillId="5" borderId="42" xfId="0" applyFont="1" applyFill="1" applyBorder="1" applyAlignment="1">
      <alignment horizontal="center" vertical="justify"/>
    </xf>
    <xf numFmtId="0" fontId="64" fillId="5" borderId="23" xfId="0" applyFont="1" applyFill="1" applyBorder="1" applyAlignment="1">
      <alignment horizontal="center" vertical="justify"/>
    </xf>
    <xf numFmtId="43" fontId="67" fillId="0" borderId="78" xfId="0" applyNumberFormat="1" applyFont="1" applyBorder="1" applyAlignment="1" applyProtection="1">
      <alignment horizontal="right" vertical="center"/>
    </xf>
    <xf numFmtId="167" fontId="64" fillId="0" borderId="78" xfId="5" applyNumberFormat="1" applyFont="1" applyBorder="1" applyAlignment="1">
      <alignment horizontal="right" vertical="center"/>
    </xf>
    <xf numFmtId="0" fontId="67" fillId="0" borderId="3" xfId="0" applyFont="1" applyBorder="1" applyAlignment="1">
      <alignment horizontal="justify" vertical="center"/>
    </xf>
    <xf numFmtId="0" fontId="67" fillId="0" borderId="4" xfId="0" applyFont="1" applyBorder="1" applyAlignment="1">
      <alignment horizontal="justify" vertical="center"/>
    </xf>
    <xf numFmtId="0" fontId="67" fillId="0" borderId="5" xfId="0" applyFont="1" applyBorder="1" applyAlignment="1">
      <alignment horizontal="justify" vertical="center"/>
    </xf>
    <xf numFmtId="0" fontId="67" fillId="0" borderId="0" xfId="0" applyFont="1" applyBorder="1" applyAlignment="1">
      <alignment horizontal="left" vertical="center"/>
    </xf>
    <xf numFmtId="0" fontId="67" fillId="0" borderId="56" xfId="0" applyFont="1" applyBorder="1" applyAlignment="1">
      <alignment horizontal="left" vertical="center"/>
    </xf>
    <xf numFmtId="0" fontId="67" fillId="0" borderId="6" xfId="0" applyFont="1" applyBorder="1" applyAlignment="1">
      <alignment horizontal="left" vertical="center"/>
    </xf>
    <xf numFmtId="0" fontId="64" fillId="0" borderId="6" xfId="0" applyFont="1" applyBorder="1" applyAlignment="1">
      <alignment horizontal="left" vertical="center"/>
    </xf>
    <xf numFmtId="0" fontId="64" fillId="0" borderId="0" xfId="0" applyFont="1" applyBorder="1" applyAlignment="1">
      <alignment horizontal="left" vertical="center"/>
    </xf>
    <xf numFmtId="0" fontId="64" fillId="0" borderId="7" xfId="0" applyFont="1" applyBorder="1" applyAlignment="1">
      <alignment horizontal="left" vertical="center"/>
    </xf>
    <xf numFmtId="0" fontId="64" fillId="0" borderId="56" xfId="0" applyFont="1" applyBorder="1" applyAlignment="1">
      <alignment horizontal="left" vertical="center"/>
    </xf>
    <xf numFmtId="0" fontId="67" fillId="0" borderId="0" xfId="0" applyFont="1" applyAlignment="1">
      <alignment horizontal="left" vertical="center"/>
    </xf>
    <xf numFmtId="0" fontId="67" fillId="0" borderId="0" xfId="0" applyFont="1" applyBorder="1" applyAlignment="1">
      <alignment vertical="center"/>
    </xf>
    <xf numFmtId="0" fontId="67" fillId="0" borderId="56" xfId="0" applyFont="1" applyBorder="1" applyAlignment="1">
      <alignment vertical="center"/>
    </xf>
    <xf numFmtId="0" fontId="81" fillId="0" borderId="6" xfId="0" applyFont="1" applyBorder="1" applyAlignment="1">
      <alignment horizontal="left" vertical="center"/>
    </xf>
    <xf numFmtId="0" fontId="81" fillId="0" borderId="0" xfId="0" applyFont="1" applyBorder="1" applyAlignment="1">
      <alignment horizontal="left" vertical="center"/>
    </xf>
    <xf numFmtId="0" fontId="81" fillId="0" borderId="56" xfId="0" applyFont="1" applyBorder="1" applyAlignment="1">
      <alignment horizontal="left" vertical="center"/>
    </xf>
    <xf numFmtId="0" fontId="68" fillId="0" borderId="1" xfId="0" applyFont="1" applyBorder="1" applyAlignment="1">
      <alignment horizontal="left" vertical="center"/>
    </xf>
    <xf numFmtId="0" fontId="68" fillId="0" borderId="57" xfId="0" applyFont="1" applyBorder="1" applyAlignment="1">
      <alignment horizontal="left" vertical="center"/>
    </xf>
    <xf numFmtId="0" fontId="64" fillId="0" borderId="0" xfId="0" applyFont="1" applyAlignment="1">
      <alignment horizontal="left" vertical="center"/>
    </xf>
    <xf numFmtId="0" fontId="67" fillId="0" borderId="0" xfId="0" applyFont="1" applyBorder="1" applyAlignment="1">
      <alignment horizontal="left" vertical="justify"/>
    </xf>
    <xf numFmtId="0" fontId="67" fillId="0" borderId="56" xfId="0" applyFont="1" applyBorder="1" applyAlignment="1">
      <alignment horizontal="left" vertical="justify"/>
    </xf>
    <xf numFmtId="0" fontId="22" fillId="3" borderId="24" xfId="0" applyFont="1" applyFill="1" applyBorder="1" applyAlignment="1" applyProtection="1">
      <alignment horizontal="left" vertical="center"/>
      <protection locked="0"/>
    </xf>
    <xf numFmtId="0" fontId="22" fillId="3" borderId="17" xfId="0" applyFont="1" applyFill="1" applyBorder="1" applyAlignment="1" applyProtection="1">
      <alignment horizontal="left" vertical="center"/>
      <protection locked="0"/>
    </xf>
    <xf numFmtId="0" fontId="24" fillId="0" borderId="34" xfId="0" applyFont="1" applyFill="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protection locked="0"/>
    </xf>
    <xf numFmtId="0" fontId="73" fillId="0" borderId="6" xfId="0" applyFont="1" applyBorder="1" applyAlignment="1">
      <alignment horizontal="left" vertical="center"/>
    </xf>
    <xf numFmtId="0" fontId="73" fillId="0" borderId="7" xfId="0" applyFont="1" applyBorder="1" applyAlignment="1">
      <alignment horizontal="left" vertical="center"/>
    </xf>
    <xf numFmtId="0" fontId="72" fillId="0" borderId="6" xfId="0" applyFont="1" applyBorder="1" applyAlignment="1">
      <alignment horizontal="left" vertical="center"/>
    </xf>
    <xf numFmtId="0" fontId="72" fillId="0" borderId="7" xfId="0" applyFont="1" applyBorder="1" applyAlignment="1">
      <alignment horizontal="left" vertical="center"/>
    </xf>
    <xf numFmtId="0" fontId="73" fillId="0" borderId="8" xfId="0" applyFont="1" applyFill="1" applyBorder="1" applyAlignment="1">
      <alignment horizontal="center" vertical="center"/>
    </xf>
    <xf numFmtId="0" fontId="73" fillId="0" borderId="1" xfId="0" applyFont="1" applyFill="1" applyBorder="1" applyAlignment="1">
      <alignment horizontal="center" vertical="center"/>
    </xf>
    <xf numFmtId="0" fontId="73" fillId="0" borderId="57"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79"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6" xfId="0" applyFont="1" applyFill="1" applyBorder="1" applyAlignment="1">
      <alignment horizontal="center" vertical="center"/>
    </xf>
    <xf numFmtId="0" fontId="73" fillId="0" borderId="6"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56" xfId="0" applyFont="1" applyFill="1" applyBorder="1" applyAlignment="1">
      <alignment horizontal="center" vertical="center"/>
    </xf>
    <xf numFmtId="0" fontId="73" fillId="0" borderId="3" xfId="0" applyFont="1" applyFill="1" applyBorder="1" applyAlignment="1">
      <alignment horizontal="center" vertical="center"/>
    </xf>
    <xf numFmtId="0" fontId="73" fillId="0" borderId="5" xfId="0" applyFont="1" applyFill="1" applyBorder="1" applyAlignment="1">
      <alignment horizontal="center" vertical="center"/>
    </xf>
    <xf numFmtId="0" fontId="73" fillId="0" borderId="2" xfId="0" applyFont="1" applyFill="1" applyBorder="1" applyAlignment="1">
      <alignment horizontal="center" vertical="center"/>
    </xf>
    <xf numFmtId="0" fontId="73" fillId="0" borderId="32" xfId="0" applyFont="1" applyFill="1" applyBorder="1" applyAlignment="1">
      <alignment horizontal="center" vertical="center"/>
    </xf>
    <xf numFmtId="0" fontId="73" fillId="0" borderId="47"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42" xfId="0" applyFont="1" applyFill="1" applyBorder="1" applyAlignment="1">
      <alignment horizontal="center" vertical="center"/>
    </xf>
    <xf numFmtId="0" fontId="73" fillId="0" borderId="23" xfId="0" applyFont="1" applyFill="1" applyBorder="1" applyAlignment="1">
      <alignment horizontal="center" vertical="center"/>
    </xf>
    <xf numFmtId="0" fontId="49" fillId="0" borderId="0" xfId="0" applyFont="1" applyFill="1" applyAlignment="1" applyProtection="1">
      <alignment horizontal="left" vertical="justify" indent="3"/>
      <protection locked="0"/>
    </xf>
    <xf numFmtId="0" fontId="55" fillId="0" borderId="0" xfId="0" applyFont="1" applyFill="1" applyAlignment="1" applyProtection="1">
      <alignment horizontal="left"/>
      <protection locked="0"/>
    </xf>
    <xf numFmtId="0" fontId="49" fillId="0" borderId="0" xfId="0" applyFont="1" applyFill="1" applyAlignment="1" applyProtection="1">
      <alignment horizontal="left"/>
      <protection locked="0"/>
    </xf>
    <xf numFmtId="0" fontId="24" fillId="0" borderId="34"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38" fillId="0" borderId="4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47"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22" fillId="0" borderId="34"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4" fontId="23" fillId="0" borderId="1" xfId="0" applyNumberFormat="1" applyFont="1" applyFill="1" applyBorder="1" applyAlignment="1" applyProtection="1">
      <alignment horizontal="left" vertical="center"/>
      <protection locked="0"/>
    </xf>
    <xf numFmtId="0" fontId="38" fillId="0" borderId="3" xfId="0" applyFont="1" applyBorder="1" applyAlignment="1">
      <alignment horizontal="justify" vertical="center" wrapText="1"/>
    </xf>
    <xf numFmtId="0" fontId="38" fillId="0" borderId="79" xfId="0" applyFont="1" applyBorder="1" applyAlignment="1">
      <alignment horizontal="justify" vertical="center" wrapText="1"/>
    </xf>
    <xf numFmtId="0" fontId="38" fillId="0" borderId="6" xfId="0" applyFont="1" applyBorder="1" applyAlignment="1">
      <alignment horizontal="left" vertical="center" wrapText="1"/>
    </xf>
    <xf numFmtId="0" fontId="38" fillId="0" borderId="56" xfId="0" applyFont="1" applyBorder="1" applyAlignment="1">
      <alignment horizontal="left" vertical="center" wrapText="1"/>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38" fillId="0" borderId="6"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6"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 xfId="0" applyFont="1" applyFill="1" applyBorder="1" applyAlignment="1">
      <alignment horizontal="center" vertical="center"/>
    </xf>
    <xf numFmtId="0" fontId="24" fillId="0" borderId="4" xfId="0" applyFont="1" applyBorder="1" applyAlignment="1" applyProtection="1">
      <alignment horizontal="right"/>
      <protection locked="0"/>
    </xf>
    <xf numFmtId="0" fontId="24" fillId="0" borderId="3"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Border="1" applyAlignment="1" applyProtection="1">
      <alignment horizontal="right"/>
      <protection locked="0"/>
    </xf>
    <xf numFmtId="0" fontId="22" fillId="0" borderId="0" xfId="0" applyFont="1" applyFill="1" applyBorder="1" applyAlignment="1">
      <alignment horizontal="center" vertical="center"/>
    </xf>
    <xf numFmtId="0" fontId="23" fillId="0" borderId="1" xfId="0" applyFont="1" applyFill="1" applyBorder="1" applyAlignment="1">
      <alignment horizontal="left" vertical="center"/>
    </xf>
    <xf numFmtId="0" fontId="21" fillId="0" borderId="1" xfId="0" applyFont="1" applyBorder="1" applyAlignment="1">
      <alignment horizontal="center" vertical="center"/>
    </xf>
    <xf numFmtId="0" fontId="64" fillId="6" borderId="42" xfId="0" applyFont="1" applyFill="1" applyBorder="1" applyAlignment="1">
      <alignment horizontal="center" vertical="center"/>
    </xf>
    <xf numFmtId="0" fontId="64" fillId="6" borderId="23" xfId="0" applyFont="1" applyFill="1" applyBorder="1" applyAlignment="1">
      <alignment horizontal="center" vertical="center"/>
    </xf>
    <xf numFmtId="0" fontId="64" fillId="6" borderId="32" xfId="0" applyFont="1" applyFill="1" applyBorder="1" applyAlignment="1">
      <alignment horizontal="center" vertical="center" wrapText="1"/>
    </xf>
    <xf numFmtId="0" fontId="64" fillId="6" borderId="47" xfId="0" applyFont="1" applyFill="1" applyBorder="1" applyAlignment="1">
      <alignment horizontal="center" vertical="center" wrapText="1"/>
    </xf>
    <xf numFmtId="0" fontId="64" fillId="6" borderId="19" xfId="0" applyFont="1" applyFill="1" applyBorder="1" applyAlignment="1">
      <alignment horizontal="center" vertical="center" wrapText="1"/>
    </xf>
    <xf numFmtId="0" fontId="64" fillId="6" borderId="42" xfId="0" applyFont="1" applyFill="1" applyBorder="1" applyAlignment="1">
      <alignment horizontal="center" vertical="center" wrapText="1"/>
    </xf>
    <xf numFmtId="0" fontId="64" fillId="6" borderId="2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43" fillId="0" borderId="0" xfId="0" applyFont="1" applyAlignment="1" applyProtection="1">
      <alignment horizontal="center"/>
      <protection locked="0"/>
    </xf>
    <xf numFmtId="0" fontId="6" fillId="3" borderId="38"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6" fillId="0" borderId="3"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xf>
    <xf numFmtId="0" fontId="43" fillId="5" borderId="0"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xf>
    <xf numFmtId="0" fontId="43" fillId="0" borderId="0" xfId="0" applyFont="1" applyFill="1" applyAlignment="1">
      <alignment horizontal="center" vertical="center" wrapText="1"/>
    </xf>
    <xf numFmtId="0" fontId="5" fillId="0" borderId="0" xfId="0" applyFont="1" applyFill="1" applyAlignment="1">
      <alignment horizont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88" fillId="0" borderId="153" xfId="9" applyFont="1" applyBorder="1" applyAlignment="1">
      <alignment horizontal="left" vertical="center"/>
    </xf>
    <xf numFmtId="3" fontId="90" fillId="0" borderId="0" xfId="9" applyNumberFormat="1"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6" fillId="0" borderId="106" xfId="9" applyFont="1" applyBorder="1" applyAlignment="1">
      <alignment horizontal="center" vertical="center" wrapText="1"/>
    </xf>
    <xf numFmtId="0" fontId="16" fillId="0" borderId="124" xfId="9" applyFont="1" applyBorder="1" applyAlignment="1">
      <alignment horizontal="center" vertical="center" wrapText="1"/>
    </xf>
    <xf numFmtId="0" fontId="16" fillId="0" borderId="105" xfId="9" applyFont="1" applyBorder="1" applyAlignment="1">
      <alignment horizontal="center" vertical="center" wrapText="1"/>
    </xf>
    <xf numFmtId="0" fontId="16" fillId="0" borderId="125" xfId="9" applyFont="1" applyBorder="1" applyAlignment="1">
      <alignment horizontal="center" vertical="center" wrapText="1"/>
    </xf>
    <xf numFmtId="0" fontId="16" fillId="0" borderId="107" xfId="9" applyFont="1" applyBorder="1" applyAlignment="1">
      <alignment horizontal="center" vertical="center" wrapText="1"/>
    </xf>
    <xf numFmtId="0" fontId="16" fillId="0" borderId="119" xfId="9" applyFont="1" applyBorder="1" applyAlignment="1">
      <alignment horizontal="center" vertical="center" wrapText="1"/>
    </xf>
    <xf numFmtId="0" fontId="16" fillId="0" borderId="120" xfId="9" applyFont="1" applyBorder="1" applyAlignment="1">
      <alignment horizontal="center" vertical="center" wrapText="1"/>
    </xf>
    <xf numFmtId="0" fontId="16" fillId="0" borderId="103" xfId="9" applyFont="1" applyBorder="1" applyAlignment="1">
      <alignment horizontal="center" vertical="center" wrapText="1"/>
    </xf>
    <xf numFmtId="0" fontId="16" fillId="0" borderId="121" xfId="9" applyFont="1" applyBorder="1" applyAlignment="1">
      <alignment horizontal="center" vertical="center" wrapText="1"/>
    </xf>
    <xf numFmtId="0" fontId="16" fillId="0" borderId="101" xfId="9" applyFont="1" applyBorder="1" applyAlignment="1">
      <alignment horizontal="center" vertical="center" wrapText="1"/>
    </xf>
    <xf numFmtId="0" fontId="16" fillId="0" borderId="102" xfId="9" applyFont="1" applyBorder="1" applyAlignment="1">
      <alignment horizontal="center" vertical="center" wrapText="1"/>
    </xf>
    <xf numFmtId="0" fontId="88" fillId="0" borderId="103" xfId="9" applyFont="1" applyBorder="1" applyAlignment="1">
      <alignment horizontal="center" vertical="center" wrapText="1"/>
    </xf>
    <xf numFmtId="0" fontId="88" fillId="0" borderId="104" xfId="9" applyFont="1" applyBorder="1" applyAlignment="1">
      <alignment horizontal="center" vertical="center" wrapText="1"/>
    </xf>
    <xf numFmtId="0" fontId="88" fillId="0" borderId="114" xfId="9" applyFont="1" applyBorder="1" applyAlignment="1">
      <alignment horizontal="center" vertical="center" wrapText="1"/>
    </xf>
    <xf numFmtId="0" fontId="88" fillId="0" borderId="125" xfId="9" applyFont="1" applyBorder="1" applyAlignment="1">
      <alignment horizontal="center" vertical="center" wrapText="1"/>
    </xf>
    <xf numFmtId="0" fontId="16" fillId="0" borderId="106" xfId="9" applyFont="1" applyBorder="1" applyAlignment="1">
      <alignment horizontal="center" textRotation="255" wrapText="1"/>
    </xf>
    <xf numFmtId="0" fontId="88" fillId="0" borderId="113" xfId="9" applyFont="1" applyBorder="1" applyAlignment="1">
      <alignment horizontal="center" textRotation="255" wrapText="1"/>
    </xf>
    <xf numFmtId="0" fontId="88" fillId="0" borderId="124" xfId="9" applyFont="1" applyBorder="1" applyAlignment="1">
      <alignment horizontal="center" textRotation="255" wrapText="1"/>
    </xf>
    <xf numFmtId="0" fontId="16" fillId="0" borderId="108" xfId="9" applyFont="1" applyBorder="1" applyAlignment="1">
      <alignment horizontal="center" vertical="center"/>
    </xf>
    <xf numFmtId="0" fontId="16" fillId="0" borderId="109" xfId="9" applyFont="1" applyBorder="1" applyAlignment="1">
      <alignment horizontal="center" vertical="center"/>
    </xf>
    <xf numFmtId="4" fontId="16" fillId="0" borderId="111" xfId="9" applyNumberFormat="1" applyFont="1" applyBorder="1" applyAlignment="1">
      <alignment horizontal="center" vertical="center" wrapText="1"/>
    </xf>
    <xf numFmtId="4" fontId="16" fillId="0" borderId="117" xfId="9" applyNumberFormat="1" applyFont="1" applyBorder="1" applyAlignment="1">
      <alignment horizontal="center" vertical="center" wrapText="1"/>
    </xf>
    <xf numFmtId="4" fontId="16" fillId="0" borderId="131" xfId="9" applyNumberFormat="1" applyFont="1" applyBorder="1" applyAlignment="1">
      <alignment horizontal="center" vertical="center" wrapText="1"/>
    </xf>
    <xf numFmtId="0" fontId="16" fillId="0" borderId="118" xfId="9" applyFont="1" applyBorder="1" applyAlignment="1">
      <alignment horizontal="center" vertical="center" wrapText="1"/>
    </xf>
    <xf numFmtId="0" fontId="88" fillId="0" borderId="123" xfId="9" applyFont="1" applyBorder="1" applyAlignment="1">
      <alignment horizontal="center" vertical="center" wrapText="1"/>
    </xf>
    <xf numFmtId="0" fontId="16" fillId="0" borderId="0" xfId="9" applyFont="1" applyBorder="1" applyAlignment="1">
      <alignment horizontal="center" vertical="center"/>
    </xf>
    <xf numFmtId="0" fontId="88" fillId="0" borderId="0" xfId="9" applyFont="1" applyAlignment="1">
      <alignment vertical="center"/>
    </xf>
    <xf numFmtId="0" fontId="88" fillId="0" borderId="0" xfId="9" applyFont="1" applyAlignment="1">
      <alignment horizontal="center" vertical="center"/>
    </xf>
    <xf numFmtId="0" fontId="16" fillId="0" borderId="0" xfId="9" applyFont="1" applyAlignment="1">
      <alignment horizontal="right" vertical="center"/>
    </xf>
    <xf numFmtId="0" fontId="16" fillId="0" borderId="0" xfId="9" applyFont="1" applyBorder="1" applyAlignment="1">
      <alignment horizontal="right" vertical="center" wrapText="1"/>
    </xf>
    <xf numFmtId="0" fontId="88" fillId="0" borderId="0" xfId="9" applyFont="1" applyAlignment="1">
      <alignment horizontal="right" vertical="center" wrapText="1"/>
    </xf>
    <xf numFmtId="0" fontId="16" fillId="0" borderId="98" xfId="9" applyFont="1" applyBorder="1" applyAlignment="1">
      <alignment vertical="center"/>
    </xf>
    <xf numFmtId="0" fontId="88" fillId="0" borderId="98" xfId="9" applyFont="1" applyBorder="1" applyAlignment="1">
      <alignment vertical="center"/>
    </xf>
    <xf numFmtId="0" fontId="16" fillId="0" borderId="122" xfId="9" applyFont="1" applyBorder="1" applyAlignment="1">
      <alignment horizontal="center" vertical="center"/>
    </xf>
    <xf numFmtId="0" fontId="77" fillId="8" borderId="77" xfId="0" applyFont="1" applyFill="1" applyBorder="1" applyAlignment="1">
      <alignment horizontal="center" vertical="center" wrapText="1"/>
    </xf>
    <xf numFmtId="0" fontId="77" fillId="8" borderId="0" xfId="0" applyFont="1" applyFill="1" applyBorder="1" applyAlignment="1">
      <alignment horizontal="center" vertical="center" wrapText="1"/>
    </xf>
    <xf numFmtId="0" fontId="78" fillId="3" borderId="61" xfId="0" applyFont="1" applyFill="1" applyBorder="1" applyAlignment="1">
      <alignment horizontal="center" vertical="center" wrapText="1"/>
    </xf>
    <xf numFmtId="0" fontId="78" fillId="3" borderId="63" xfId="0" applyFont="1" applyFill="1" applyBorder="1" applyAlignment="1">
      <alignment horizontal="center" vertical="center" wrapText="1"/>
    </xf>
    <xf numFmtId="0" fontId="79" fillId="3" borderId="61" xfId="0" applyFont="1" applyFill="1" applyBorder="1" applyAlignment="1">
      <alignment horizontal="center" vertical="center" wrapText="1"/>
    </xf>
    <xf numFmtId="0" fontId="79" fillId="3" borderId="63" xfId="0" applyFont="1" applyFill="1" applyBorder="1" applyAlignment="1">
      <alignment horizontal="center" vertical="center" wrapText="1"/>
    </xf>
    <xf numFmtId="2" fontId="79" fillId="3" borderId="61" xfId="0" applyNumberFormat="1" applyFont="1" applyFill="1" applyBorder="1" applyAlignment="1">
      <alignment horizontal="center" vertical="center" wrapText="1"/>
    </xf>
    <xf numFmtId="2" fontId="79" fillId="3" borderId="63" xfId="0" applyNumberFormat="1" applyFont="1" applyFill="1" applyBorder="1" applyAlignment="1">
      <alignment horizontal="center" vertical="center" wrapText="1"/>
    </xf>
    <xf numFmtId="0" fontId="78" fillId="3" borderId="74" xfId="0" applyFont="1" applyFill="1" applyBorder="1" applyAlignment="1">
      <alignment horizontal="center" vertical="center" wrapText="1"/>
    </xf>
    <xf numFmtId="0" fontId="78" fillId="3" borderId="69" xfId="0" applyFont="1" applyFill="1" applyBorder="1" applyAlignment="1">
      <alignment horizontal="center" vertical="center" wrapText="1"/>
    </xf>
    <xf numFmtId="0" fontId="77" fillId="8" borderId="75" xfId="0" applyFont="1" applyFill="1" applyBorder="1" applyAlignment="1">
      <alignment horizontal="center" vertical="center"/>
    </xf>
    <xf numFmtId="0" fontId="77" fillId="8" borderId="85" xfId="0" applyFont="1" applyFill="1" applyBorder="1" applyAlignment="1">
      <alignment horizontal="center" vertical="center"/>
    </xf>
    <xf numFmtId="0" fontId="77" fillId="8" borderId="86" xfId="0" applyFont="1" applyFill="1" applyBorder="1" applyAlignment="1">
      <alignment horizontal="center" vertical="center"/>
    </xf>
    <xf numFmtId="0" fontId="77" fillId="8" borderId="37" xfId="0" applyFont="1" applyFill="1" applyBorder="1" applyAlignment="1">
      <alignment horizontal="center" vertical="center" wrapText="1"/>
    </xf>
    <xf numFmtId="0" fontId="78" fillId="3" borderId="58" xfId="0" applyFont="1" applyFill="1" applyBorder="1" applyAlignment="1">
      <alignment horizontal="center" vertical="center" wrapText="1"/>
    </xf>
    <xf numFmtId="3" fontId="79" fillId="3" borderId="74" xfId="0" applyNumberFormat="1" applyFont="1" applyFill="1" applyBorder="1" applyAlignment="1">
      <alignment horizontal="center" vertical="center" wrapText="1"/>
    </xf>
    <xf numFmtId="3" fontId="79" fillId="3" borderId="69" xfId="0" applyNumberFormat="1" applyFont="1" applyFill="1" applyBorder="1" applyAlignment="1">
      <alignment horizontal="center" vertical="center" wrapText="1"/>
    </xf>
    <xf numFmtId="0" fontId="83" fillId="8" borderId="80" xfId="0" applyFont="1" applyFill="1" applyBorder="1" applyAlignment="1">
      <alignment horizontal="right" vertical="center" wrapText="1"/>
    </xf>
    <xf numFmtId="0" fontId="83" fillId="8" borderId="81" xfId="0" applyFont="1" applyFill="1" applyBorder="1" applyAlignment="1">
      <alignment horizontal="right" vertical="center" wrapText="1"/>
    </xf>
    <xf numFmtId="0" fontId="84" fillId="9" borderId="82" xfId="0" applyFont="1" applyFill="1" applyBorder="1" applyAlignment="1">
      <alignment vertical="center"/>
    </xf>
    <xf numFmtId="0" fontId="84" fillId="9" borderId="83" xfId="0" applyFont="1" applyFill="1" applyBorder="1" applyAlignment="1">
      <alignment vertical="center"/>
    </xf>
    <xf numFmtId="0" fontId="84" fillId="9" borderId="84" xfId="0" applyFont="1" applyFill="1" applyBorder="1" applyAlignment="1">
      <alignment vertical="center"/>
    </xf>
    <xf numFmtId="0" fontId="77" fillId="8" borderId="77" xfId="0" applyFont="1" applyFill="1" applyBorder="1" applyAlignment="1">
      <alignment horizontal="center"/>
    </xf>
    <xf numFmtId="0" fontId="77" fillId="8" borderId="0" xfId="0" applyFont="1" applyFill="1" applyBorder="1" applyAlignment="1">
      <alignment horizontal="center"/>
    </xf>
    <xf numFmtId="0" fontId="77" fillId="8" borderId="58" xfId="0" applyFont="1" applyFill="1" applyBorder="1" applyAlignment="1">
      <alignment horizontal="center"/>
    </xf>
    <xf numFmtId="0" fontId="77" fillId="8" borderId="58" xfId="0" applyFont="1" applyFill="1" applyBorder="1" applyAlignment="1">
      <alignment horizontal="center" vertical="center" wrapText="1"/>
    </xf>
    <xf numFmtId="0" fontId="77" fillId="8" borderId="58"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horizontal="center" vertical="top"/>
    </xf>
    <xf numFmtId="0" fontId="6" fillId="3" borderId="3"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13" fillId="0" borderId="0" xfId="0" applyFont="1" applyAlignment="1" applyProtection="1">
      <alignment horizontal="justify" vertical="distributed" wrapText="1"/>
      <protection locked="0"/>
    </xf>
    <xf numFmtId="0" fontId="64" fillId="0" borderId="6" xfId="0" applyFont="1" applyBorder="1" applyAlignment="1">
      <alignment vertical="center"/>
    </xf>
    <xf numFmtId="0" fontId="64" fillId="0" borderId="8" xfId="0" applyFont="1" applyBorder="1" applyAlignment="1">
      <alignment vertical="center"/>
    </xf>
    <xf numFmtId="41" fontId="67" fillId="0" borderId="35" xfId="0" applyNumberFormat="1" applyFont="1" applyBorder="1" applyAlignment="1">
      <alignment horizontal="right" vertical="center"/>
    </xf>
    <xf numFmtId="0" fontId="67" fillId="0" borderId="6" xfId="0" applyFont="1" applyBorder="1" applyAlignment="1">
      <alignment vertical="center"/>
    </xf>
    <xf numFmtId="0" fontId="67" fillId="0" borderId="3" xfId="0" applyFont="1" applyBorder="1" applyAlignment="1">
      <alignment vertical="center"/>
    </xf>
    <xf numFmtId="0" fontId="67" fillId="0" borderId="5" xfId="0" applyFont="1" applyBorder="1" applyAlignment="1">
      <alignment vertical="center"/>
    </xf>
    <xf numFmtId="0" fontId="67" fillId="0" borderId="7" xfId="0" applyFont="1" applyBorder="1" applyAlignment="1">
      <alignment horizontal="left" vertical="center" indent="1"/>
    </xf>
    <xf numFmtId="0" fontId="64" fillId="6" borderId="3" xfId="0" applyFont="1" applyFill="1" applyBorder="1" applyAlignment="1">
      <alignment vertical="center"/>
    </xf>
    <xf numFmtId="0" fontId="64" fillId="6" borderId="5" xfId="0" applyFont="1" applyFill="1" applyBorder="1" applyAlignment="1">
      <alignment vertical="center"/>
    </xf>
    <xf numFmtId="0" fontId="64" fillId="6" borderId="8" xfId="0" applyFont="1" applyFill="1" applyBorder="1" applyAlignment="1">
      <alignment vertical="center"/>
    </xf>
    <xf numFmtId="0" fontId="64" fillId="6" borderId="2" xfId="0" applyFont="1" applyFill="1" applyBorder="1" applyAlignment="1">
      <alignment vertical="center"/>
    </xf>
    <xf numFmtId="0" fontId="64" fillId="6" borderId="42" xfId="0" applyFont="1" applyFill="1" applyBorder="1" applyAlignment="1">
      <alignment horizontal="center" vertical="justify"/>
    </xf>
    <xf numFmtId="0" fontId="64" fillId="6" borderId="23" xfId="0" applyFont="1" applyFill="1" applyBorder="1" applyAlignment="1">
      <alignment horizontal="center" vertical="justify"/>
    </xf>
    <xf numFmtId="0" fontId="64" fillId="0" borderId="7" xfId="0" applyFont="1" applyBorder="1" applyAlignment="1">
      <alignment vertical="center"/>
    </xf>
    <xf numFmtId="0" fontId="64" fillId="0" borderId="2" xfId="0" applyFont="1" applyBorder="1" applyAlignment="1">
      <alignment vertical="center"/>
    </xf>
    <xf numFmtId="41" fontId="64" fillId="0" borderId="35" xfId="0" applyNumberFormat="1" applyFont="1" applyBorder="1" applyAlignment="1">
      <alignment horizontal="right" vertical="center"/>
    </xf>
    <xf numFmtId="41" fontId="64" fillId="0" borderId="23" xfId="0" applyNumberFormat="1" applyFont="1" applyBorder="1" applyAlignment="1">
      <alignment horizontal="right" vertical="center"/>
    </xf>
    <xf numFmtId="0" fontId="64" fillId="0" borderId="6" xfId="0" applyFont="1" applyBorder="1" applyAlignment="1">
      <alignment vertical="center" wrapText="1"/>
    </xf>
    <xf numFmtId="0" fontId="70" fillId="5" borderId="0" xfId="0" applyFont="1" applyFill="1" applyBorder="1" applyAlignment="1">
      <alignment horizontal="center" vertical="center" wrapText="1"/>
    </xf>
    <xf numFmtId="0" fontId="67" fillId="0" borderId="6" xfId="0" applyFont="1" applyBorder="1" applyAlignment="1">
      <alignment vertical="center" wrapText="1"/>
    </xf>
    <xf numFmtId="0" fontId="67" fillId="0" borderId="47" xfId="0" applyFont="1" applyBorder="1" applyAlignment="1">
      <alignment vertical="center"/>
    </xf>
    <xf numFmtId="0" fontId="64" fillId="6" borderId="32" xfId="0" applyFont="1" applyFill="1" applyBorder="1" applyAlignment="1">
      <alignment vertical="center"/>
    </xf>
    <xf numFmtId="0" fontId="64" fillId="6" borderId="19" xfId="0" applyFont="1" applyFill="1" applyBorder="1" applyAlignment="1">
      <alignment vertical="center"/>
    </xf>
    <xf numFmtId="0" fontId="6" fillId="3" borderId="38" xfId="0" applyFont="1" applyFill="1" applyBorder="1" applyAlignment="1">
      <alignment horizontal="center" vertical="center"/>
    </xf>
    <xf numFmtId="0" fontId="6" fillId="0" borderId="41"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39" xfId="0" applyFont="1" applyFill="1" applyBorder="1" applyAlignment="1">
      <alignment horizontal="center" vertical="center"/>
    </xf>
    <xf numFmtId="0" fontId="43" fillId="0" borderId="0" xfId="0" applyFont="1" applyAlignment="1">
      <alignment horizontal="center"/>
    </xf>
    <xf numFmtId="0" fontId="5" fillId="0" borderId="0" xfId="0" applyFont="1" applyAlignment="1">
      <alignment horizont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38" fillId="0" borderId="96" xfId="5" applyNumberFormat="1" applyFont="1" applyBorder="1" applyAlignment="1">
      <alignment horizontal="center" vertical="center" wrapText="1"/>
    </xf>
    <xf numFmtId="0" fontId="38" fillId="0" borderId="9" xfId="5" applyNumberFormat="1" applyFont="1" applyBorder="1" applyAlignment="1">
      <alignment horizontal="center" vertical="center" wrapText="1"/>
    </xf>
    <xf numFmtId="0" fontId="38" fillId="0" borderId="46" xfId="5" applyNumberFormat="1" applyFont="1" applyBorder="1" applyAlignment="1">
      <alignment horizontal="center" vertical="center" wrapText="1"/>
    </xf>
    <xf numFmtId="0" fontId="38" fillId="0" borderId="37" xfId="0" applyFont="1" applyBorder="1" applyAlignment="1">
      <alignment horizontal="justify" vertical="center" wrapText="1"/>
    </xf>
    <xf numFmtId="0" fontId="23" fillId="0" borderId="0" xfId="0" applyFont="1" applyAlignment="1">
      <alignment horizontal="center" vertical="center"/>
    </xf>
    <xf numFmtId="168" fontId="38" fillId="0" borderId="96" xfId="5" applyNumberFormat="1" applyFont="1" applyFill="1" applyBorder="1" applyAlignment="1">
      <alignment horizontal="right" vertical="center"/>
    </xf>
    <xf numFmtId="168" fontId="38" fillId="0" borderId="46" xfId="5" applyNumberFormat="1" applyFont="1" applyFill="1" applyBorder="1" applyAlignment="1">
      <alignment horizontal="right" vertical="center"/>
    </xf>
    <xf numFmtId="0" fontId="38" fillId="0" borderId="96" xfId="0" applyFont="1" applyBorder="1" applyAlignment="1">
      <alignment horizontal="center" vertical="center"/>
    </xf>
    <xf numFmtId="0" fontId="38" fillId="0" borderId="46" xfId="0" applyFont="1" applyBorder="1" applyAlignment="1">
      <alignment horizontal="center" vertical="center"/>
    </xf>
    <xf numFmtId="0" fontId="38" fillId="0" borderId="96" xfId="0" applyFont="1" applyBorder="1" applyAlignment="1">
      <alignment horizontal="left" vertical="center" wrapText="1"/>
    </xf>
    <xf numFmtId="0" fontId="38" fillId="0" borderId="46" xfId="0" applyFont="1" applyBorder="1" applyAlignment="1">
      <alignment horizontal="left" vertical="center" wrapText="1"/>
    </xf>
    <xf numFmtId="168" fontId="38" fillId="0" borderId="96" xfId="5" applyNumberFormat="1" applyFont="1" applyBorder="1" applyAlignment="1">
      <alignment horizontal="center" vertical="center"/>
    </xf>
    <xf numFmtId="168" fontId="38" fillId="0" borderId="46" xfId="5" applyNumberFormat="1" applyFont="1" applyBorder="1" applyAlignment="1">
      <alignment horizontal="center" vertical="center"/>
    </xf>
    <xf numFmtId="168" fontId="38" fillId="0" borderId="96" xfId="5" applyNumberFormat="1" applyFont="1" applyFill="1" applyBorder="1" applyAlignment="1">
      <alignment horizontal="center" vertical="center"/>
    </xf>
    <xf numFmtId="168" fontId="38" fillId="0" borderId="46" xfId="5" applyNumberFormat="1" applyFont="1" applyFill="1" applyBorder="1" applyAlignment="1">
      <alignment horizontal="center"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86" fillId="0" borderId="94" xfId="0" applyFont="1" applyBorder="1" applyAlignment="1">
      <alignment horizontal="center" vertical="center"/>
    </xf>
    <xf numFmtId="0" fontId="86" fillId="0" borderId="90" xfId="0" applyFont="1" applyBorder="1" applyAlignment="1">
      <alignment horizontal="center" vertical="center"/>
    </xf>
    <xf numFmtId="0" fontId="86" fillId="0" borderId="95" xfId="0" applyFont="1" applyBorder="1" applyAlignment="1">
      <alignment horizontal="center" vertical="center"/>
    </xf>
    <xf numFmtId="0" fontId="38" fillId="0" borderId="96" xfId="0" applyFont="1" applyBorder="1" applyAlignment="1">
      <alignment horizontal="left" vertical="center"/>
    </xf>
    <xf numFmtId="0" fontId="38" fillId="0" borderId="46" xfId="0" applyFont="1" applyBorder="1" applyAlignment="1">
      <alignment horizontal="left" vertical="center"/>
    </xf>
    <xf numFmtId="168" fontId="38" fillId="0" borderId="96" xfId="5" applyNumberFormat="1" applyFont="1" applyBorder="1" applyAlignment="1">
      <alignment horizontal="center" vertical="center" wrapText="1"/>
    </xf>
    <xf numFmtId="168" fontId="38" fillId="0" borderId="46" xfId="5" applyNumberFormat="1" applyFont="1" applyBorder="1" applyAlignment="1">
      <alignment horizontal="center" vertical="center" wrapText="1"/>
    </xf>
  </cellXfs>
  <cellStyles count="16">
    <cellStyle name="20% - Accent6" xfId="1"/>
    <cellStyle name="Euro" xfId="2"/>
    <cellStyle name="Euro 2" xfId="3"/>
    <cellStyle name="Euro 3" xfId="4"/>
    <cellStyle name="Millares" xfId="5" builtinId="3"/>
    <cellStyle name="Millares 2" xfId="6"/>
    <cellStyle name="Millares 3" xfId="7"/>
    <cellStyle name="Moneda" xfId="8" builtinId="4"/>
    <cellStyle name="Normal" xfId="0" builtinId="0"/>
    <cellStyle name="Normal 2" xfId="9"/>
    <cellStyle name="Normal 3" xfId="10"/>
    <cellStyle name="Normal 3 2" xfId="11"/>
    <cellStyle name="Normal 4" xfId="12"/>
    <cellStyle name="Normal 4 8" xfId="13"/>
    <cellStyle name="Porcentual" xfId="14" builtinId="5"/>
    <cellStyle name="Porcentual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-27993</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TERCER</a:t>
          </a:r>
          <a:r>
            <a:rPr lang="es-MX" sz="1100" b="1" u="sng" baseline="0">
              <a:latin typeface="Arial" pitchFamily="34" charset="0"/>
              <a:cs typeface="Arial" pitchFamily="34" charset="0"/>
            </a:rPr>
            <a:t>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25</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twoCellAnchor>
    <xdr:from>
      <xdr:col>3</xdr:col>
      <xdr:colOff>352425</xdr:colOff>
      <xdr:row>10</xdr:row>
      <xdr:rowOff>85725</xdr:rowOff>
    </xdr:from>
    <xdr:to>
      <xdr:col>6</xdr:col>
      <xdr:colOff>180975</xdr:colOff>
      <xdr:row>13</xdr:row>
      <xdr:rowOff>9525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448050" y="3457575"/>
          <a:ext cx="21145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200" b="1"/>
            <a:t>NO</a:t>
          </a:r>
          <a:r>
            <a:rPr lang="es-MX" sz="3200" b="1" baseline="0"/>
            <a:t>  APLICA</a:t>
          </a:r>
          <a:endParaRPr lang="es-MX" sz="32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23</xdr:colOff>
      <xdr:row>14</xdr:row>
      <xdr:rowOff>97367</xdr:rowOff>
    </xdr:from>
    <xdr:to>
      <xdr:col>8</xdr:col>
      <xdr:colOff>183404</xdr:colOff>
      <xdr:row>30</xdr:row>
      <xdr:rowOff>44450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259440" y="3050117"/>
          <a:ext cx="5506797" cy="303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71948</xdr:colOff>
      <xdr:row>0</xdr:row>
      <xdr:rowOff>29157</xdr:rowOff>
    </xdr:from>
    <xdr:ext cx="85882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29157"/>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603250</xdr:colOff>
      <xdr:row>49</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5</xdr:col>
      <xdr:colOff>317499</xdr:colOff>
      <xdr:row>49</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-27993</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987260</xdr:colOff>
      <xdr:row>0</xdr:row>
      <xdr:rowOff>-27993</xdr:rowOff>
    </xdr:from>
    <xdr:ext cx="898003"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52</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4</xdr:col>
      <xdr:colOff>0</xdr:colOff>
      <xdr:row>52</xdr:row>
      <xdr:rowOff>19049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095750" y="12087224"/>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 TERCERO__</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123825</xdr:colOff>
      <xdr:row>31</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771525</xdr:colOff>
      <xdr:row>87</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:_TERCERO___</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161</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a:p>
          <a:pPr algn="ct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596830</xdr:colOff>
      <xdr:row>28</xdr:row>
      <xdr:rowOff>351947</xdr:rowOff>
    </xdr:from>
    <xdr:ext cx="184731" cy="264560"/>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7588180" y="6752747"/>
          <a:ext cx="184731"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endParaRPr lang="es-MX"/>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295275</xdr:colOff>
      <xdr:row>20</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571500</xdr:colOff>
      <xdr:row>34</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933450</xdr:colOff>
      <xdr:row>34</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73</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0</xdr:colOff>
      <xdr:row>73</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a:t>
          </a:r>
          <a:r>
            <a:rPr lang="es-MX" sz="1100" b="1" u="sng" baseline="0">
              <a:latin typeface="Arial" pitchFamily="34" charset="0"/>
              <a:cs typeface="Arial" pitchFamily="34" charset="0"/>
            </a:rPr>
            <a:t>TERCERO</a:t>
          </a:r>
          <a:endParaRPr lang="es-MX" sz="1100" b="1">
            <a:latin typeface="Arial" pitchFamily="34" charset="0"/>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35</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18</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:__TERCERO____</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24</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:__TERCERO___</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628651</xdr:colOff>
      <xdr:row>46</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:__TERCERO___</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5076825" y="166497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133</xdr:row>
      <xdr:rowOff>0</xdr:rowOff>
    </xdr:from>
    <xdr:ext cx="3200400" cy="662517"/>
    <xdr:sp macro="" textlink="">
      <xdr:nvSpPr>
        <xdr:cNvPr id="7" name="CuadroTexto 5">
          <a:extLst>
            <a:ext uri="{FF2B5EF4-FFF2-40B4-BE49-F238E27FC236}">
              <a16:creationId xmlns:a16="http://schemas.microsoft.com/office/drawing/2014/main" xmlns="" id="{00000000-0008-0000-1900-000007000000}"/>
            </a:ext>
          </a:extLst>
        </xdr:cNvPr>
        <xdr:cNvSpPr txBox="1"/>
      </xdr:nvSpPr>
      <xdr:spPr>
        <a:xfrm>
          <a:off x="695325" y="100203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4</xdr:col>
      <xdr:colOff>95251</xdr:colOff>
      <xdr:row>132</xdr:row>
      <xdr:rowOff>200024</xdr:rowOff>
    </xdr:from>
    <xdr:ext cx="2933699" cy="676275"/>
    <xdr:sp macro="" textlink="">
      <xdr:nvSpPr>
        <xdr:cNvPr id="9" name="CuadroTexto 5">
          <a:extLst>
            <a:ext uri="{FF2B5EF4-FFF2-40B4-BE49-F238E27FC236}">
              <a16:creationId xmlns:a16="http://schemas.microsoft.com/office/drawing/2014/main" xmlns="" id="{00000000-0008-0000-1900-000009000000}"/>
            </a:ext>
          </a:extLst>
        </xdr:cNvPr>
        <xdr:cNvSpPr txBox="1"/>
      </xdr:nvSpPr>
      <xdr:spPr>
        <a:xfrm>
          <a:off x="5133976" y="7820024"/>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35</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3</xdr:col>
      <xdr:colOff>0</xdr:colOff>
      <xdr:row>35</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:__TERCERO___</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776459</xdr:colOff>
      <xdr:row>0</xdr:row>
      <xdr:rowOff>-27993</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94527"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3426892</xdr:colOff>
      <xdr:row>3</xdr:row>
      <xdr:rowOff>107793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713929"/>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709083</xdr:colOff>
      <xdr:row>40</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0</xdr:colOff>
      <xdr:row>40</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-27993</xdr:rowOff>
    </xdr:from>
    <xdr:ext cx="898003"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545247"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400051</xdr:colOff>
      <xdr:row>34</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-27993</xdr:rowOff>
    </xdr:from>
    <xdr:ext cx="898003"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27993"/>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322791</xdr:colOff>
      <xdr:row>35</xdr:row>
      <xdr:rowOff>42334</xdr:rowOff>
    </xdr:from>
    <xdr:ext cx="2973122"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73122"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723900</xdr:colOff>
      <xdr:row>35</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3</xdr:col>
      <xdr:colOff>245349</xdr:colOff>
      <xdr:row>0</xdr:row>
      <xdr:rowOff>24338</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58917" y="24338"/>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69</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GERENET</a:t>
          </a:r>
          <a:r>
            <a:rPr lang="es-MX" sz="1100" baseline="0"/>
            <a:t> DE ADMINISTRACION Y FINANZAS</a:t>
          </a:r>
          <a:endParaRPr lang="es-MX" sz="1100"/>
        </a:p>
      </xdr:txBody>
    </xdr:sp>
    <xdr:clientData/>
  </xdr:oneCellAnchor>
  <xdr:oneCellAnchor>
    <xdr:from>
      <xdr:col>1</xdr:col>
      <xdr:colOff>5820835</xdr:colOff>
      <xdr:row>69</xdr:row>
      <xdr:rowOff>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5926668"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41</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-25876</xdr:rowOff>
    </xdr:from>
    <xdr:ext cx="93718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5876"/>
          <a:ext cx="93718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41</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twoCellAnchor>
    <xdr:from>
      <xdr:col>1</xdr:col>
      <xdr:colOff>1121855</xdr:colOff>
      <xdr:row>14</xdr:row>
      <xdr:rowOff>21167</xdr:rowOff>
    </xdr:from>
    <xdr:to>
      <xdr:col>4</xdr:col>
      <xdr:colOff>170413</xdr:colOff>
      <xdr:row>15</xdr:row>
      <xdr:rowOff>200025</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1248855" y="3175000"/>
          <a:ext cx="44672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1100" b="1"/>
            <a:t>NO APLICA POR QUE EN ESTE EJERCICIO NO SE REALIZO OBRA PUBLICA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6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09650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194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editAs="oneCell">
    <xdr:from>
      <xdr:col>0</xdr:col>
      <xdr:colOff>0</xdr:colOff>
      <xdr:row>98</xdr:row>
      <xdr:rowOff>38100</xdr:rowOff>
    </xdr:from>
    <xdr:to>
      <xdr:col>19</xdr:col>
      <xdr:colOff>1162050</xdr:colOff>
      <xdr:row>156</xdr:row>
      <xdr:rowOff>34290</xdr:rowOff>
    </xdr:to>
    <xdr:pic>
      <xdr:nvPicPr>
        <xdr:cNvPr id="5621" name="Imagen 5620">
          <a:extLst>
            <a:ext uri="{FF2B5EF4-FFF2-40B4-BE49-F238E27FC236}">
              <a16:creationId xmlns:a16="http://schemas.microsoft.com/office/drawing/2014/main" xmlns="" id="{515ED237-C083-49CE-8587-678DA15F8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25184100"/>
          <a:ext cx="19335750" cy="1104519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6</xdr:col>
      <xdr:colOff>609600</xdr:colOff>
      <xdr:row>24</xdr:row>
      <xdr:rowOff>0</xdr:rowOff>
    </xdr:from>
    <xdr:to>
      <xdr:col>6</xdr:col>
      <xdr:colOff>3924300</xdr:colOff>
      <xdr:row>25</xdr:row>
      <xdr:rowOff>0</xdr:rowOff>
    </xdr:to>
    <xdr:sp macro="" textlink="" fLocksText="0">
      <xdr:nvSpPr>
        <xdr:cNvPr id="5617" name="Text Box 1">
          <a:extLst>
            <a:ext uri="{FF2B5EF4-FFF2-40B4-BE49-F238E27FC236}">
              <a16:creationId xmlns:a16="http://schemas.microsoft.com/office/drawing/2014/main" xmlns="" id="{34AC50FC-2500-427C-B6ED-5CF7A4A5474B}"/>
            </a:ext>
          </a:extLst>
        </xdr:cNvPr>
        <xdr:cNvSpPr txBox="1">
          <a:spLocks noChangeArrowheads="1"/>
        </xdr:cNvSpPr>
      </xdr:nvSpPr>
      <xdr:spPr bwMode="auto">
        <a:xfrm>
          <a:off x="4095750" y="10848975"/>
          <a:ext cx="3314700" cy="234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1</xdr:col>
      <xdr:colOff>177800</xdr:colOff>
      <xdr:row>24</xdr:row>
      <xdr:rowOff>0</xdr:rowOff>
    </xdr:from>
    <xdr:to>
      <xdr:col>6</xdr:col>
      <xdr:colOff>1028700</xdr:colOff>
      <xdr:row>25</xdr:row>
      <xdr:rowOff>0</xdr:rowOff>
    </xdr:to>
    <xdr:sp macro="" textlink="" fLocksText="0">
      <xdr:nvSpPr>
        <xdr:cNvPr id="5618" name="Text Box 2">
          <a:extLst>
            <a:ext uri="{FF2B5EF4-FFF2-40B4-BE49-F238E27FC236}">
              <a16:creationId xmlns:a16="http://schemas.microsoft.com/office/drawing/2014/main" xmlns="" id="{82BA93A5-9BF7-4CF1-A539-B89A74F482E3}"/>
            </a:ext>
          </a:extLst>
        </xdr:cNvPr>
        <xdr:cNvSpPr txBox="1">
          <a:spLocks noChangeArrowheads="1"/>
        </xdr:cNvSpPr>
      </xdr:nvSpPr>
      <xdr:spPr bwMode="auto">
        <a:xfrm>
          <a:off x="177800" y="10848975"/>
          <a:ext cx="4337050" cy="815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editAs="oneCell">
    <xdr:from>
      <xdr:col>0</xdr:col>
      <xdr:colOff>0</xdr:colOff>
      <xdr:row>29</xdr:row>
      <xdr:rowOff>0</xdr:rowOff>
    </xdr:from>
    <xdr:to>
      <xdr:col>20</xdr:col>
      <xdr:colOff>38100</xdr:colOff>
      <xdr:row>96</xdr:row>
      <xdr:rowOff>129067</xdr:rowOff>
    </xdr:to>
    <xdr:pic>
      <xdr:nvPicPr>
        <xdr:cNvPr id="5619" name="Imagen 5618">
          <a:extLst>
            <a:ext uri="{FF2B5EF4-FFF2-40B4-BE49-F238E27FC236}">
              <a16:creationId xmlns:a16="http://schemas.microsoft.com/office/drawing/2014/main" xmlns="" id="{3DC41554-BC5C-46B3-A26B-579079B9B5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12858749"/>
          <a:ext cx="19392900" cy="1289256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oneCellAnchor>
    <xdr:from>
      <xdr:col>4</xdr:col>
      <xdr:colOff>89686</xdr:colOff>
      <xdr:row>0</xdr:row>
      <xdr:rowOff>-27993</xdr:rowOff>
    </xdr:from>
    <xdr:ext cx="952890"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27993"/>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90</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1</xdr:col>
      <xdr:colOff>3581401</xdr:colOff>
      <xdr:row>90</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0</xdr:colOff>
      <xdr:row>26</xdr:row>
      <xdr:rowOff>0</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2878667"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793749</xdr:colOff>
      <xdr:row>3</xdr:row>
      <xdr:rowOff>201084</xdr:rowOff>
    </xdr:from>
    <xdr:ext cx="2790824" cy="254557"/>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oneCellAnchor>
    <xdr:from>
      <xdr:col>5</xdr:col>
      <xdr:colOff>111124</xdr:colOff>
      <xdr:row>0</xdr:row>
      <xdr:rowOff>-37324</xdr:rowOff>
    </xdr:from>
    <xdr:ext cx="858825"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96187" y="-37324"/>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154333</xdr:colOff>
      <xdr:row>0</xdr:row>
      <xdr:rowOff>-27896</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83288" y="-27896"/>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TERCERO</a:t>
          </a:r>
          <a:endParaRPr lang="es-MX" sz="1100" b="1">
            <a:latin typeface="Arial" pitchFamily="34" charset="0"/>
            <a:cs typeface="Arial" pitchFamily="34" charset="0"/>
          </a:endParaRP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 </a:t>
          </a:r>
          <a:endParaRPr lang="es-MX" sz="1100"/>
        </a:p>
      </xdr:txBody>
    </xdr:sp>
    <xdr:clientData/>
  </xdr:oneCellAnchor>
  <xdr:oneCellAnchor>
    <xdr:from>
      <xdr:col>0</xdr:col>
      <xdr:colOff>4333875</xdr:colOff>
      <xdr:row>65</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67</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1</xdr:col>
      <xdr:colOff>3033345</xdr:colOff>
      <xdr:row>67</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a:t>
          </a:r>
          <a:r>
            <a:rPr lang="es-MX" sz="1100" b="1" u="sng">
              <a:latin typeface="Arial" pitchFamily="34" charset="0"/>
              <a:cs typeface="Arial" pitchFamily="34" charset="0"/>
            </a:rPr>
            <a:t>TERCERO</a:t>
          </a:r>
          <a:endParaRPr lang="es-MX" sz="1100" b="1">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-27993</xdr:rowOff>
    </xdr:from>
    <xdr:ext cx="85882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2799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-8943</xdr:rowOff>
    </xdr:from>
    <xdr:ext cx="85882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54464" y="-8943"/>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LIC.</a:t>
          </a:r>
          <a:r>
            <a:rPr lang="es-MX" sz="1100" baseline="0"/>
            <a:t> GASPAR GABRIEL GIRÓN ORTEGA</a:t>
          </a:r>
          <a:endParaRPr lang="es-MX" sz="1100"/>
        </a:p>
        <a:p>
          <a:pPr algn="ctr"/>
          <a:r>
            <a:rPr lang="es-MX" sz="1100"/>
            <a:t>GERENTE</a:t>
          </a:r>
          <a:r>
            <a:rPr lang="es-MX" sz="1100" baseline="0"/>
            <a:t> DE ADMINISTRACION Y FINANZAS</a:t>
          </a:r>
          <a:endParaRPr lang="es-MX" sz="1100"/>
        </a:p>
      </xdr:txBody>
    </xdr:sp>
    <xdr:clientData/>
  </xdr:oneCellAnchor>
  <xdr:oneCellAnchor>
    <xdr:from>
      <xdr:col>3</xdr:col>
      <xdr:colOff>0</xdr:colOff>
      <xdr:row>43</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40</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LIC.</a:t>
          </a:r>
          <a:r>
            <a:rPr lang="es-MX" sz="1200" baseline="0"/>
            <a:t> GASPAR GABRIEL GIRÓN ORTEGA</a:t>
          </a:r>
          <a:endParaRPr lang="es-MX" sz="1200"/>
        </a:p>
        <a:p>
          <a:pPr algn="ctr"/>
          <a:r>
            <a:rPr lang="es-MX" sz="1200"/>
            <a:t>GERENTE</a:t>
          </a:r>
          <a:r>
            <a:rPr lang="es-MX" sz="1200" baseline="0"/>
            <a:t> DE ADMINISTRACION Y FINANZAS</a:t>
          </a:r>
          <a:endParaRPr lang="es-MX" sz="1200"/>
        </a:p>
      </xdr:txBody>
    </xdr:sp>
    <xdr:clientData/>
  </xdr:oneCellAnchor>
  <xdr:oneCellAnchor>
    <xdr:from>
      <xdr:col>5</xdr:col>
      <xdr:colOff>0</xdr:colOff>
      <xdr:row>40</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u="sng">
              <a:latin typeface="Arial" pitchFamily="34" charset="0"/>
              <a:cs typeface="Arial" pitchFamily="34" charset="0"/>
            </a:rPr>
            <a:t>:_TERCERO__</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cienda.sonora.gob.mx/media/2776/Users/America%20Encinas/AppData/Roaming/Microsoft/Excel/PT%20Gastos%20x%20partida%20ppt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56"/>
  <sheetViews>
    <sheetView tabSelected="1" view="pageBreakPreview" topLeftCell="A7" zoomScale="112" zoomScaleSheetLayoutView="112" workbookViewId="0">
      <selection activeCell="C15" sqref="C15"/>
    </sheetView>
  </sheetViews>
  <sheetFormatPr baseColWidth="10" defaultRowHeight="15"/>
  <cols>
    <col min="3" max="3" width="68.42578125" customWidth="1"/>
  </cols>
  <sheetData>
    <row r="1" spans="1:3" s="3" customFormat="1" ht="27.75" customHeight="1">
      <c r="A1" s="822"/>
      <c r="B1" s="42" t="s">
        <v>0</v>
      </c>
      <c r="C1" s="822"/>
    </row>
    <row r="2" spans="1:3" s="3" customFormat="1" ht="4.5" customHeight="1">
      <c r="A2" s="822"/>
      <c r="B2" s="822"/>
      <c r="C2" s="822"/>
    </row>
    <row r="3" spans="1:3" s="3" customFormat="1" ht="19.5" customHeight="1" thickBot="1">
      <c r="A3" s="44" t="s">
        <v>1060</v>
      </c>
      <c r="B3" s="43"/>
      <c r="C3" s="43"/>
    </row>
    <row r="4" spans="1:3" ht="17.25" customHeight="1" thickBot="1">
      <c r="A4" s="1176" t="s">
        <v>1004</v>
      </c>
      <c r="B4" s="1177"/>
      <c r="C4" s="1178"/>
    </row>
    <row r="5" spans="1:3" ht="17.25" customHeight="1" thickBot="1">
      <c r="A5" s="823">
        <v>1</v>
      </c>
      <c r="B5" s="824" t="s">
        <v>1005</v>
      </c>
      <c r="C5" s="824" t="s">
        <v>24</v>
      </c>
    </row>
    <row r="6" spans="1:3" ht="17.25" customHeight="1" thickBot="1">
      <c r="A6" s="825">
        <v>2</v>
      </c>
      <c r="B6" s="826" t="s">
        <v>1006</v>
      </c>
      <c r="C6" s="826" t="s">
        <v>1007</v>
      </c>
    </row>
    <row r="7" spans="1:3" ht="17.25" customHeight="1" thickBot="1">
      <c r="A7" s="823">
        <v>3</v>
      </c>
      <c r="B7" s="824" t="s">
        <v>1008</v>
      </c>
      <c r="C7" s="824" t="s">
        <v>1</v>
      </c>
    </row>
    <row r="8" spans="1:3" ht="17.25" customHeight="1" thickBot="1">
      <c r="A8" s="823">
        <v>4</v>
      </c>
      <c r="B8" s="824" t="s">
        <v>1009</v>
      </c>
      <c r="C8" s="824" t="s">
        <v>2</v>
      </c>
    </row>
    <row r="9" spans="1:3" ht="17.25" customHeight="1" thickBot="1">
      <c r="A9" s="823">
        <v>5</v>
      </c>
      <c r="B9" s="824" t="s">
        <v>1010</v>
      </c>
      <c r="C9" s="824" t="s">
        <v>3</v>
      </c>
    </row>
    <row r="10" spans="1:3" ht="17.25" customHeight="1" thickBot="1">
      <c r="A10" s="823">
        <v>6</v>
      </c>
      <c r="B10" s="824" t="s">
        <v>1011</v>
      </c>
      <c r="C10" s="824" t="s">
        <v>4</v>
      </c>
    </row>
    <row r="11" spans="1:3" ht="17.25" customHeight="1" thickBot="1">
      <c r="A11" s="823">
        <v>7</v>
      </c>
      <c r="B11" s="824" t="s">
        <v>1012</v>
      </c>
      <c r="C11" s="824" t="s">
        <v>5</v>
      </c>
    </row>
    <row r="12" spans="1:3" ht="17.25" customHeight="1" thickBot="1">
      <c r="A12" s="823">
        <v>8</v>
      </c>
      <c r="B12" s="824" t="s">
        <v>1013</v>
      </c>
      <c r="C12" s="824" t="s">
        <v>6</v>
      </c>
    </row>
    <row r="13" spans="1:3" ht="17.25" customHeight="1" thickBot="1">
      <c r="A13" s="825">
        <v>9</v>
      </c>
      <c r="B13" s="826" t="s">
        <v>1014</v>
      </c>
      <c r="C13" s="826" t="s">
        <v>7</v>
      </c>
    </row>
    <row r="14" spans="1:3" ht="17.25" customHeight="1" thickBot="1">
      <c r="A14" s="825">
        <v>10</v>
      </c>
      <c r="B14" s="826" t="s">
        <v>1015</v>
      </c>
      <c r="C14" s="826" t="s">
        <v>1016</v>
      </c>
    </row>
    <row r="15" spans="1:3" ht="17.25" customHeight="1" thickBot="1">
      <c r="A15" s="823">
        <v>11</v>
      </c>
      <c r="B15" s="824" t="s">
        <v>1017</v>
      </c>
      <c r="C15" s="824" t="s">
        <v>8</v>
      </c>
    </row>
    <row r="16" spans="1:3" ht="17.25" customHeight="1" thickBot="1">
      <c r="A16" s="823">
        <v>12</v>
      </c>
      <c r="B16" s="824" t="s">
        <v>1018</v>
      </c>
      <c r="C16" s="824" t="s">
        <v>9</v>
      </c>
    </row>
    <row r="17" spans="1:3" ht="17.25" customHeight="1" thickBot="1">
      <c r="A17" s="1176" t="s">
        <v>10</v>
      </c>
      <c r="B17" s="1177"/>
      <c r="C17" s="1178"/>
    </row>
    <row r="18" spans="1:3" ht="17.25" customHeight="1" thickBot="1">
      <c r="A18" s="823">
        <v>13</v>
      </c>
      <c r="B18" s="824" t="s">
        <v>1019</v>
      </c>
      <c r="C18" s="824" t="s">
        <v>11</v>
      </c>
    </row>
    <row r="19" spans="1:3" ht="17.25" customHeight="1" thickBot="1">
      <c r="A19" s="825">
        <v>14</v>
      </c>
      <c r="B19" s="826" t="s">
        <v>1020</v>
      </c>
      <c r="C19" s="826" t="s">
        <v>1021</v>
      </c>
    </row>
    <row r="20" spans="1:3" ht="17.25" customHeight="1" thickBot="1">
      <c r="A20" s="823">
        <v>15</v>
      </c>
      <c r="B20" s="824" t="s">
        <v>1022</v>
      </c>
      <c r="C20" s="824" t="s">
        <v>1023</v>
      </c>
    </row>
    <row r="21" spans="1:3" ht="17.25" customHeight="1" thickBot="1">
      <c r="A21" s="823">
        <v>16</v>
      </c>
      <c r="B21" s="824" t="s">
        <v>1024</v>
      </c>
      <c r="C21" s="824" t="s">
        <v>559</v>
      </c>
    </row>
    <row r="22" spans="1:3" ht="17.25" customHeight="1">
      <c r="A22" s="1174">
        <v>17</v>
      </c>
      <c r="B22" s="1174" t="s">
        <v>1025</v>
      </c>
      <c r="C22" s="827" t="s">
        <v>1026</v>
      </c>
    </row>
    <row r="23" spans="1:3" ht="17.25" customHeight="1" thickBot="1">
      <c r="A23" s="1175"/>
      <c r="B23" s="1175"/>
      <c r="C23" s="826" t="s">
        <v>1027</v>
      </c>
    </row>
    <row r="24" spans="1:3" ht="17.25" customHeight="1">
      <c r="A24" s="1179">
        <v>18</v>
      </c>
      <c r="B24" s="1179" t="s">
        <v>1028</v>
      </c>
      <c r="C24" s="828" t="s">
        <v>559</v>
      </c>
    </row>
    <row r="25" spans="1:3" ht="17.25" customHeight="1" thickBot="1">
      <c r="A25" s="1180"/>
      <c r="B25" s="1180"/>
      <c r="C25" s="824" t="s">
        <v>1029</v>
      </c>
    </row>
    <row r="26" spans="1:3" ht="17.25" customHeight="1">
      <c r="A26" s="1179">
        <v>19</v>
      </c>
      <c r="B26" s="1179" t="s">
        <v>1030</v>
      </c>
      <c r="C26" s="828" t="s">
        <v>559</v>
      </c>
    </row>
    <row r="27" spans="1:3" ht="17.25" customHeight="1" thickBot="1">
      <c r="A27" s="1180"/>
      <c r="B27" s="1180"/>
      <c r="C27" s="824" t="s">
        <v>1031</v>
      </c>
    </row>
    <row r="28" spans="1:3" ht="17.25" customHeight="1" thickBot="1">
      <c r="A28" s="825">
        <v>20</v>
      </c>
      <c r="B28" s="826" t="s">
        <v>1032</v>
      </c>
      <c r="C28" s="826" t="s">
        <v>12</v>
      </c>
    </row>
    <row r="29" spans="1:3" ht="17.25" customHeight="1">
      <c r="A29" s="1179">
        <v>21</v>
      </c>
      <c r="B29" s="1179" t="s">
        <v>1033</v>
      </c>
      <c r="C29" s="828" t="s">
        <v>559</v>
      </c>
    </row>
    <row r="30" spans="1:3" ht="17.25" customHeight="1" thickBot="1">
      <c r="A30" s="1180"/>
      <c r="B30" s="1180"/>
      <c r="C30" s="824" t="s">
        <v>1034</v>
      </c>
    </row>
    <row r="31" spans="1:3" ht="17.25" customHeight="1">
      <c r="A31" s="1179">
        <v>22</v>
      </c>
      <c r="B31" s="1179" t="s">
        <v>1035</v>
      </c>
      <c r="C31" s="828" t="s">
        <v>559</v>
      </c>
    </row>
    <row r="32" spans="1:3" ht="17.25" customHeight="1" thickBot="1">
      <c r="A32" s="1180"/>
      <c r="B32" s="1180"/>
      <c r="C32" s="824" t="s">
        <v>1036</v>
      </c>
    </row>
    <row r="33" spans="1:3" ht="17.25" customHeight="1">
      <c r="A33" s="1179">
        <v>23</v>
      </c>
      <c r="B33" s="1179" t="s">
        <v>1037</v>
      </c>
      <c r="C33" s="828" t="s">
        <v>559</v>
      </c>
    </row>
    <row r="34" spans="1:3" ht="17.25" customHeight="1" thickBot="1">
      <c r="A34" s="1180"/>
      <c r="B34" s="1180"/>
      <c r="C34" s="824" t="s">
        <v>744</v>
      </c>
    </row>
    <row r="35" spans="1:3" ht="17.25" customHeight="1">
      <c r="A35" s="1174">
        <v>24</v>
      </c>
      <c r="B35" s="1174" t="s">
        <v>1038</v>
      </c>
      <c r="C35" s="827" t="s">
        <v>1039</v>
      </c>
    </row>
    <row r="36" spans="1:3" ht="17.25" customHeight="1" thickBot="1">
      <c r="A36" s="1175"/>
      <c r="B36" s="1175"/>
      <c r="C36" s="826" t="s">
        <v>744</v>
      </c>
    </row>
    <row r="37" spans="1:3" ht="17.25" customHeight="1">
      <c r="A37" s="1179">
        <v>25</v>
      </c>
      <c r="B37" s="1179" t="s">
        <v>1040</v>
      </c>
      <c r="C37" s="828" t="s">
        <v>559</v>
      </c>
    </row>
    <row r="38" spans="1:3" ht="17.25" customHeight="1" thickBot="1">
      <c r="A38" s="1180"/>
      <c r="B38" s="1180"/>
      <c r="C38" s="824" t="s">
        <v>810</v>
      </c>
    </row>
    <row r="39" spans="1:3" ht="17.25" customHeight="1">
      <c r="A39" s="1174">
        <v>26</v>
      </c>
      <c r="B39" s="1174" t="s">
        <v>1041</v>
      </c>
      <c r="C39" s="827" t="s">
        <v>1042</v>
      </c>
    </row>
    <row r="40" spans="1:3" ht="17.25" customHeight="1" thickBot="1">
      <c r="A40" s="1175"/>
      <c r="B40" s="1175"/>
      <c r="C40" s="826" t="s">
        <v>837</v>
      </c>
    </row>
    <row r="41" spans="1:3" ht="17.25" customHeight="1" thickBot="1">
      <c r="A41" s="823">
        <v>27</v>
      </c>
      <c r="B41" s="824" t="s">
        <v>1043</v>
      </c>
      <c r="C41" s="824" t="s">
        <v>1044</v>
      </c>
    </row>
    <row r="42" spans="1:3" ht="17.25" customHeight="1" thickBot="1">
      <c r="A42" s="823">
        <v>28</v>
      </c>
      <c r="B42" s="824" t="s">
        <v>1045</v>
      </c>
      <c r="C42" s="824" t="s">
        <v>14</v>
      </c>
    </row>
    <row r="43" spans="1:3" ht="17.25" customHeight="1" thickBot="1">
      <c r="A43" s="823">
        <v>29</v>
      </c>
      <c r="B43" s="824" t="s">
        <v>1046</v>
      </c>
      <c r="C43" s="824" t="s">
        <v>1047</v>
      </c>
    </row>
    <row r="44" spans="1:3" ht="17.25" customHeight="1" thickBot="1">
      <c r="A44" s="1176" t="s">
        <v>15</v>
      </c>
      <c r="B44" s="1177"/>
      <c r="C44" s="1178"/>
    </row>
    <row r="45" spans="1:3" ht="17.25" customHeight="1" thickBot="1">
      <c r="A45" s="823">
        <v>30</v>
      </c>
      <c r="B45" s="824" t="s">
        <v>1048</v>
      </c>
      <c r="C45" s="824" t="s">
        <v>16</v>
      </c>
    </row>
    <row r="46" spans="1:3" ht="17.25" customHeight="1" thickBot="1">
      <c r="A46" s="823">
        <v>31</v>
      </c>
      <c r="B46" s="824" t="s">
        <v>1049</v>
      </c>
      <c r="C46" s="824" t="s">
        <v>1101</v>
      </c>
    </row>
    <row r="47" spans="1:3" ht="17.25" customHeight="1" thickBot="1">
      <c r="A47" s="823">
        <v>32</v>
      </c>
      <c r="B47" s="824" t="s">
        <v>1050</v>
      </c>
      <c r="C47" s="824" t="s">
        <v>17</v>
      </c>
    </row>
    <row r="48" spans="1:3" ht="17.25" customHeight="1" thickBot="1">
      <c r="A48" s="823">
        <v>33</v>
      </c>
      <c r="B48" s="824" t="s">
        <v>1051</v>
      </c>
      <c r="C48" s="824" t="s">
        <v>1052</v>
      </c>
    </row>
    <row r="49" spans="1:3" ht="17.25" customHeight="1" thickBot="1">
      <c r="A49" s="825">
        <v>34</v>
      </c>
      <c r="B49" s="826" t="s">
        <v>1053</v>
      </c>
      <c r="C49" s="826" t="s">
        <v>1003</v>
      </c>
    </row>
    <row r="50" spans="1:3" ht="17.25" customHeight="1" thickBot="1">
      <c r="A50" s="1176" t="s">
        <v>1054</v>
      </c>
      <c r="B50" s="1177"/>
      <c r="C50" s="1178"/>
    </row>
    <row r="51" spans="1:3" ht="17.25" customHeight="1" thickBot="1">
      <c r="A51" s="823">
        <v>35</v>
      </c>
      <c r="B51" s="824" t="s">
        <v>1055</v>
      </c>
      <c r="C51" s="824" t="s">
        <v>18</v>
      </c>
    </row>
    <row r="52" spans="1:3" ht="17.25" customHeight="1" thickBot="1">
      <c r="A52" s="825">
        <v>36</v>
      </c>
      <c r="B52" s="826" t="s">
        <v>1056</v>
      </c>
      <c r="C52" s="826" t="s">
        <v>19</v>
      </c>
    </row>
    <row r="53" spans="1:3" ht="17.25" customHeight="1" thickBot="1">
      <c r="A53" s="823">
        <v>37</v>
      </c>
      <c r="B53" s="824" t="s">
        <v>1057</v>
      </c>
      <c r="C53" s="824" t="s">
        <v>20</v>
      </c>
    </row>
    <row r="54" spans="1:3" ht="17.25" customHeight="1" thickBot="1">
      <c r="A54" s="823">
        <v>38</v>
      </c>
      <c r="B54" s="824" t="s">
        <v>1058</v>
      </c>
      <c r="C54" s="824" t="s">
        <v>1103</v>
      </c>
    </row>
    <row r="55" spans="1:3" ht="17.25" customHeight="1" thickBot="1">
      <c r="A55" s="823">
        <v>39</v>
      </c>
      <c r="B55" s="824" t="s">
        <v>1059</v>
      </c>
      <c r="C55" s="824" t="s">
        <v>1102</v>
      </c>
    </row>
    <row r="56" spans="1:3" ht="17.25" customHeight="1" thickBot="1">
      <c r="A56" s="823">
        <v>40</v>
      </c>
      <c r="B56" s="824" t="s">
        <v>21</v>
      </c>
      <c r="C56" s="824" t="s">
        <v>22</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rintOptions horizontalCentered="1"/>
  <pageMargins left="0.51181102362204722" right="0.5118110236220472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topLeftCell="A19" zoomScale="120" zoomScaleSheetLayoutView="120" workbookViewId="0">
      <selection activeCell="G19" sqref="G19"/>
    </sheetView>
  </sheetViews>
  <sheetFormatPr baseColWidth="10" defaultColWidth="11.42578125" defaultRowHeight="15"/>
  <cols>
    <col min="1" max="1" width="4.7109375" customWidth="1"/>
    <col min="2" max="2" width="30.28515625" customWidth="1"/>
    <col min="3" max="3" width="13.85546875" bestFit="1" customWidth="1"/>
    <col min="4" max="4" width="12.42578125" customWidth="1"/>
    <col min="5" max="5" width="13.85546875" bestFit="1" customWidth="1"/>
    <col min="6" max="6" width="13.42578125" customWidth="1"/>
    <col min="7" max="7" width="13.85546875" bestFit="1" customWidth="1"/>
    <col min="8" max="9" width="12.42578125" customWidth="1"/>
  </cols>
  <sheetData>
    <row r="1" spans="1:10" ht="15.75">
      <c r="A1" s="1182" t="s">
        <v>23</v>
      </c>
      <c r="B1" s="1182"/>
      <c r="C1" s="1182"/>
      <c r="D1" s="1182"/>
      <c r="E1" s="1182"/>
      <c r="F1" s="1182"/>
      <c r="G1" s="1182"/>
      <c r="H1" s="1182"/>
      <c r="I1" s="1182"/>
    </row>
    <row r="2" spans="1:10" ht="15.75" customHeight="1">
      <c r="A2" s="1183" t="s">
        <v>320</v>
      </c>
      <c r="B2" s="1183"/>
      <c r="C2" s="1183"/>
      <c r="D2" s="1183"/>
      <c r="E2" s="1183"/>
      <c r="F2" s="1183"/>
      <c r="G2" s="1183"/>
      <c r="H2" s="1183"/>
      <c r="I2" s="1183"/>
    </row>
    <row r="3" spans="1:10" s="51" customFormat="1" ht="16.5">
      <c r="A3" s="1183" t="str">
        <f>'ETCA-I-01'!A3:G3</f>
        <v>TELEVISORA DE HERMOSILLO, S.A. DE C.V.</v>
      </c>
      <c r="B3" s="1183"/>
      <c r="C3" s="1183"/>
      <c r="D3" s="1183"/>
      <c r="E3" s="1183"/>
      <c r="F3" s="1183"/>
      <c r="G3" s="1183"/>
      <c r="H3" s="1183"/>
      <c r="I3" s="1183"/>
    </row>
    <row r="4" spans="1:10" ht="15" customHeight="1">
      <c r="A4" s="1227" t="str">
        <f>'ETCA-I-03'!A4:D4</f>
        <v>Del 01 de Enero al 30 de Septiembre de 2018</v>
      </c>
      <c r="B4" s="1227"/>
      <c r="C4" s="1227"/>
      <c r="D4" s="1227"/>
      <c r="E4" s="1227"/>
      <c r="F4" s="1227"/>
      <c r="G4" s="1227"/>
      <c r="H4" s="1227"/>
      <c r="I4" s="1227"/>
    </row>
    <row r="5" spans="1:10" ht="15.75" customHeight="1" thickBot="1">
      <c r="A5" s="1228" t="s">
        <v>87</v>
      </c>
      <c r="B5" s="1228"/>
      <c r="C5" s="1228"/>
      <c r="D5" s="1228"/>
      <c r="E5" s="1228"/>
      <c r="F5" s="1228"/>
      <c r="G5" s="1228"/>
      <c r="H5" s="1228"/>
      <c r="I5" s="1228"/>
    </row>
    <row r="6" spans="1:10" ht="24" customHeight="1">
      <c r="A6" s="1229" t="s">
        <v>321</v>
      </c>
      <c r="B6" s="1230"/>
      <c r="C6" s="621" t="s">
        <v>322</v>
      </c>
      <c r="D6" s="1233" t="s">
        <v>323</v>
      </c>
      <c r="E6" s="1233" t="s">
        <v>324</v>
      </c>
      <c r="F6" s="1233" t="s">
        <v>325</v>
      </c>
      <c r="G6" s="621" t="s">
        <v>326</v>
      </c>
      <c r="H6" s="1233" t="s">
        <v>327</v>
      </c>
      <c r="I6" s="1233" t="s">
        <v>328</v>
      </c>
    </row>
    <row r="7" spans="1:10" ht="34.5" customHeight="1" thickBot="1">
      <c r="A7" s="1231"/>
      <c r="B7" s="1232"/>
      <c r="C7" s="787" t="s">
        <v>1104</v>
      </c>
      <c r="D7" s="1234"/>
      <c r="E7" s="1234"/>
      <c r="F7" s="1234"/>
      <c r="G7" s="787" t="s">
        <v>329</v>
      </c>
      <c r="H7" s="1234"/>
      <c r="I7" s="1234"/>
    </row>
    <row r="8" spans="1:10" ht="5.25" customHeight="1">
      <c r="A8" s="1235"/>
      <c r="B8" s="1236"/>
      <c r="C8" s="786"/>
      <c r="D8" s="786"/>
      <c r="E8" s="786"/>
      <c r="F8" s="786"/>
      <c r="G8" s="786"/>
      <c r="H8" s="786"/>
      <c r="I8" s="786"/>
    </row>
    <row r="9" spans="1:10">
      <c r="A9" s="1225" t="s">
        <v>330</v>
      </c>
      <c r="B9" s="1226"/>
      <c r="C9" s="667">
        <f>C10+C14</f>
        <v>72500028</v>
      </c>
      <c r="D9" s="667">
        <f t="shared" ref="D9:I9" si="0">D10+D14</f>
        <v>0</v>
      </c>
      <c r="E9" s="667">
        <f t="shared" si="0"/>
        <v>7499988</v>
      </c>
      <c r="F9" s="667">
        <f t="shared" si="0"/>
        <v>0</v>
      </c>
      <c r="G9" s="667">
        <f>+C9+D9-E9+F9</f>
        <v>65000040</v>
      </c>
      <c r="H9" s="667">
        <f t="shared" si="0"/>
        <v>0</v>
      </c>
      <c r="I9" s="667">
        <f t="shared" si="0"/>
        <v>0</v>
      </c>
    </row>
    <row r="10" spans="1:10" ht="16.5">
      <c r="A10" s="1225" t="s">
        <v>331</v>
      </c>
      <c r="B10" s="1226"/>
      <c r="C10" s="667">
        <f>SUM(C11:C13)</f>
        <v>0</v>
      </c>
      <c r="D10" s="667">
        <f t="shared" ref="D10:I10" si="1">SUM(D11:D13)</f>
        <v>0</v>
      </c>
      <c r="E10" s="667">
        <f t="shared" si="1"/>
        <v>0</v>
      </c>
      <c r="F10" s="667">
        <f t="shared" si="1"/>
        <v>0</v>
      </c>
      <c r="G10" s="667">
        <f t="shared" si="1"/>
        <v>9999984</v>
      </c>
      <c r="H10" s="667">
        <f t="shared" si="1"/>
        <v>0</v>
      </c>
      <c r="I10" s="667">
        <f t="shared" si="1"/>
        <v>0</v>
      </c>
      <c r="J10" s="430" t="str">
        <f>IF(C10&lt;&gt;'ETCA-I-08'!E21,"ERROR!!!!! NO CONCUERDA CON LO REPORTADO EN EL ESTADO ANALITICO  DE LA DEUDA Y OTROS PASIVOS","")</f>
        <v/>
      </c>
    </row>
    <row r="11" spans="1:10" ht="16.5">
      <c r="A11" s="785"/>
      <c r="B11" s="789" t="s">
        <v>332</v>
      </c>
      <c r="C11" s="691">
        <v>0</v>
      </c>
      <c r="D11" s="691">
        <v>0</v>
      </c>
      <c r="E11" s="691">
        <v>0</v>
      </c>
      <c r="F11" s="691">
        <v>0</v>
      </c>
      <c r="G11" s="667">
        <v>9999984</v>
      </c>
      <c r="H11" s="691">
        <v>0</v>
      </c>
      <c r="I11" s="691">
        <v>0</v>
      </c>
      <c r="J11" s="430" t="str">
        <f>IF(G10&lt;&gt;'ETCA-I-08'!F21,"ERROR!!!!! NO CONCUERDA CON LO REPORTADO EN EL ESTADO ANALITICO  DE LA DEUDA Y OTROS PASIVOS","")</f>
        <v/>
      </c>
    </row>
    <row r="12" spans="1:10">
      <c r="A12" s="788"/>
      <c r="B12" s="789" t="s">
        <v>333</v>
      </c>
      <c r="C12" s="691">
        <v>0</v>
      </c>
      <c r="D12" s="691">
        <v>0</v>
      </c>
      <c r="E12" s="691">
        <v>0</v>
      </c>
      <c r="F12" s="691">
        <v>0</v>
      </c>
      <c r="G12" s="667">
        <f>+C12+D12-E12+F12</f>
        <v>0</v>
      </c>
      <c r="H12" s="691">
        <v>0</v>
      </c>
      <c r="I12" s="691">
        <v>0</v>
      </c>
    </row>
    <row r="13" spans="1:10">
      <c r="A13" s="788"/>
      <c r="B13" s="789" t="s">
        <v>334</v>
      </c>
      <c r="C13" s="691">
        <v>0</v>
      </c>
      <c r="D13" s="691">
        <v>0</v>
      </c>
      <c r="E13" s="691">
        <v>0</v>
      </c>
      <c r="F13" s="691">
        <v>0</v>
      </c>
      <c r="G13" s="667">
        <f>+C13+D13-E13+F13</f>
        <v>0</v>
      </c>
      <c r="H13" s="691">
        <v>0</v>
      </c>
      <c r="I13" s="691">
        <v>0</v>
      </c>
    </row>
    <row r="14" spans="1:10" ht="16.5">
      <c r="A14" s="1225" t="s">
        <v>335</v>
      </c>
      <c r="B14" s="1226"/>
      <c r="C14" s="667">
        <f t="shared" ref="C14:I14" si="2">SUM(C15:C17)</f>
        <v>72500028</v>
      </c>
      <c r="D14" s="667">
        <f t="shared" si="2"/>
        <v>0</v>
      </c>
      <c r="E14" s="667">
        <f t="shared" si="2"/>
        <v>7499988</v>
      </c>
      <c r="F14" s="667">
        <f t="shared" si="2"/>
        <v>0</v>
      </c>
      <c r="G14" s="667">
        <f t="shared" si="2"/>
        <v>55000056</v>
      </c>
      <c r="H14" s="667">
        <f t="shared" si="2"/>
        <v>0</v>
      </c>
      <c r="I14" s="667">
        <f t="shared" si="2"/>
        <v>0</v>
      </c>
      <c r="J14" s="430" t="str">
        <f>IF(C14&lt;&gt;'ETCA-I-08'!E35,"ERROR!!!!! NO CONCUERDA CON LO REPORTADO EN EL ESTADO ANALITICO DE LA DEUDA Y OTROS PASIVOS","")</f>
        <v/>
      </c>
    </row>
    <row r="15" spans="1:10" ht="16.5">
      <c r="A15" s="785"/>
      <c r="B15" s="789" t="s">
        <v>336</v>
      </c>
      <c r="C15" s="691">
        <v>72500028</v>
      </c>
      <c r="D15" s="691">
        <v>0</v>
      </c>
      <c r="E15" s="691">
        <v>7499988</v>
      </c>
      <c r="F15" s="691">
        <v>0</v>
      </c>
      <c r="G15" s="667">
        <v>55000056</v>
      </c>
      <c r="H15" s="691">
        <v>0</v>
      </c>
      <c r="I15" s="691">
        <v>0</v>
      </c>
      <c r="J15" s="430" t="str">
        <f>IF(G14&lt;&gt;'ETCA-I-08'!F35,"ERROR!!!!! NO CONCUERDA CON LO REPORTADO EN EL ESTADO ANALITICO DE LA DEUDA Y OTROS PASIVOS","")</f>
        <v/>
      </c>
    </row>
    <row r="16" spans="1:10">
      <c r="A16" s="788"/>
      <c r="B16" s="789" t="s">
        <v>337</v>
      </c>
      <c r="C16" s="691">
        <v>0</v>
      </c>
      <c r="D16" s="691">
        <v>0</v>
      </c>
      <c r="E16" s="691">
        <v>0</v>
      </c>
      <c r="F16" s="691">
        <v>0</v>
      </c>
      <c r="G16" s="667">
        <f>+C16+D16-E16+F16</f>
        <v>0</v>
      </c>
      <c r="H16" s="691">
        <v>0</v>
      </c>
      <c r="I16" s="691">
        <v>0</v>
      </c>
    </row>
    <row r="17" spans="1:10">
      <c r="A17" s="788"/>
      <c r="B17" s="789" t="s">
        <v>338</v>
      </c>
      <c r="C17" s="691">
        <v>0</v>
      </c>
      <c r="D17" s="691">
        <v>0</v>
      </c>
      <c r="E17" s="691">
        <v>0</v>
      </c>
      <c r="F17" s="691">
        <v>0</v>
      </c>
      <c r="G17" s="667">
        <f>+C17+D17-E17+F17</f>
        <v>0</v>
      </c>
      <c r="H17" s="691">
        <v>0</v>
      </c>
      <c r="I17" s="691">
        <v>0</v>
      </c>
    </row>
    <row r="18" spans="1:10" s="663" customFormat="1" ht="16.5">
      <c r="A18" s="1225" t="s">
        <v>339</v>
      </c>
      <c r="B18" s="1226"/>
      <c r="C18" s="770">
        <v>29337821</v>
      </c>
      <c r="D18" s="710"/>
      <c r="E18" s="710"/>
      <c r="F18" s="710"/>
      <c r="G18" s="770">
        <v>30095594</v>
      </c>
      <c r="H18" s="710"/>
      <c r="I18" s="710"/>
      <c r="J18" s="430" t="str">
        <f>IF(C18&lt;&gt;'ETCA-I-08'!E37,"ERROR!!! NO CONCUERDA CON LO REPORTADO EN EL ESTADO ANALITICO DE LA DEUDA Y OTROS PASIVOS","")</f>
        <v/>
      </c>
    </row>
    <row r="19" spans="1:10" ht="16.5" customHeight="1">
      <c r="A19" s="1225" t="s">
        <v>340</v>
      </c>
      <c r="B19" s="1226"/>
      <c r="C19" s="667">
        <f t="shared" ref="C19:I19" si="3">C9+C18</f>
        <v>101837849</v>
      </c>
      <c r="D19" s="667">
        <f t="shared" si="3"/>
        <v>0</v>
      </c>
      <c r="E19" s="667">
        <f t="shared" si="3"/>
        <v>7499988</v>
      </c>
      <c r="F19" s="667">
        <f t="shared" si="3"/>
        <v>0</v>
      </c>
      <c r="G19" s="667">
        <f t="shared" si="3"/>
        <v>95095634</v>
      </c>
      <c r="H19" s="667">
        <f t="shared" si="3"/>
        <v>0</v>
      </c>
      <c r="I19" s="667">
        <f t="shared" si="3"/>
        <v>0</v>
      </c>
      <c r="J19" s="430" t="str">
        <f>IF(G18&lt;&gt;'ETCA-I-08'!F37,"ERROR!!! NO CONCUERDA CON LO REPORTADO EN EL ESTADO ANALITICO DE LA DEUDA Y OTROS PASIVOS","")</f>
        <v/>
      </c>
    </row>
    <row r="20" spans="1:10" ht="16.5" customHeight="1">
      <c r="A20" s="1225" t="s">
        <v>341</v>
      </c>
      <c r="B20" s="1226"/>
      <c r="C20" s="755">
        <f>SUM(C21:C23)</f>
        <v>0</v>
      </c>
      <c r="D20" s="667">
        <f t="shared" ref="D20:I20" si="4">SUM(D21:D23)</f>
        <v>0</v>
      </c>
      <c r="E20" s="667">
        <f t="shared" si="4"/>
        <v>0</v>
      </c>
      <c r="F20" s="667">
        <f t="shared" si="4"/>
        <v>0</v>
      </c>
      <c r="G20" s="667">
        <f>+C20+D20-E20+F20</f>
        <v>0</v>
      </c>
      <c r="H20" s="667">
        <f t="shared" si="4"/>
        <v>0</v>
      </c>
      <c r="I20" s="667">
        <f t="shared" si="4"/>
        <v>0</v>
      </c>
      <c r="J20" s="430" t="str">
        <f>IF(G19&lt;&gt;'ETCA-I-08'!F39,"ERROR!!!! NO CONCUERDA CON LO REPORTADO EN EL ESTADO ANALITICO DE LA DEUDA Y OTROS PASIVOS","")</f>
        <v/>
      </c>
    </row>
    <row r="21" spans="1:10">
      <c r="A21" s="1244" t="s">
        <v>342</v>
      </c>
      <c r="B21" s="1245"/>
      <c r="C21" s="691">
        <v>0</v>
      </c>
      <c r="D21" s="691">
        <v>0</v>
      </c>
      <c r="E21" s="691">
        <v>0</v>
      </c>
      <c r="F21" s="691">
        <v>0</v>
      </c>
      <c r="G21" s="667">
        <f>+C21+D21-E21+F21</f>
        <v>0</v>
      </c>
      <c r="H21" s="691">
        <v>0</v>
      </c>
      <c r="I21" s="691">
        <v>0</v>
      </c>
      <c r="J21" t="str">
        <f>IF(C19&lt;&gt;'ETCA-I-08'!E39,"ERROR!!!!! , NO CONCUERDA CON LO REPORTADO EN EL ESTADO ANALITICO DE LA DEUDA Y OTROS PASIVOS","")</f>
        <v/>
      </c>
    </row>
    <row r="22" spans="1:10">
      <c r="A22" s="1244" t="s">
        <v>343</v>
      </c>
      <c r="B22" s="1245"/>
      <c r="C22" s="691">
        <v>0</v>
      </c>
      <c r="D22" s="691">
        <v>0</v>
      </c>
      <c r="E22" s="691">
        <v>0</v>
      </c>
      <c r="F22" s="691">
        <v>0</v>
      </c>
      <c r="G22" s="667">
        <f>+C22+D22-E22+F22</f>
        <v>0</v>
      </c>
      <c r="H22" s="691">
        <v>0</v>
      </c>
      <c r="I22" s="691">
        <v>0</v>
      </c>
    </row>
    <row r="23" spans="1:10">
      <c r="A23" s="1244" t="s">
        <v>344</v>
      </c>
      <c r="B23" s="1245"/>
      <c r="C23" s="691"/>
      <c r="D23" s="691"/>
      <c r="E23" s="691"/>
      <c r="F23" s="691"/>
      <c r="G23" s="667">
        <f>+C23+D23-E23+F23</f>
        <v>0</v>
      </c>
      <c r="H23" s="691"/>
      <c r="I23" s="691"/>
    </row>
    <row r="24" spans="1:10" ht="16.5" customHeight="1">
      <c r="A24" s="1225" t="s">
        <v>345</v>
      </c>
      <c r="B24" s="1226"/>
      <c r="C24" s="667">
        <f>SUM(C25:C27)</f>
        <v>0</v>
      </c>
      <c r="D24" s="667">
        <f t="shared" ref="D24:I24" si="5">SUM(D25:D27)</f>
        <v>0</v>
      </c>
      <c r="E24" s="667">
        <f t="shared" si="5"/>
        <v>0</v>
      </c>
      <c r="F24" s="667">
        <f t="shared" si="5"/>
        <v>0</v>
      </c>
      <c r="G24" s="667">
        <f t="shared" si="5"/>
        <v>0</v>
      </c>
      <c r="H24" s="667">
        <f t="shared" si="5"/>
        <v>0</v>
      </c>
      <c r="I24" s="667">
        <f t="shared" si="5"/>
        <v>0</v>
      </c>
    </row>
    <row r="25" spans="1:10">
      <c r="A25" s="1244" t="s">
        <v>346</v>
      </c>
      <c r="B25" s="1245"/>
      <c r="C25" s="691">
        <v>0</v>
      </c>
      <c r="D25" s="691">
        <v>0</v>
      </c>
      <c r="E25" s="691">
        <v>0</v>
      </c>
      <c r="F25" s="691">
        <v>0</v>
      </c>
      <c r="G25" s="667">
        <f>+C25+D25-E25+F25</f>
        <v>0</v>
      </c>
      <c r="H25" s="691">
        <v>0</v>
      </c>
      <c r="I25" s="691">
        <v>0</v>
      </c>
    </row>
    <row r="26" spans="1:10">
      <c r="A26" s="1244" t="s">
        <v>347</v>
      </c>
      <c r="B26" s="1245"/>
      <c r="C26" s="691">
        <v>0</v>
      </c>
      <c r="D26" s="691">
        <v>0</v>
      </c>
      <c r="E26" s="691">
        <v>0</v>
      </c>
      <c r="F26" s="691">
        <v>0</v>
      </c>
      <c r="G26" s="667">
        <f>+C26+D26-E26+F26</f>
        <v>0</v>
      </c>
      <c r="H26" s="691">
        <v>0</v>
      </c>
      <c r="I26" s="691">
        <v>0</v>
      </c>
    </row>
    <row r="27" spans="1:10">
      <c r="A27" s="1244" t="s">
        <v>348</v>
      </c>
      <c r="B27" s="1245"/>
      <c r="C27" s="691">
        <v>0</v>
      </c>
      <c r="D27" s="691">
        <v>0</v>
      </c>
      <c r="E27" s="691">
        <v>0</v>
      </c>
      <c r="F27" s="691">
        <v>0</v>
      </c>
      <c r="G27" s="667">
        <f>+C27+D27-E27+F27</f>
        <v>0</v>
      </c>
      <c r="H27" s="691">
        <v>0</v>
      </c>
      <c r="I27" s="691">
        <v>0</v>
      </c>
    </row>
    <row r="28" spans="1:10" ht="7.5" customHeight="1" thickBot="1">
      <c r="A28" s="1246"/>
      <c r="B28" s="1247"/>
      <c r="C28" s="670"/>
      <c r="D28" s="670"/>
      <c r="E28" s="670"/>
      <c r="F28" s="670"/>
      <c r="G28" s="670"/>
      <c r="H28" s="670"/>
      <c r="I28" s="670"/>
    </row>
    <row r="29" spans="1:10" ht="3.75" customHeight="1"/>
    <row r="30" spans="1:10" ht="33" customHeight="1">
      <c r="B30" s="633">
        <v>1</v>
      </c>
      <c r="C30" s="1237" t="s">
        <v>349</v>
      </c>
      <c r="D30" s="1237"/>
      <c r="E30" s="1237"/>
      <c r="F30" s="1237"/>
      <c r="G30" s="1237"/>
      <c r="H30" s="1237"/>
      <c r="I30" s="1237"/>
    </row>
    <row r="31" spans="1:10" ht="18.75" customHeight="1">
      <c r="B31" s="633">
        <v>2</v>
      </c>
      <c r="C31" s="1237" t="s">
        <v>350</v>
      </c>
      <c r="D31" s="1237"/>
      <c r="E31" s="1237"/>
      <c r="F31" s="1237"/>
      <c r="G31" s="1237"/>
      <c r="H31" s="1237"/>
      <c r="I31" s="1237"/>
    </row>
    <row r="32" spans="1:10" ht="3.75" customHeight="1" thickBot="1"/>
    <row r="33" spans="2:7">
      <c r="B33" s="1238" t="s">
        <v>351</v>
      </c>
      <c r="C33" s="628" t="s">
        <v>352</v>
      </c>
      <c r="D33" s="628" t="s">
        <v>353</v>
      </c>
      <c r="E33" s="628" t="s">
        <v>354</v>
      </c>
      <c r="F33" s="1241" t="s">
        <v>355</v>
      </c>
      <c r="G33" s="628" t="s">
        <v>356</v>
      </c>
    </row>
    <row r="34" spans="2:7">
      <c r="B34" s="1239"/>
      <c r="C34" s="618" t="s">
        <v>357</v>
      </c>
      <c r="D34" s="618" t="s">
        <v>358</v>
      </c>
      <c r="E34" s="618" t="s">
        <v>359</v>
      </c>
      <c r="F34" s="1242"/>
      <c r="G34" s="618" t="s">
        <v>360</v>
      </c>
    </row>
    <row r="35" spans="2:7" ht="15.75" thickBot="1">
      <c r="B35" s="1240"/>
      <c r="C35" s="629"/>
      <c r="D35" s="619" t="s">
        <v>361</v>
      </c>
      <c r="E35" s="629"/>
      <c r="F35" s="1243"/>
      <c r="G35" s="629"/>
    </row>
    <row r="36" spans="2:7" ht="18">
      <c r="B36" s="630" t="s">
        <v>362</v>
      </c>
      <c r="C36" s="620"/>
      <c r="D36" s="620"/>
      <c r="E36" s="620"/>
      <c r="F36" s="620"/>
      <c r="G36" s="620"/>
    </row>
    <row r="37" spans="2:7">
      <c r="B37" s="631" t="s">
        <v>363</v>
      </c>
      <c r="C37" s="668">
        <v>45000000</v>
      </c>
      <c r="D37" s="668">
        <v>120</v>
      </c>
      <c r="E37" s="668" t="s">
        <v>1115</v>
      </c>
      <c r="F37" s="668">
        <v>1610200</v>
      </c>
      <c r="G37" s="945">
        <v>7.9603000000000002</v>
      </c>
    </row>
    <row r="38" spans="2:7">
      <c r="B38" s="631" t="s">
        <v>364</v>
      </c>
      <c r="C38" s="668">
        <v>45000000</v>
      </c>
      <c r="D38" s="668">
        <v>120</v>
      </c>
      <c r="E38" s="668" t="s">
        <v>1115</v>
      </c>
      <c r="F38" s="668">
        <v>1610200</v>
      </c>
      <c r="G38" s="945">
        <v>7.9603000000000002</v>
      </c>
    </row>
    <row r="39" spans="2:7" ht="15.75" thickBot="1">
      <c r="B39" s="632" t="s">
        <v>365</v>
      </c>
      <c r="C39" s="669"/>
      <c r="D39" s="669"/>
      <c r="E39" s="669"/>
      <c r="F39" s="669"/>
      <c r="G39" s="669"/>
    </row>
  </sheetData>
  <sheetProtection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topLeftCell="A13" zoomScaleSheetLayoutView="100" workbookViewId="0">
      <selection activeCell="A3" sqref="A3:K3"/>
    </sheetView>
  </sheetViews>
  <sheetFormatPr baseColWidth="10" defaultColWidth="11.42578125" defaultRowHeight="15"/>
  <cols>
    <col min="1" max="1" width="23.5703125" customWidth="1"/>
  </cols>
  <sheetData>
    <row r="1" spans="1:11" ht="15.75">
      <c r="A1" s="1182" t="s">
        <v>23</v>
      </c>
      <c r="B1" s="1182"/>
      <c r="C1" s="1182"/>
      <c r="D1" s="1182"/>
      <c r="E1" s="1182"/>
      <c r="F1" s="1182"/>
      <c r="G1" s="1182"/>
      <c r="H1" s="1182"/>
      <c r="I1" s="1182"/>
      <c r="J1" s="1182"/>
      <c r="K1" s="1182"/>
    </row>
    <row r="2" spans="1:11" ht="15.75" customHeight="1">
      <c r="A2" s="1183" t="s">
        <v>366</v>
      </c>
      <c r="B2" s="1183"/>
      <c r="C2" s="1183"/>
      <c r="D2" s="1183"/>
      <c r="E2" s="1183"/>
      <c r="F2" s="1183"/>
      <c r="G2" s="1183"/>
      <c r="H2" s="1183"/>
      <c r="I2" s="1183"/>
      <c r="J2" s="1183"/>
      <c r="K2" s="1183"/>
    </row>
    <row r="3" spans="1:11" ht="16.5" customHeight="1">
      <c r="A3" s="1183" t="str">
        <f>'ETCA-I-01'!A3:G3</f>
        <v>TELEVISORA DE HERMOSILLO, S.A. DE C.V.</v>
      </c>
      <c r="B3" s="1183"/>
      <c r="C3" s="1183"/>
      <c r="D3" s="1183"/>
      <c r="E3" s="1183"/>
      <c r="F3" s="1183"/>
      <c r="G3" s="1183"/>
      <c r="H3" s="1183"/>
      <c r="I3" s="1183"/>
      <c r="J3" s="1183"/>
      <c r="K3" s="1183"/>
    </row>
    <row r="4" spans="1:11" ht="15.75" customHeight="1">
      <c r="A4" s="1227" t="str">
        <f>'ETCA-I-09'!A4:I4</f>
        <v>Del 01 de Enero al 30 de Septiembre de 2018</v>
      </c>
      <c r="B4" s="1227"/>
      <c r="C4" s="1227"/>
      <c r="D4" s="1227"/>
      <c r="E4" s="1227"/>
      <c r="F4" s="1227"/>
      <c r="G4" s="1227"/>
      <c r="H4" s="1227"/>
      <c r="I4" s="1227"/>
      <c r="J4" s="1227"/>
      <c r="K4" s="1227"/>
    </row>
    <row r="5" spans="1:11" ht="15.75" thickBot="1">
      <c r="A5" s="1228" t="s">
        <v>87</v>
      </c>
      <c r="B5" s="1228"/>
      <c r="C5" s="1228"/>
      <c r="D5" s="1228"/>
      <c r="E5" s="1228"/>
      <c r="F5" s="1228"/>
      <c r="G5" s="1228"/>
      <c r="H5" s="1228"/>
      <c r="I5" s="1228"/>
      <c r="J5" s="1228"/>
      <c r="K5" s="1228"/>
    </row>
    <row r="6" spans="1:11" ht="115.5" thickBot="1">
      <c r="A6" s="622" t="s">
        <v>367</v>
      </c>
      <c r="B6" s="623" t="s">
        <v>368</v>
      </c>
      <c r="C6" s="623" t="s">
        <v>369</v>
      </c>
      <c r="D6" s="623" t="s">
        <v>370</v>
      </c>
      <c r="E6" s="623" t="s">
        <v>371</v>
      </c>
      <c r="F6" s="623" t="s">
        <v>372</v>
      </c>
      <c r="G6" s="623" t="s">
        <v>373</v>
      </c>
      <c r="H6" s="623" t="s">
        <v>374</v>
      </c>
      <c r="I6" s="849" t="s">
        <v>1073</v>
      </c>
      <c r="J6" s="849" t="s">
        <v>1074</v>
      </c>
      <c r="K6" s="849" t="s">
        <v>1075</v>
      </c>
    </row>
    <row r="7" spans="1:11">
      <c r="A7" s="615"/>
      <c r="B7" s="617"/>
      <c r="C7" s="617"/>
      <c r="D7" s="617"/>
      <c r="E7" s="617"/>
      <c r="F7" s="617"/>
      <c r="G7" s="617"/>
      <c r="H7" s="617"/>
      <c r="I7" s="617"/>
      <c r="J7" s="617"/>
      <c r="K7" s="617"/>
    </row>
    <row r="8" spans="1:11" ht="25.5">
      <c r="A8" s="624" t="s">
        <v>375</v>
      </c>
      <c r="B8" s="671">
        <f t="shared" ref="B8:J8" si="0">B9+B10+B11+B12</f>
        <v>0</v>
      </c>
      <c r="C8" s="671">
        <f t="shared" si="0"/>
        <v>0</v>
      </c>
      <c r="D8" s="671">
        <f t="shared" si="0"/>
        <v>0</v>
      </c>
      <c r="E8" s="671">
        <f t="shared" si="0"/>
        <v>0</v>
      </c>
      <c r="F8" s="671">
        <f t="shared" si="0"/>
        <v>0</v>
      </c>
      <c r="G8" s="671">
        <f t="shared" si="0"/>
        <v>0</v>
      </c>
      <c r="H8" s="671">
        <f t="shared" si="0"/>
        <v>0</v>
      </c>
      <c r="I8" s="671">
        <f t="shared" si="0"/>
        <v>0</v>
      </c>
      <c r="J8" s="671">
        <f t="shared" si="0"/>
        <v>0</v>
      </c>
      <c r="K8" s="671">
        <f>E8-J8</f>
        <v>0</v>
      </c>
    </row>
    <row r="9" spans="1:11">
      <c r="A9" s="625" t="s">
        <v>376</v>
      </c>
      <c r="B9" s="682">
        <v>0</v>
      </c>
      <c r="C9" s="682">
        <v>0</v>
      </c>
      <c r="D9" s="682">
        <v>0</v>
      </c>
      <c r="E9" s="682">
        <v>0</v>
      </c>
      <c r="F9" s="682">
        <v>0</v>
      </c>
      <c r="G9" s="682">
        <v>0</v>
      </c>
      <c r="H9" s="682">
        <v>0</v>
      </c>
      <c r="I9" s="682">
        <v>0</v>
      </c>
      <c r="J9" s="682">
        <v>0</v>
      </c>
      <c r="K9" s="671">
        <f>E9-J9</f>
        <v>0</v>
      </c>
    </row>
    <row r="10" spans="1:11">
      <c r="A10" s="625" t="s">
        <v>377</v>
      </c>
      <c r="B10" s="682">
        <v>0</v>
      </c>
      <c r="C10" s="682"/>
      <c r="D10" s="682"/>
      <c r="E10" s="682">
        <v>0</v>
      </c>
      <c r="F10" s="682"/>
      <c r="G10" s="682"/>
      <c r="H10" s="682"/>
      <c r="I10" s="682"/>
      <c r="J10" s="682">
        <v>0</v>
      </c>
      <c r="K10" s="671">
        <f>E10-J10</f>
        <v>0</v>
      </c>
    </row>
    <row r="11" spans="1:11">
      <c r="A11" s="625" t="s">
        <v>378</v>
      </c>
      <c r="B11" s="682">
        <v>0</v>
      </c>
      <c r="C11" s="682">
        <v>0</v>
      </c>
      <c r="D11" s="682">
        <v>0</v>
      </c>
      <c r="E11" s="682">
        <v>0</v>
      </c>
      <c r="F11" s="682">
        <v>0</v>
      </c>
      <c r="G11" s="682">
        <v>0</v>
      </c>
      <c r="H11" s="682">
        <v>0</v>
      </c>
      <c r="I11" s="682">
        <v>0</v>
      </c>
      <c r="J11" s="682">
        <v>0</v>
      </c>
      <c r="K11" s="671">
        <f>E11-J11</f>
        <v>0</v>
      </c>
    </row>
    <row r="12" spans="1:11">
      <c r="A12" s="625" t="s">
        <v>379</v>
      </c>
      <c r="B12" s="682">
        <v>0</v>
      </c>
      <c r="C12" s="682"/>
      <c r="D12" s="682"/>
      <c r="E12" s="682">
        <v>0</v>
      </c>
      <c r="F12" s="682"/>
      <c r="G12" s="682"/>
      <c r="H12" s="682"/>
      <c r="I12" s="682"/>
      <c r="J12" s="682">
        <v>0</v>
      </c>
      <c r="K12" s="671">
        <f>E12-J12</f>
        <v>0</v>
      </c>
    </row>
    <row r="13" spans="1:11">
      <c r="A13" s="616"/>
      <c r="B13" s="671"/>
      <c r="C13" s="671"/>
      <c r="D13" s="671"/>
      <c r="E13" s="671"/>
      <c r="F13" s="671"/>
      <c r="G13" s="671"/>
      <c r="H13" s="671"/>
      <c r="I13" s="671"/>
      <c r="J13" s="671"/>
      <c r="K13" s="671"/>
    </row>
    <row r="14" spans="1:11" ht="25.5">
      <c r="A14" s="624" t="s">
        <v>380</v>
      </c>
      <c r="B14" s="671">
        <f t="shared" ref="B14:J14" si="1">B15+B16+B17+B18</f>
        <v>0</v>
      </c>
      <c r="C14" s="671">
        <f t="shared" si="1"/>
        <v>0</v>
      </c>
      <c r="D14" s="671">
        <f t="shared" si="1"/>
        <v>0</v>
      </c>
      <c r="E14" s="671">
        <f t="shared" si="1"/>
        <v>0</v>
      </c>
      <c r="F14" s="671">
        <f t="shared" si="1"/>
        <v>0</v>
      </c>
      <c r="G14" s="671">
        <f t="shared" si="1"/>
        <v>0</v>
      </c>
      <c r="H14" s="671">
        <f t="shared" si="1"/>
        <v>0</v>
      </c>
      <c r="I14" s="671">
        <f t="shared" si="1"/>
        <v>0</v>
      </c>
      <c r="J14" s="671">
        <f t="shared" si="1"/>
        <v>0</v>
      </c>
      <c r="K14" s="671">
        <f>E14-J14</f>
        <v>0</v>
      </c>
    </row>
    <row r="15" spans="1:11">
      <c r="A15" s="625" t="s">
        <v>381</v>
      </c>
      <c r="B15" s="682">
        <v>0</v>
      </c>
      <c r="C15" s="682"/>
      <c r="D15" s="682"/>
      <c r="E15" s="682">
        <v>0</v>
      </c>
      <c r="F15" s="682"/>
      <c r="G15" s="682"/>
      <c r="H15" s="682"/>
      <c r="I15" s="682"/>
      <c r="J15" s="682"/>
      <c r="K15" s="671">
        <f>E15-J15</f>
        <v>0</v>
      </c>
    </row>
    <row r="16" spans="1:11">
      <c r="A16" s="625" t="s">
        <v>382</v>
      </c>
      <c r="B16" s="682">
        <v>0</v>
      </c>
      <c r="C16" s="682"/>
      <c r="D16" s="682">
        <v>0</v>
      </c>
      <c r="E16" s="682">
        <v>0</v>
      </c>
      <c r="F16" s="682">
        <v>0</v>
      </c>
      <c r="G16" s="682">
        <v>0</v>
      </c>
      <c r="H16" s="682">
        <v>0</v>
      </c>
      <c r="I16" s="682">
        <v>0</v>
      </c>
      <c r="J16" s="682">
        <v>0</v>
      </c>
      <c r="K16" s="671">
        <f>E16-J16</f>
        <v>0</v>
      </c>
    </row>
    <row r="17" spans="1:11">
      <c r="A17" s="625" t="s">
        <v>383</v>
      </c>
      <c r="B17" s="682">
        <v>0</v>
      </c>
      <c r="C17" s="682">
        <v>0</v>
      </c>
      <c r="D17" s="682"/>
      <c r="E17" s="682">
        <v>0</v>
      </c>
      <c r="F17" s="682"/>
      <c r="G17" s="682"/>
      <c r="H17" s="682"/>
      <c r="I17" s="682"/>
      <c r="J17" s="682"/>
      <c r="K17" s="671">
        <f>E17-J17</f>
        <v>0</v>
      </c>
    </row>
    <row r="18" spans="1:11">
      <c r="A18" s="625" t="s">
        <v>384</v>
      </c>
      <c r="B18" s="682">
        <v>0</v>
      </c>
      <c r="C18" s="682"/>
      <c r="D18" s="682"/>
      <c r="E18" s="682">
        <v>0</v>
      </c>
      <c r="F18" s="682"/>
      <c r="G18" s="682"/>
      <c r="H18" s="682"/>
      <c r="I18" s="682"/>
      <c r="J18" s="682"/>
      <c r="K18" s="671">
        <f>E18-J18</f>
        <v>0</v>
      </c>
    </row>
    <row r="19" spans="1:11">
      <c r="A19" s="616"/>
      <c r="B19" s="671">
        <v>0</v>
      </c>
      <c r="C19" s="671"/>
      <c r="D19" s="671"/>
      <c r="E19" s="671"/>
      <c r="F19" s="671"/>
      <c r="G19" s="671"/>
      <c r="H19" s="671"/>
      <c r="I19" s="671"/>
      <c r="J19" s="671"/>
      <c r="K19" s="683"/>
    </row>
    <row r="20" spans="1:11" ht="38.25">
      <c r="A20" s="624" t="s">
        <v>385</v>
      </c>
      <c r="B20" s="671">
        <f>B8+B14</f>
        <v>0</v>
      </c>
      <c r="C20" s="671">
        <f t="shared" ref="C20:J20" si="2">C8+C14</f>
        <v>0</v>
      </c>
      <c r="D20" s="671">
        <f t="shared" si="2"/>
        <v>0</v>
      </c>
      <c r="E20" s="671">
        <f t="shared" si="2"/>
        <v>0</v>
      </c>
      <c r="F20" s="671">
        <f t="shared" si="2"/>
        <v>0</v>
      </c>
      <c r="G20" s="671">
        <f t="shared" si="2"/>
        <v>0</v>
      </c>
      <c r="H20" s="671">
        <f t="shared" si="2"/>
        <v>0</v>
      </c>
      <c r="I20" s="671">
        <f t="shared" si="2"/>
        <v>0</v>
      </c>
      <c r="J20" s="671">
        <f t="shared" si="2"/>
        <v>0</v>
      </c>
      <c r="K20" s="671">
        <f>E20-J20</f>
        <v>0</v>
      </c>
    </row>
    <row r="21" spans="1:11" ht="15.75" thickBot="1">
      <c r="A21" s="626"/>
      <c r="B21" s="627"/>
      <c r="C21" s="627"/>
      <c r="D21" s="627"/>
      <c r="E21" s="627"/>
      <c r="F21" s="627"/>
      <c r="G21" s="627"/>
      <c r="H21" s="627"/>
      <c r="I21" s="627"/>
      <c r="J21" s="627"/>
      <c r="K21" s="627"/>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2"/>
  <sheetViews>
    <sheetView view="pageBreakPreview" topLeftCell="A10" zoomScale="90" zoomScaleSheetLayoutView="90" workbookViewId="0">
      <selection activeCell="J32" sqref="J32"/>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256" t="s">
        <v>23</v>
      </c>
      <c r="B1" s="1256"/>
      <c r="C1" s="1256"/>
      <c r="D1" s="1256"/>
      <c r="E1" s="1256"/>
      <c r="F1" s="1256"/>
      <c r="G1" s="1256"/>
      <c r="H1" s="1256"/>
      <c r="I1" s="1256"/>
    </row>
    <row r="2" spans="1:9">
      <c r="A2" s="1258" t="s">
        <v>8</v>
      </c>
      <c r="B2" s="1258"/>
      <c r="C2" s="1258"/>
      <c r="D2" s="1258"/>
      <c r="E2" s="1258"/>
      <c r="F2" s="1258"/>
      <c r="G2" s="1258"/>
      <c r="H2" s="1258"/>
      <c r="I2" s="1258"/>
    </row>
    <row r="3" spans="1:9">
      <c r="A3" s="1257" t="str">
        <f>'ETCA-I-01'!A3:G3</f>
        <v>TELEVISORA DE HERMOSILLO, S.A. DE C.V.</v>
      </c>
      <c r="B3" s="1257"/>
      <c r="C3" s="1257"/>
      <c r="D3" s="1257"/>
      <c r="E3" s="1257"/>
      <c r="F3" s="1257"/>
      <c r="G3" s="1257"/>
      <c r="H3" s="1257"/>
      <c r="I3" s="1257"/>
    </row>
    <row r="4" spans="1:9">
      <c r="A4" s="1257" t="str">
        <f>'ETCA-I-01'!A4:G4</f>
        <v>Al 30 de Septiembre de 2018</v>
      </c>
      <c r="B4" s="1257"/>
      <c r="C4" s="1257"/>
      <c r="D4" s="1257"/>
      <c r="E4" s="1257"/>
      <c r="F4" s="1257"/>
      <c r="G4" s="1257"/>
      <c r="H4" s="1257"/>
      <c r="I4" s="1257"/>
    </row>
    <row r="5" spans="1:9" ht="18" customHeight="1" thickBot="1">
      <c r="A5" s="5"/>
      <c r="B5" s="1259" t="s">
        <v>386</v>
      </c>
      <c r="C5" s="1259"/>
      <c r="D5" s="1259"/>
      <c r="E5" s="1259"/>
      <c r="F5" s="1259"/>
      <c r="G5" s="1259"/>
      <c r="H5" s="325"/>
      <c r="I5" s="5"/>
    </row>
    <row r="6" spans="1:9">
      <c r="A6" s="8"/>
      <c r="B6" s="9"/>
      <c r="C6" s="9"/>
      <c r="D6" s="9"/>
      <c r="E6" s="9"/>
      <c r="F6" s="9"/>
      <c r="G6" s="9"/>
      <c r="H6" s="9"/>
      <c r="I6" s="10"/>
    </row>
    <row r="7" spans="1:9">
      <c r="A7" s="11"/>
      <c r="B7" s="12"/>
      <c r="C7" s="12"/>
      <c r="D7" s="12"/>
      <c r="E7" s="12"/>
      <c r="F7" s="12"/>
      <c r="G7" s="12"/>
      <c r="H7" s="12"/>
      <c r="I7" s="13"/>
    </row>
    <row r="8" spans="1:9">
      <c r="A8" s="14" t="s">
        <v>387</v>
      </c>
      <c r="B8" s="1249" t="s">
        <v>1116</v>
      </c>
      <c r="C8" s="1249"/>
      <c r="D8" s="1249"/>
      <c r="E8" s="1249"/>
      <c r="F8" s="1249"/>
      <c r="G8" s="1249"/>
      <c r="H8" s="1249"/>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thickBot="1">
      <c r="A15" s="11"/>
      <c r="B15" s="12"/>
      <c r="C15" s="15"/>
      <c r="D15" s="15"/>
      <c r="E15" s="15"/>
      <c r="F15" s="15"/>
      <c r="G15" s="15"/>
      <c r="H15" s="15"/>
      <c r="I15" s="13"/>
    </row>
    <row r="16" spans="1:9" ht="15" customHeight="1">
      <c r="A16" s="11"/>
      <c r="B16" s="12"/>
      <c r="C16" s="1250"/>
      <c r="D16" s="1251"/>
      <c r="E16" s="1251"/>
      <c r="F16" s="1251"/>
      <c r="G16" s="1251"/>
      <c r="H16" s="1252"/>
      <c r="I16" s="13"/>
    </row>
    <row r="17" spans="1:9" ht="15" customHeight="1">
      <c r="A17" s="11"/>
      <c r="B17" s="12"/>
      <c r="C17" s="1253"/>
      <c r="D17" s="1254"/>
      <c r="E17" s="1254"/>
      <c r="F17" s="1254"/>
      <c r="G17" s="1254"/>
      <c r="H17" s="1255"/>
      <c r="I17" s="13"/>
    </row>
    <row r="18" spans="1:9" ht="15" customHeight="1">
      <c r="A18" s="11"/>
      <c r="B18" s="12"/>
      <c r="C18" s="1253"/>
      <c r="D18" s="1254"/>
      <c r="E18" s="1254"/>
      <c r="F18" s="1254"/>
      <c r="G18" s="1254"/>
      <c r="H18" s="1255"/>
      <c r="I18" s="13"/>
    </row>
    <row r="19" spans="1:9" ht="15" customHeight="1">
      <c r="A19" s="14" t="s">
        <v>388</v>
      </c>
      <c r="B19" s="12"/>
      <c r="C19" s="1253"/>
      <c r="D19" s="1254"/>
      <c r="E19" s="1254"/>
      <c r="F19" s="1254"/>
      <c r="G19" s="1254"/>
      <c r="H19" s="1255"/>
      <c r="I19" s="13"/>
    </row>
    <row r="20" spans="1:9" ht="15" customHeight="1">
      <c r="A20" s="11"/>
      <c r="B20" s="12"/>
      <c r="C20" s="1253"/>
      <c r="D20" s="1254"/>
      <c r="E20" s="1254"/>
      <c r="F20" s="1254"/>
      <c r="G20" s="1254"/>
      <c r="H20" s="1255"/>
      <c r="I20" s="13"/>
    </row>
    <row r="21" spans="1:9" ht="15" customHeight="1">
      <c r="A21" s="11"/>
      <c r="B21" s="12"/>
      <c r="C21" s="1253"/>
      <c r="D21" s="1254"/>
      <c r="E21" s="1254"/>
      <c r="F21" s="1254"/>
      <c r="G21" s="1254"/>
      <c r="H21" s="1255"/>
      <c r="I21" s="13"/>
    </row>
    <row r="22" spans="1:9" ht="15" customHeight="1">
      <c r="A22" s="11"/>
      <c r="B22" s="12"/>
      <c r="C22" s="1253"/>
      <c r="D22" s="1254"/>
      <c r="E22" s="1254"/>
      <c r="F22" s="1254"/>
      <c r="G22" s="1254"/>
      <c r="H22" s="1255"/>
      <c r="I22" s="13"/>
    </row>
    <row r="23" spans="1:9" ht="15" customHeight="1">
      <c r="A23" s="11"/>
      <c r="B23" s="12"/>
      <c r="C23" s="1253"/>
      <c r="D23" s="1254"/>
      <c r="E23" s="1254"/>
      <c r="F23" s="1254"/>
      <c r="G23" s="1254"/>
      <c r="H23" s="1255"/>
      <c r="I23" s="13"/>
    </row>
    <row r="24" spans="1:9" ht="15" customHeight="1">
      <c r="A24" s="11"/>
      <c r="B24" s="12"/>
      <c r="C24" s="1253"/>
      <c r="D24" s="1254"/>
      <c r="E24" s="1254"/>
      <c r="F24" s="1254"/>
      <c r="G24" s="1254"/>
      <c r="H24" s="1255"/>
      <c r="I24" s="13"/>
    </row>
    <row r="25" spans="1:9" ht="15" customHeight="1">
      <c r="A25" s="11"/>
      <c r="B25" s="12"/>
      <c r="C25" s="1253"/>
      <c r="D25" s="1254"/>
      <c r="E25" s="1254"/>
      <c r="F25" s="1254"/>
      <c r="G25" s="1254"/>
      <c r="H25" s="1255"/>
      <c r="I25" s="13"/>
    </row>
    <row r="26" spans="1:9" ht="15" customHeight="1">
      <c r="A26" s="11"/>
      <c r="B26" s="12"/>
      <c r="C26" s="1253"/>
      <c r="D26" s="1254"/>
      <c r="E26" s="1254"/>
      <c r="F26" s="1254"/>
      <c r="G26" s="1254"/>
      <c r="H26" s="1255"/>
      <c r="I26" s="13"/>
    </row>
    <row r="27" spans="1:9" ht="14.25" customHeight="1">
      <c r="A27" s="11"/>
      <c r="B27" s="12"/>
      <c r="C27" s="1253"/>
      <c r="D27" s="1254"/>
      <c r="E27" s="1254"/>
      <c r="F27" s="1254"/>
      <c r="G27" s="1254"/>
      <c r="H27" s="1255"/>
      <c r="I27" s="13"/>
    </row>
    <row r="28" spans="1:9" ht="15.75" customHeight="1">
      <c r="A28" s="11"/>
      <c r="B28" s="12"/>
      <c r="C28" s="1253"/>
      <c r="D28" s="1254"/>
      <c r="E28" s="1254"/>
      <c r="F28" s="1254"/>
      <c r="G28" s="1254"/>
      <c r="H28" s="1255"/>
      <c r="I28" s="13"/>
    </row>
    <row r="29" spans="1:9">
      <c r="A29" s="11"/>
      <c r="B29" s="12"/>
      <c r="C29" s="1253"/>
      <c r="D29" s="1254"/>
      <c r="E29" s="1254"/>
      <c r="F29" s="1254"/>
      <c r="G29" s="1254"/>
      <c r="H29" s="1255"/>
      <c r="I29" s="13"/>
    </row>
    <row r="30" spans="1:9">
      <c r="A30" s="11"/>
      <c r="B30" s="12"/>
      <c r="C30" s="1253"/>
      <c r="D30" s="1254"/>
      <c r="E30" s="1254"/>
      <c r="F30" s="1254"/>
      <c r="G30" s="1254"/>
      <c r="H30" s="1255"/>
      <c r="I30" s="13"/>
    </row>
    <row r="31" spans="1:9">
      <c r="A31" s="11"/>
      <c r="B31" s="12"/>
      <c r="C31" s="944"/>
      <c r="D31" s="944"/>
      <c r="E31" s="944"/>
      <c r="F31" s="944"/>
      <c r="G31" s="944"/>
      <c r="H31" s="944"/>
      <c r="I31" s="13"/>
    </row>
    <row r="32" spans="1:9">
      <c r="A32" s="11"/>
      <c r="B32" s="1248" t="s">
        <v>1346</v>
      </c>
      <c r="C32" s="1248"/>
      <c r="D32" s="1248"/>
      <c r="E32" s="1248"/>
      <c r="F32" s="1248"/>
      <c r="G32" s="1248"/>
      <c r="H32" s="1248"/>
      <c r="I32" s="13"/>
    </row>
    <row r="33" spans="1:9" ht="17.25" thickBot="1">
      <c r="A33" s="16"/>
      <c r="B33" s="1"/>
      <c r="C33" s="1"/>
      <c r="D33" s="1"/>
      <c r="E33" s="1"/>
      <c r="F33" s="1"/>
      <c r="G33" s="1"/>
      <c r="H33" s="1"/>
      <c r="I33" s="2"/>
    </row>
    <row r="34" spans="1:9">
      <c r="A34" s="11"/>
      <c r="B34" s="12"/>
      <c r="C34" s="12"/>
      <c r="D34" s="12"/>
      <c r="E34" s="12"/>
      <c r="F34" s="12"/>
      <c r="G34" s="12"/>
      <c r="H34" s="12"/>
      <c r="I34" s="13"/>
    </row>
    <row r="35" spans="1:9">
      <c r="A35" s="14" t="s">
        <v>389</v>
      </c>
      <c r="B35" s="12"/>
      <c r="C35" s="12"/>
      <c r="D35" s="12"/>
      <c r="E35" s="12"/>
      <c r="F35" s="12"/>
      <c r="G35" s="12"/>
      <c r="H35" s="12"/>
      <c r="I35" s="13"/>
    </row>
    <row r="36" spans="1:9">
      <c r="A36" s="11"/>
      <c r="B36" s="1249" t="s">
        <v>1117</v>
      </c>
      <c r="C36" s="1249"/>
      <c r="D36" s="1249"/>
      <c r="E36" s="1249"/>
      <c r="F36" s="1249"/>
      <c r="G36" s="1249"/>
      <c r="H36" s="1249"/>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c r="A41" s="11"/>
      <c r="B41" s="12"/>
      <c r="C41" s="12"/>
      <c r="D41" s="12"/>
      <c r="E41" s="12"/>
      <c r="F41" s="12"/>
      <c r="G41" s="12"/>
      <c r="H41" s="12"/>
      <c r="I41" s="13"/>
    </row>
    <row r="42" spans="1:9">
      <c r="A42" s="11"/>
      <c r="B42" s="12"/>
      <c r="C42" s="12"/>
      <c r="D42" s="12"/>
      <c r="E42" s="12"/>
      <c r="F42" s="12"/>
      <c r="G42" s="12"/>
      <c r="H42" s="12"/>
      <c r="I42" s="13"/>
    </row>
    <row r="43" spans="1:9" ht="17.25" thickBot="1">
      <c r="A43" s="16"/>
      <c r="B43" s="1"/>
      <c r="C43" s="1"/>
      <c r="D43" s="1"/>
      <c r="E43" s="1"/>
      <c r="F43" s="1"/>
      <c r="G43" s="1"/>
      <c r="H43" s="1"/>
      <c r="I43" s="2"/>
    </row>
    <row r="44" spans="1:9">
      <c r="A44" s="3" t="s">
        <v>254</v>
      </c>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sheetData>
  <mergeCells count="9">
    <mergeCell ref="B32:H32"/>
    <mergeCell ref="B8:H8"/>
    <mergeCell ref="B36:H36"/>
    <mergeCell ref="C16:H30"/>
    <mergeCell ref="A1:I1"/>
    <mergeCell ref="A3:I3"/>
    <mergeCell ref="A2:I2"/>
    <mergeCell ref="A4:I4"/>
    <mergeCell ref="B5:G5"/>
  </mergeCells>
  <pageMargins left="0.43307086614173229" right="0.31496062992125984" top="0.55118110236220474" bottom="0.74803149606299213" header="0.31496062992125984" footer="0.31496062992125984"/>
  <pageSetup scale="84"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256" t="s">
        <v>23</v>
      </c>
      <c r="B1" s="1256"/>
      <c r="C1" s="1256"/>
      <c r="D1" s="1256"/>
      <c r="E1" s="1256"/>
      <c r="F1" s="1256"/>
      <c r="G1" s="1256"/>
      <c r="H1" s="1256"/>
      <c r="I1" s="1256"/>
      <c r="J1" s="1256"/>
    </row>
    <row r="2" spans="1:10">
      <c r="A2" s="1258" t="s">
        <v>9</v>
      </c>
      <c r="B2" s="1258"/>
      <c r="C2" s="1258"/>
      <c r="D2" s="1258"/>
      <c r="E2" s="1258"/>
      <c r="F2" s="1258"/>
      <c r="G2" s="1258"/>
      <c r="H2" s="1258"/>
      <c r="I2" s="1258"/>
      <c r="J2" s="1258"/>
    </row>
    <row r="3" spans="1:10">
      <c r="A3" s="1257" t="str">
        <f>'ETCA-I-01'!A3:G3</f>
        <v>TELEVISORA DE HERMOSILLO, S.A. DE C.V.</v>
      </c>
      <c r="B3" s="1257"/>
      <c r="C3" s="1257"/>
      <c r="D3" s="1257"/>
      <c r="E3" s="1257"/>
      <c r="F3" s="1257"/>
      <c r="G3" s="1257"/>
      <c r="H3" s="1257"/>
      <c r="I3" s="1257"/>
      <c r="J3" s="1257"/>
    </row>
    <row r="4" spans="1:10">
      <c r="A4" s="1257" t="str">
        <f>'ETCA-I-01'!A4:G4</f>
        <v>Al 30 de Septiembre de 2018</v>
      </c>
      <c r="B4" s="1257"/>
      <c r="C4" s="1257"/>
      <c r="D4" s="1257"/>
      <c r="E4" s="1257"/>
      <c r="F4" s="1257"/>
      <c r="G4" s="1257"/>
      <c r="H4" s="1257"/>
      <c r="I4" s="1257"/>
      <c r="J4" s="1257"/>
    </row>
    <row r="5" spans="1:10" ht="18" customHeight="1" thickBot="1">
      <c r="A5" s="1269" t="s">
        <v>390</v>
      </c>
      <c r="B5" s="1269"/>
      <c r="C5" s="1269"/>
      <c r="D5" s="1269"/>
      <c r="E5" s="1269"/>
      <c r="F5" s="1269"/>
      <c r="G5" s="1269"/>
      <c r="H5" s="1269"/>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260" t="s">
        <v>391</v>
      </c>
      <c r="D11" s="1261"/>
      <c r="E11" s="1261"/>
      <c r="F11" s="1261"/>
      <c r="G11" s="1261"/>
      <c r="H11" s="1262"/>
      <c r="I11" s="12"/>
      <c r="J11" s="13"/>
    </row>
    <row r="12" spans="1:10">
      <c r="A12" s="11"/>
      <c r="B12" s="12"/>
      <c r="C12" s="1263"/>
      <c r="D12" s="1264"/>
      <c r="E12" s="1264"/>
      <c r="F12" s="1264"/>
      <c r="G12" s="1264"/>
      <c r="H12" s="1265"/>
      <c r="I12" s="12"/>
      <c r="J12" s="13"/>
    </row>
    <row r="13" spans="1:10">
      <c r="A13" s="11"/>
      <c r="B13" s="12"/>
      <c r="C13" s="1263"/>
      <c r="D13" s="1264"/>
      <c r="E13" s="1264"/>
      <c r="F13" s="1264"/>
      <c r="G13" s="1264"/>
      <c r="H13" s="1265"/>
      <c r="I13" s="12"/>
      <c r="J13" s="13"/>
    </row>
    <row r="14" spans="1:10">
      <c r="A14" s="11"/>
      <c r="B14" s="12"/>
      <c r="C14" s="1263"/>
      <c r="D14" s="1264"/>
      <c r="E14" s="1264"/>
      <c r="F14" s="1264"/>
      <c r="G14" s="1264"/>
      <c r="H14" s="1265"/>
      <c r="I14" s="12"/>
      <c r="J14" s="13"/>
    </row>
    <row r="15" spans="1:10">
      <c r="A15" s="11"/>
      <c r="B15" s="12"/>
      <c r="C15" s="1263"/>
      <c r="D15" s="1264"/>
      <c r="E15" s="1264"/>
      <c r="F15" s="1264"/>
      <c r="G15" s="1264"/>
      <c r="H15" s="1265"/>
      <c r="I15" s="12"/>
      <c r="J15" s="13"/>
    </row>
    <row r="16" spans="1:10">
      <c r="A16" s="11"/>
      <c r="B16" s="12"/>
      <c r="C16" s="1263"/>
      <c r="D16" s="1264"/>
      <c r="E16" s="1264"/>
      <c r="F16" s="1264"/>
      <c r="G16" s="1264"/>
      <c r="H16" s="1265"/>
      <c r="I16" s="12"/>
      <c r="J16" s="13"/>
    </row>
    <row r="17" spans="1:10" ht="17.25" thickBot="1">
      <c r="A17" s="11"/>
      <c r="B17" s="12"/>
      <c r="C17" s="1266"/>
      <c r="D17" s="1267"/>
      <c r="E17" s="1267"/>
      <c r="F17" s="1267"/>
      <c r="G17" s="1267"/>
      <c r="H17" s="1268"/>
      <c r="I17" s="12"/>
      <c r="J17" s="13"/>
    </row>
    <row r="18" spans="1:10">
      <c r="A18" s="11"/>
      <c r="B18" s="12"/>
      <c r="C18" s="12"/>
      <c r="D18" s="12"/>
      <c r="E18" s="12"/>
      <c r="F18" s="12"/>
      <c r="G18" s="12"/>
      <c r="H18" s="12"/>
      <c r="I18" s="12"/>
      <c r="J18" s="13"/>
    </row>
    <row r="19" spans="1:10">
      <c r="A19" s="11"/>
      <c r="B19" s="12"/>
      <c r="C19" s="19" t="s">
        <v>392</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393</v>
      </c>
      <c r="D21" s="21"/>
      <c r="E21" s="21"/>
      <c r="F21" s="21"/>
      <c r="G21" s="21"/>
      <c r="H21" s="22"/>
      <c r="I21" s="12"/>
      <c r="J21" s="13"/>
    </row>
    <row r="22" spans="1:10">
      <c r="A22" s="11"/>
      <c r="B22" s="12"/>
      <c r="C22" s="23" t="s">
        <v>394</v>
      </c>
      <c r="D22" s="24"/>
      <c r="E22" s="24"/>
      <c r="F22" s="24"/>
      <c r="G22" s="24"/>
      <c r="H22" s="25"/>
      <c r="I22" s="12"/>
      <c r="J22" s="13"/>
    </row>
    <row r="23" spans="1:10">
      <c r="A23" s="11"/>
      <c r="B23" s="12"/>
      <c r="C23" s="23" t="s">
        <v>395</v>
      </c>
      <c r="D23" s="24"/>
      <c r="E23" s="24"/>
      <c r="F23" s="24"/>
      <c r="G23" s="24"/>
      <c r="H23" s="25"/>
      <c r="I23" s="12"/>
      <c r="J23" s="13"/>
    </row>
    <row r="24" spans="1:10" ht="17.25" thickBot="1">
      <c r="A24" s="11"/>
      <c r="B24" s="12"/>
      <c r="C24" s="26" t="s">
        <v>396</v>
      </c>
      <c r="D24" s="27"/>
      <c r="E24" s="27"/>
      <c r="F24" s="27"/>
      <c r="G24" s="27"/>
      <c r="H24" s="28"/>
      <c r="I24" s="12"/>
      <c r="J24" s="13"/>
    </row>
    <row r="25" spans="1:10">
      <c r="A25" s="11"/>
      <c r="B25" s="12"/>
      <c r="C25" s="12"/>
      <c r="D25" s="12"/>
      <c r="E25" s="12"/>
      <c r="F25" s="12"/>
      <c r="G25" s="12"/>
      <c r="H25" s="12"/>
      <c r="I25" s="12"/>
      <c r="J25" s="13"/>
    </row>
    <row r="26" spans="1:10">
      <c r="A26" s="29" t="s">
        <v>397</v>
      </c>
      <c r="B26" s="12" t="s">
        <v>398</v>
      </c>
      <c r="C26" s="12"/>
      <c r="D26" s="12"/>
      <c r="E26" s="12"/>
      <c r="F26" s="12"/>
      <c r="G26" s="12"/>
      <c r="H26" s="12"/>
      <c r="I26" s="12"/>
      <c r="J26" s="13"/>
    </row>
    <row r="27" spans="1:10">
      <c r="A27" s="29" t="s">
        <v>399</v>
      </c>
      <c r="B27" s="12" t="s">
        <v>400</v>
      </c>
      <c r="C27" s="12"/>
      <c r="D27" s="12"/>
      <c r="E27" s="12"/>
      <c r="F27" s="12"/>
      <c r="G27" s="12"/>
      <c r="H27" s="12"/>
      <c r="I27" s="12"/>
      <c r="J27" s="13"/>
    </row>
    <row r="28" spans="1:10">
      <c r="A28" s="29" t="s">
        <v>401</v>
      </c>
      <c r="B28" s="12" t="s">
        <v>402</v>
      </c>
      <c r="C28" s="12"/>
      <c r="D28" s="12"/>
      <c r="E28" s="12"/>
      <c r="F28" s="12"/>
      <c r="G28" s="12"/>
      <c r="H28" s="12"/>
      <c r="I28" s="12"/>
      <c r="J28" s="13"/>
    </row>
    <row r="29" spans="1:10">
      <c r="A29" s="29" t="s">
        <v>403</v>
      </c>
      <c r="B29" s="30" t="s">
        <v>404</v>
      </c>
      <c r="C29" s="12"/>
      <c r="D29" s="12"/>
      <c r="E29" s="12"/>
      <c r="F29" s="12"/>
      <c r="G29" s="12"/>
      <c r="H29" s="12"/>
      <c r="I29" s="12"/>
      <c r="J29" s="13"/>
    </row>
    <row r="30" spans="1:10">
      <c r="A30" s="29" t="s">
        <v>405</v>
      </c>
      <c r="B30" s="30" t="s">
        <v>406</v>
      </c>
      <c r="C30" s="12"/>
      <c r="D30" s="12"/>
      <c r="E30" s="12"/>
      <c r="F30" s="12"/>
      <c r="G30" s="12"/>
      <c r="H30" s="12"/>
      <c r="I30" s="12"/>
      <c r="J30" s="13"/>
    </row>
    <row r="31" spans="1:10">
      <c r="A31" s="29" t="s">
        <v>407</v>
      </c>
      <c r="B31" s="30" t="s">
        <v>408</v>
      </c>
      <c r="C31" s="12"/>
      <c r="D31" s="12"/>
      <c r="E31" s="12"/>
      <c r="F31" s="12"/>
      <c r="G31" s="12"/>
      <c r="H31" s="12"/>
      <c r="I31" s="12"/>
      <c r="J31" s="13"/>
    </row>
    <row r="32" spans="1:10">
      <c r="A32" s="29" t="s">
        <v>409</v>
      </c>
      <c r="B32" s="30" t="s">
        <v>410</v>
      </c>
      <c r="C32" s="12"/>
      <c r="D32" s="12"/>
      <c r="E32" s="12"/>
      <c r="F32" s="12"/>
      <c r="G32" s="12"/>
      <c r="H32" s="12"/>
      <c r="I32" s="12"/>
      <c r="J32" s="13"/>
    </row>
    <row r="33" spans="1:10">
      <c r="A33" s="29" t="s">
        <v>411</v>
      </c>
      <c r="B33" s="30" t="s">
        <v>412</v>
      </c>
      <c r="C33" s="12"/>
      <c r="D33" s="12"/>
      <c r="E33" s="12"/>
      <c r="F33" s="12"/>
      <c r="G33" s="12"/>
      <c r="H33" s="12"/>
      <c r="I33" s="12"/>
      <c r="J33" s="13"/>
    </row>
    <row r="34" spans="1:10">
      <c r="A34" s="29" t="s">
        <v>413</v>
      </c>
      <c r="B34" s="30" t="s">
        <v>414</v>
      </c>
      <c r="C34" s="12"/>
      <c r="D34" s="12"/>
      <c r="E34" s="12"/>
      <c r="F34" s="12"/>
      <c r="G34" s="12"/>
      <c r="H34" s="12"/>
      <c r="I34" s="12"/>
      <c r="J34" s="13"/>
    </row>
    <row r="35" spans="1:10">
      <c r="A35" s="29" t="s">
        <v>415</v>
      </c>
      <c r="B35" s="30" t="s">
        <v>416</v>
      </c>
      <c r="C35" s="12"/>
      <c r="D35" s="12"/>
      <c r="E35" s="12"/>
      <c r="F35" s="12"/>
      <c r="G35" s="12"/>
      <c r="H35" s="12"/>
      <c r="I35" s="12"/>
      <c r="J35" s="13"/>
    </row>
    <row r="36" spans="1:10">
      <c r="A36" s="29" t="s">
        <v>417</v>
      </c>
      <c r="B36" s="30" t="s">
        <v>418</v>
      </c>
      <c r="C36" s="12"/>
      <c r="D36" s="12"/>
      <c r="E36" s="12"/>
      <c r="F36" s="12"/>
      <c r="G36" s="12"/>
      <c r="H36" s="12"/>
      <c r="I36" s="12"/>
      <c r="J36" s="13"/>
    </row>
    <row r="37" spans="1:10">
      <c r="A37" s="29" t="s">
        <v>419</v>
      </c>
      <c r="B37" s="30" t="s">
        <v>420</v>
      </c>
      <c r="C37" s="12"/>
      <c r="D37" s="12"/>
      <c r="E37" s="12"/>
      <c r="F37" s="12"/>
      <c r="G37" s="12"/>
      <c r="H37" s="12"/>
      <c r="I37" s="12"/>
      <c r="J37" s="13"/>
    </row>
    <row r="38" spans="1:10">
      <c r="A38" s="29" t="s">
        <v>421</v>
      </c>
      <c r="B38" s="30" t="s">
        <v>422</v>
      </c>
      <c r="C38" s="12"/>
      <c r="D38" s="12"/>
      <c r="E38" s="12"/>
      <c r="F38" s="12"/>
      <c r="G38" s="12"/>
      <c r="H38" s="12"/>
      <c r="I38" s="12"/>
      <c r="J38" s="13"/>
    </row>
    <row r="39" spans="1:10">
      <c r="A39" s="29" t="s">
        <v>423</v>
      </c>
      <c r="B39" s="30" t="s">
        <v>424</v>
      </c>
      <c r="C39" s="12"/>
      <c r="D39" s="12"/>
      <c r="E39" s="12"/>
      <c r="F39" s="12"/>
      <c r="G39" s="12"/>
      <c r="H39" s="12"/>
      <c r="I39" s="12"/>
      <c r="J39" s="13"/>
    </row>
    <row r="40" spans="1:10">
      <c r="A40" s="29" t="s">
        <v>425</v>
      </c>
      <c r="B40" s="30" t="s">
        <v>426</v>
      </c>
      <c r="C40" s="12"/>
      <c r="D40" s="12"/>
      <c r="E40" s="12"/>
      <c r="F40" s="12"/>
      <c r="G40" s="12"/>
      <c r="H40" s="12"/>
      <c r="I40" s="12"/>
      <c r="J40" s="13"/>
    </row>
    <row r="41" spans="1:10">
      <c r="A41" s="29" t="s">
        <v>427</v>
      </c>
      <c r="B41" s="30" t="s">
        <v>428</v>
      </c>
      <c r="C41" s="12"/>
      <c r="D41" s="12"/>
      <c r="E41" s="12"/>
      <c r="F41" s="12"/>
      <c r="G41" s="12"/>
      <c r="H41" s="12"/>
      <c r="I41" s="12"/>
      <c r="J41" s="13"/>
    </row>
    <row r="42" spans="1:10">
      <c r="A42" s="29" t="s">
        <v>429</v>
      </c>
      <c r="B42" s="30" t="s">
        <v>430</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dimension ref="A1:H60"/>
  <sheetViews>
    <sheetView view="pageBreakPreview" topLeftCell="A10" zoomScaleSheetLayoutView="100" workbookViewId="0">
      <selection activeCell="H53" sqref="H53"/>
    </sheetView>
  </sheetViews>
  <sheetFormatPr baseColWidth="10" defaultColWidth="11.28515625" defaultRowHeight="16.5"/>
  <cols>
    <col min="1" max="1" width="1.140625" style="243" customWidth="1"/>
    <col min="2" max="2" width="31.7109375" style="243" customWidth="1"/>
    <col min="3" max="4" width="14.28515625" style="124" customWidth="1"/>
    <col min="5" max="5" width="13.140625" style="124" customWidth="1"/>
    <col min="6" max="6" width="14" style="124" customWidth="1"/>
    <col min="7" max="7" width="15" style="124" customWidth="1"/>
    <col min="8" max="8" width="14.28515625" style="124" customWidth="1"/>
    <col min="9" max="16384" width="11.28515625" style="124"/>
  </cols>
  <sheetData>
    <row r="1" spans="1:8">
      <c r="A1" s="1209" t="s">
        <v>23</v>
      </c>
      <c r="B1" s="1209"/>
      <c r="C1" s="1209"/>
      <c r="D1" s="1209"/>
      <c r="E1" s="1209"/>
      <c r="F1" s="1209"/>
      <c r="G1" s="1209"/>
      <c r="H1" s="1209"/>
    </row>
    <row r="2" spans="1:8" s="166" customFormat="1" ht="15.75">
      <c r="A2" s="1209" t="s">
        <v>11</v>
      </c>
      <c r="B2" s="1209"/>
      <c r="C2" s="1209"/>
      <c r="D2" s="1209"/>
      <c r="E2" s="1209"/>
      <c r="F2" s="1209"/>
      <c r="G2" s="1209"/>
      <c r="H2" s="1209"/>
    </row>
    <row r="3" spans="1:8" s="166" customFormat="1" ht="15.75">
      <c r="A3" s="1210" t="str">
        <f>'ETCA-I-01'!A3:G3</f>
        <v>TELEVISORA DE HERMOSILLO, S.A. DE C.V.</v>
      </c>
      <c r="B3" s="1210"/>
      <c r="C3" s="1210"/>
      <c r="D3" s="1210"/>
      <c r="E3" s="1210"/>
      <c r="F3" s="1210"/>
      <c r="G3" s="1210"/>
      <c r="H3" s="1210"/>
    </row>
    <row r="4" spans="1:8" s="166" customFormat="1">
      <c r="A4" s="1211" t="str">
        <f>'ETCA-I-03'!A4:D4</f>
        <v>Del 01 de Enero al 30 de Septiembre de 2018</v>
      </c>
      <c r="B4" s="1211"/>
      <c r="C4" s="1211"/>
      <c r="D4" s="1211"/>
      <c r="E4" s="1211"/>
      <c r="F4" s="1211"/>
      <c r="G4" s="1211"/>
      <c r="H4" s="1211"/>
    </row>
    <row r="5" spans="1:8" s="168" customFormat="1" ht="17.25" thickBot="1">
      <c r="A5" s="167"/>
      <c r="B5" s="167"/>
      <c r="C5" s="1212" t="s">
        <v>87</v>
      </c>
      <c r="D5" s="1212"/>
      <c r="E5" s="1212"/>
      <c r="F5" s="1212"/>
      <c r="G5" s="545"/>
      <c r="H5" s="52"/>
    </row>
    <row r="6" spans="1:8" s="205" customFormat="1" ht="38.25">
      <c r="A6" s="1270" t="s">
        <v>431</v>
      </c>
      <c r="B6" s="1271"/>
      <c r="C6" s="834" t="s">
        <v>432</v>
      </c>
      <c r="D6" s="834" t="s">
        <v>433</v>
      </c>
      <c r="E6" s="834" t="s">
        <v>434</v>
      </c>
      <c r="F6" s="835" t="s">
        <v>435</v>
      </c>
      <c r="G6" s="835" t="s">
        <v>436</v>
      </c>
      <c r="H6" s="834" t="s">
        <v>437</v>
      </c>
    </row>
    <row r="7" spans="1:8" s="205" customFormat="1" ht="17.25" thickBot="1">
      <c r="A7" s="1272"/>
      <c r="B7" s="1273"/>
      <c r="C7" s="223" t="s">
        <v>438</v>
      </c>
      <c r="D7" s="223" t="s">
        <v>439</v>
      </c>
      <c r="E7" s="223" t="s">
        <v>440</v>
      </c>
      <c r="F7" s="836" t="s">
        <v>441</v>
      </c>
      <c r="G7" s="836" t="s">
        <v>442</v>
      </c>
      <c r="H7" s="223" t="s">
        <v>443</v>
      </c>
    </row>
    <row r="8" spans="1:8" s="205" customFormat="1" ht="8.25" customHeight="1">
      <c r="A8" s="209"/>
      <c r="B8" s="829"/>
      <c r="C8" s="837"/>
      <c r="D8" s="837"/>
      <c r="E8" s="838"/>
      <c r="F8" s="837"/>
      <c r="G8" s="837"/>
      <c r="H8" s="838"/>
    </row>
    <row r="9" spans="1:8" ht="17.100000000000001" customHeight="1">
      <c r="A9" s="210"/>
      <c r="B9" s="830" t="s">
        <v>203</v>
      </c>
      <c r="C9" s="839"/>
      <c r="D9" s="839"/>
      <c r="E9" s="840">
        <f>C9+D9</f>
        <v>0</v>
      </c>
      <c r="F9" s="839"/>
      <c r="G9" s="839"/>
      <c r="H9" s="840">
        <f>G9-C9</f>
        <v>0</v>
      </c>
    </row>
    <row r="10" spans="1:8" ht="17.100000000000001" customHeight="1">
      <c r="A10" s="210"/>
      <c r="B10" s="830" t="s">
        <v>204</v>
      </c>
      <c r="C10" s="839">
        <v>0</v>
      </c>
      <c r="D10" s="839">
        <v>0</v>
      </c>
      <c r="E10" s="840">
        <f t="shared" ref="E10:E24" si="0">C10+D10</f>
        <v>0</v>
      </c>
      <c r="F10" s="839">
        <v>0</v>
      </c>
      <c r="G10" s="839">
        <v>0</v>
      </c>
      <c r="H10" s="840">
        <f t="shared" ref="H10:H24" si="1">G10-C10</f>
        <v>0</v>
      </c>
    </row>
    <row r="11" spans="1:8" ht="17.100000000000001" customHeight="1">
      <c r="A11" s="210"/>
      <c r="B11" s="830" t="s">
        <v>444</v>
      </c>
      <c r="C11" s="839"/>
      <c r="D11" s="839"/>
      <c r="E11" s="840">
        <f t="shared" si="0"/>
        <v>0</v>
      </c>
      <c r="F11" s="839"/>
      <c r="G11" s="839"/>
      <c r="H11" s="840">
        <f t="shared" si="1"/>
        <v>0</v>
      </c>
    </row>
    <row r="12" spans="1:8" ht="17.100000000000001" customHeight="1">
      <c r="A12" s="210"/>
      <c r="B12" s="830" t="s">
        <v>206</v>
      </c>
      <c r="C12" s="839"/>
      <c r="D12" s="839"/>
      <c r="E12" s="840">
        <f t="shared" si="0"/>
        <v>0</v>
      </c>
      <c r="F12" s="839"/>
      <c r="G12" s="839"/>
      <c r="H12" s="840">
        <f t="shared" si="1"/>
        <v>0</v>
      </c>
    </row>
    <row r="13" spans="1:8" ht="17.100000000000001" customHeight="1">
      <c r="A13" s="210"/>
      <c r="B13" s="830" t="s">
        <v>445</v>
      </c>
      <c r="C13" s="840">
        <f>C14+C15</f>
        <v>0</v>
      </c>
      <c r="D13" s="840">
        <f>D14+D15</f>
        <v>0</v>
      </c>
      <c r="E13" s="840">
        <f t="shared" si="0"/>
        <v>0</v>
      </c>
      <c r="F13" s="840">
        <f>F14+F15</f>
        <v>0</v>
      </c>
      <c r="G13" s="840">
        <f>G14+G15</f>
        <v>0</v>
      </c>
      <c r="H13" s="840">
        <f t="shared" si="1"/>
        <v>0</v>
      </c>
    </row>
    <row r="14" spans="1:8" ht="17.100000000000001" customHeight="1">
      <c r="A14" s="210"/>
      <c r="B14" s="830" t="s">
        <v>446</v>
      </c>
      <c r="C14" s="839"/>
      <c r="D14" s="839"/>
      <c r="E14" s="840">
        <f t="shared" si="0"/>
        <v>0</v>
      </c>
      <c r="F14" s="839"/>
      <c r="G14" s="839"/>
      <c r="H14" s="840">
        <f t="shared" si="1"/>
        <v>0</v>
      </c>
    </row>
    <row r="15" spans="1:8" ht="17.100000000000001" customHeight="1">
      <c r="A15" s="210"/>
      <c r="B15" s="830" t="s">
        <v>447</v>
      </c>
      <c r="C15" s="839"/>
      <c r="D15" s="839"/>
      <c r="E15" s="840">
        <f t="shared" si="0"/>
        <v>0</v>
      </c>
      <c r="F15" s="839"/>
      <c r="G15" s="841"/>
      <c r="H15" s="840">
        <f t="shared" si="1"/>
        <v>0</v>
      </c>
    </row>
    <row r="16" spans="1:8" ht="17.100000000000001" customHeight="1">
      <c r="A16" s="210"/>
      <c r="B16" s="830" t="s">
        <v>448</v>
      </c>
      <c r="C16" s="840">
        <f>C17+C18</f>
        <v>0</v>
      </c>
      <c r="D16" s="840">
        <f>D17+D18</f>
        <v>0</v>
      </c>
      <c r="E16" s="840">
        <f t="shared" si="0"/>
        <v>0</v>
      </c>
      <c r="F16" s="840">
        <f>F17+F18</f>
        <v>0</v>
      </c>
      <c r="G16" s="840">
        <f>G17+G18</f>
        <v>0</v>
      </c>
      <c r="H16" s="840">
        <f t="shared" si="1"/>
        <v>0</v>
      </c>
    </row>
    <row r="17" spans="1:8" ht="17.100000000000001" customHeight="1">
      <c r="A17" s="210"/>
      <c r="B17" s="830" t="s">
        <v>446</v>
      </c>
      <c r="C17" s="839"/>
      <c r="D17" s="839"/>
      <c r="E17" s="840">
        <f t="shared" si="0"/>
        <v>0</v>
      </c>
      <c r="F17" s="839"/>
      <c r="G17" s="839"/>
      <c r="H17" s="840">
        <f t="shared" si="1"/>
        <v>0</v>
      </c>
    </row>
    <row r="18" spans="1:8" ht="17.100000000000001" customHeight="1">
      <c r="A18" s="210"/>
      <c r="B18" s="830" t="s">
        <v>447</v>
      </c>
      <c r="C18" s="839"/>
      <c r="D18" s="839"/>
      <c r="E18" s="840">
        <f t="shared" si="0"/>
        <v>0</v>
      </c>
      <c r="F18" s="839"/>
      <c r="G18" s="839"/>
      <c r="H18" s="840">
        <f t="shared" si="1"/>
        <v>0</v>
      </c>
    </row>
    <row r="19" spans="1:8" ht="17.100000000000001" customHeight="1">
      <c r="A19" s="210"/>
      <c r="B19" s="830" t="s">
        <v>449</v>
      </c>
      <c r="C19" s="839">
        <v>97136459.540000007</v>
      </c>
      <c r="D19" s="839">
        <v>0</v>
      </c>
      <c r="E19" s="840">
        <f t="shared" si="0"/>
        <v>97136459.540000007</v>
      </c>
      <c r="F19" s="839">
        <v>62101075</v>
      </c>
      <c r="G19" s="839">
        <v>55895347</v>
      </c>
      <c r="H19" s="840">
        <f t="shared" si="1"/>
        <v>-41241112.540000007</v>
      </c>
    </row>
    <row r="20" spans="1:8" ht="17.100000000000001" customHeight="1">
      <c r="A20" s="210"/>
      <c r="B20" s="830" t="s">
        <v>211</v>
      </c>
      <c r="C20" s="839"/>
      <c r="D20" s="839"/>
      <c r="E20" s="840">
        <f t="shared" si="0"/>
        <v>0</v>
      </c>
      <c r="F20" s="839"/>
      <c r="G20" s="839"/>
      <c r="H20" s="840">
        <f t="shared" si="1"/>
        <v>0</v>
      </c>
    </row>
    <row r="21" spans="1:8" ht="25.5">
      <c r="A21" s="210"/>
      <c r="B21" s="830" t="s">
        <v>450</v>
      </c>
      <c r="C21" s="839">
        <v>0</v>
      </c>
      <c r="D21" s="839">
        <v>0</v>
      </c>
      <c r="E21" s="840">
        <f t="shared" si="0"/>
        <v>0</v>
      </c>
      <c r="F21" s="839">
        <v>0</v>
      </c>
      <c r="G21" s="839">
        <v>0</v>
      </c>
      <c r="H21" s="840">
        <f t="shared" si="1"/>
        <v>0</v>
      </c>
    </row>
    <row r="22" spans="1:8" ht="25.5">
      <c r="A22" s="210"/>
      <c r="B22" s="830" t="s">
        <v>451</v>
      </c>
      <c r="C22" s="839">
        <v>18000000</v>
      </c>
      <c r="D22" s="839">
        <v>0</v>
      </c>
      <c r="E22" s="840">
        <f t="shared" si="0"/>
        <v>18000000</v>
      </c>
      <c r="F22" s="839">
        <v>13107073</v>
      </c>
      <c r="G22" s="839">
        <v>13107073</v>
      </c>
      <c r="H22" s="840">
        <f t="shared" si="1"/>
        <v>-4892927</v>
      </c>
    </row>
    <row r="23" spans="1:8" ht="17.100000000000001" customHeight="1" thickBot="1">
      <c r="A23" s="211"/>
      <c r="B23" s="831" t="s">
        <v>452</v>
      </c>
      <c r="C23" s="842"/>
      <c r="D23" s="842"/>
      <c r="E23" s="843">
        <f t="shared" si="0"/>
        <v>0</v>
      </c>
      <c r="F23" s="842"/>
      <c r="G23" s="842"/>
      <c r="H23" s="843">
        <f t="shared" si="1"/>
        <v>0</v>
      </c>
    </row>
    <row r="24" spans="1:8" s="244" customFormat="1" ht="28.5" customHeight="1" thickBot="1">
      <c r="A24" s="1274" t="s">
        <v>260</v>
      </c>
      <c r="B24" s="1275"/>
      <c r="C24" s="844">
        <f>C9+C10+C11+C12+C13+C16+C19+C20+C21+C22+C23</f>
        <v>115136459.54000001</v>
      </c>
      <c r="D24" s="844">
        <f>D9+D10+D11+D12+D13+D16+D19+D20+D21+D22+D23</f>
        <v>0</v>
      </c>
      <c r="E24" s="844">
        <f t="shared" si="0"/>
        <v>115136459.54000001</v>
      </c>
      <c r="F24" s="844">
        <f>F9+F10+F11+F12+F13+F16+F19+F20+F21+F22+F23</f>
        <v>75208148</v>
      </c>
      <c r="G24" s="844">
        <f>G9+G10+G11+G12+G13+G16+G19+G20+G21+G22+G23</f>
        <v>69002420</v>
      </c>
      <c r="H24" s="844">
        <f t="shared" si="1"/>
        <v>-46134039.540000007</v>
      </c>
    </row>
    <row r="25" spans="1:8" ht="22.5" customHeight="1" thickBot="1">
      <c r="A25" s="212"/>
      <c r="B25" s="212"/>
      <c r="C25" s="213"/>
      <c r="D25" s="213"/>
      <c r="E25" s="213"/>
      <c r="F25" s="214"/>
      <c r="G25" s="818" t="s">
        <v>453</v>
      </c>
      <c r="H25" s="819" t="str">
        <f>IF(($G$24-$C$24)&lt;=0,"",$G$24-$C$24)</f>
        <v/>
      </c>
    </row>
    <row r="26" spans="1:8" ht="10.5" customHeight="1" thickBot="1">
      <c r="A26" s="215"/>
      <c r="B26" s="215"/>
      <c r="C26" s="216"/>
      <c r="D26" s="216"/>
      <c r="E26" s="216"/>
      <c r="F26" s="217"/>
      <c r="G26" s="218"/>
      <c r="H26" s="214"/>
    </row>
    <row r="27" spans="1:8" s="205" customFormat="1" ht="38.25">
      <c r="A27" s="1276" t="s">
        <v>454</v>
      </c>
      <c r="B27" s="1277"/>
      <c r="C27" s="219" t="s">
        <v>432</v>
      </c>
      <c r="D27" s="832" t="s">
        <v>433</v>
      </c>
      <c r="E27" s="834" t="s">
        <v>434</v>
      </c>
      <c r="F27" s="835" t="s">
        <v>435</v>
      </c>
      <c r="G27" s="835" t="s">
        <v>436</v>
      </c>
      <c r="H27" s="834" t="s">
        <v>437</v>
      </c>
    </row>
    <row r="28" spans="1:8" s="205" customFormat="1" ht="17.25" thickBot="1">
      <c r="A28" s="220"/>
      <c r="B28" s="221" t="s">
        <v>455</v>
      </c>
      <c r="C28" s="222" t="s">
        <v>438</v>
      </c>
      <c r="D28" s="833" t="s">
        <v>439</v>
      </c>
      <c r="E28" s="223" t="s">
        <v>440</v>
      </c>
      <c r="F28" s="836" t="s">
        <v>441</v>
      </c>
      <c r="G28" s="836" t="s">
        <v>442</v>
      </c>
      <c r="H28" s="223" t="s">
        <v>443</v>
      </c>
    </row>
    <row r="29" spans="1:8" s="226" customFormat="1" ht="17.100000000000001" customHeight="1">
      <c r="A29" s="224" t="s">
        <v>456</v>
      </c>
      <c r="B29" s="225"/>
      <c r="C29" s="491">
        <f t="shared" ref="C29:H29" si="2">SUM(C30:C33,C36,C39:C40)</f>
        <v>0</v>
      </c>
      <c r="D29" s="491">
        <f t="shared" si="2"/>
        <v>0</v>
      </c>
      <c r="E29" s="491">
        <f t="shared" si="2"/>
        <v>0</v>
      </c>
      <c r="F29" s="491">
        <f t="shared" si="2"/>
        <v>0</v>
      </c>
      <c r="G29" s="491">
        <f t="shared" si="2"/>
        <v>0</v>
      </c>
      <c r="H29" s="491">
        <f t="shared" si="2"/>
        <v>0</v>
      </c>
    </row>
    <row r="30" spans="1:8" s="226" customFormat="1" ht="17.100000000000001" customHeight="1">
      <c r="A30" s="227" t="s">
        <v>457</v>
      </c>
      <c r="B30" s="228"/>
      <c r="C30" s="492">
        <v>0</v>
      </c>
      <c r="D30" s="492">
        <v>0</v>
      </c>
      <c r="E30" s="493">
        <f>C30+D30</f>
        <v>0</v>
      </c>
      <c r="F30" s="492">
        <v>0</v>
      </c>
      <c r="G30" s="492">
        <v>0</v>
      </c>
      <c r="H30" s="494">
        <f>G30-C30</f>
        <v>0</v>
      </c>
    </row>
    <row r="31" spans="1:8" s="226" customFormat="1" ht="17.100000000000001" customHeight="1">
      <c r="A31" s="227" t="s">
        <v>444</v>
      </c>
      <c r="B31" s="228"/>
      <c r="C31" s="492"/>
      <c r="D31" s="492"/>
      <c r="E31" s="493">
        <f t="shared" ref="E31:E49" si="3">C31+D31</f>
        <v>0</v>
      </c>
      <c r="F31" s="492"/>
      <c r="G31" s="492"/>
      <c r="H31" s="494">
        <f t="shared" ref="H31:H49" si="4">G31-C31</f>
        <v>0</v>
      </c>
    </row>
    <row r="32" spans="1:8" s="226" customFormat="1">
      <c r="A32" s="1278" t="s">
        <v>206</v>
      </c>
      <c r="B32" s="1279"/>
      <c r="C32" s="492"/>
      <c r="D32" s="492"/>
      <c r="E32" s="493">
        <f t="shared" si="3"/>
        <v>0</v>
      </c>
      <c r="F32" s="492"/>
      <c r="G32" s="492"/>
      <c r="H32" s="494">
        <f t="shared" si="4"/>
        <v>0</v>
      </c>
    </row>
    <row r="33" spans="1:8" s="226" customFormat="1" ht="17.100000000000001" customHeight="1">
      <c r="A33" s="227" t="s">
        <v>445</v>
      </c>
      <c r="B33" s="228"/>
      <c r="C33" s="495">
        <f>C34+C35</f>
        <v>0</v>
      </c>
      <c r="D33" s="495">
        <f>D34+D35</f>
        <v>0</v>
      </c>
      <c r="E33" s="495">
        <f>SUM(E34:E35)</f>
        <v>0</v>
      </c>
      <c r="F33" s="495">
        <f>F34+F35</f>
        <v>0</v>
      </c>
      <c r="G33" s="495">
        <f>G34+G35</f>
        <v>0</v>
      </c>
      <c r="H33" s="496">
        <f>SUM(H34:H35)</f>
        <v>0</v>
      </c>
    </row>
    <row r="34" spans="1:8" s="226" customFormat="1" ht="17.100000000000001" customHeight="1">
      <c r="A34" s="229" t="s">
        <v>458</v>
      </c>
      <c r="B34" s="230"/>
      <c r="C34" s="492"/>
      <c r="D34" s="492"/>
      <c r="E34" s="493">
        <f t="shared" si="3"/>
        <v>0</v>
      </c>
      <c r="F34" s="492"/>
      <c r="G34" s="492"/>
      <c r="H34" s="494">
        <f t="shared" si="4"/>
        <v>0</v>
      </c>
    </row>
    <row r="35" spans="1:8" s="226" customFormat="1" ht="17.100000000000001" customHeight="1">
      <c r="A35" s="229" t="s">
        <v>459</v>
      </c>
      <c r="B35" s="230"/>
      <c r="C35" s="492"/>
      <c r="D35" s="492"/>
      <c r="E35" s="493">
        <f t="shared" si="3"/>
        <v>0</v>
      </c>
      <c r="F35" s="492"/>
      <c r="G35" s="492"/>
      <c r="H35" s="494">
        <f t="shared" si="4"/>
        <v>0</v>
      </c>
    </row>
    <row r="36" spans="1:8" ht="17.100000000000001" customHeight="1">
      <c r="A36" s="1278" t="s">
        <v>448</v>
      </c>
      <c r="B36" s="1279"/>
      <c r="C36" s="497">
        <f>C37+C38</f>
        <v>0</v>
      </c>
      <c r="D36" s="497">
        <f>D37+D38</f>
        <v>0</v>
      </c>
      <c r="E36" s="495">
        <f>SUM(E37:E38)</f>
        <v>0</v>
      </c>
      <c r="F36" s="497">
        <f>F37+F38</f>
        <v>0</v>
      </c>
      <c r="G36" s="497">
        <f>G37+G38</f>
        <v>0</v>
      </c>
      <c r="H36" s="496">
        <f>SUM(H37:H38)</f>
        <v>0</v>
      </c>
    </row>
    <row r="37" spans="1:8" ht="17.100000000000001" customHeight="1">
      <c r="A37" s="816"/>
      <c r="B37" s="231" t="s">
        <v>458</v>
      </c>
      <c r="C37" s="498"/>
      <c r="D37" s="498"/>
      <c r="E37" s="493">
        <f t="shared" si="3"/>
        <v>0</v>
      </c>
      <c r="F37" s="498"/>
      <c r="G37" s="498"/>
      <c r="H37" s="494">
        <f t="shared" si="4"/>
        <v>0</v>
      </c>
    </row>
    <row r="38" spans="1:8" ht="17.100000000000001" customHeight="1">
      <c r="A38" s="816"/>
      <c r="B38" s="231" t="s">
        <v>459</v>
      </c>
      <c r="C38" s="498"/>
      <c r="D38" s="498"/>
      <c r="E38" s="493">
        <f t="shared" si="3"/>
        <v>0</v>
      </c>
      <c r="F38" s="498"/>
      <c r="G38" s="498"/>
      <c r="H38" s="494">
        <f t="shared" si="4"/>
        <v>0</v>
      </c>
    </row>
    <row r="39" spans="1:8" s="226" customFormat="1">
      <c r="A39" s="227" t="s">
        <v>211</v>
      </c>
      <c r="B39" s="228"/>
      <c r="C39" s="492"/>
      <c r="D39" s="492"/>
      <c r="E39" s="493">
        <f t="shared" si="3"/>
        <v>0</v>
      </c>
      <c r="F39" s="492"/>
      <c r="G39" s="492"/>
      <c r="H39" s="494">
        <f t="shared" si="4"/>
        <v>0</v>
      </c>
    </row>
    <row r="40" spans="1:8" s="226" customFormat="1" ht="27.75" customHeight="1">
      <c r="A40" s="1278" t="s">
        <v>460</v>
      </c>
      <c r="B40" s="1279"/>
      <c r="C40" s="492"/>
      <c r="D40" s="492"/>
      <c r="E40" s="493">
        <f t="shared" si="3"/>
        <v>0</v>
      </c>
      <c r="F40" s="492"/>
      <c r="G40" s="492"/>
      <c r="H40" s="494">
        <f t="shared" si="4"/>
        <v>0</v>
      </c>
    </row>
    <row r="41" spans="1:8" s="226" customFormat="1" ht="8.25" customHeight="1">
      <c r="A41" s="232"/>
      <c r="B41" s="233"/>
      <c r="C41" s="492"/>
      <c r="D41" s="492"/>
      <c r="E41" s="493"/>
      <c r="F41" s="492"/>
      <c r="G41" s="492"/>
      <c r="H41" s="494"/>
    </row>
    <row r="42" spans="1:8" s="226" customFormat="1" ht="17.100000000000001" customHeight="1">
      <c r="A42" s="232" t="s">
        <v>461</v>
      </c>
      <c r="B42" s="233"/>
      <c r="C42" s="491">
        <f t="shared" ref="C42:H42" si="5">SUM(C43:C46)</f>
        <v>115136459.54000001</v>
      </c>
      <c r="D42" s="491">
        <f t="shared" si="5"/>
        <v>0</v>
      </c>
      <c r="E42" s="491">
        <f t="shared" si="5"/>
        <v>115136459.54000001</v>
      </c>
      <c r="F42" s="491">
        <f t="shared" si="5"/>
        <v>75208148</v>
      </c>
      <c r="G42" s="491">
        <f t="shared" si="5"/>
        <v>69002420</v>
      </c>
      <c r="H42" s="491">
        <f t="shared" si="5"/>
        <v>-46134039.540000007</v>
      </c>
    </row>
    <row r="43" spans="1:8" s="226" customFormat="1" ht="17.100000000000001" customHeight="1">
      <c r="A43" s="234"/>
      <c r="B43" s="235" t="s">
        <v>462</v>
      </c>
      <c r="C43" s="492"/>
      <c r="D43" s="492"/>
      <c r="E43" s="493">
        <f t="shared" si="3"/>
        <v>0</v>
      </c>
      <c r="F43" s="492"/>
      <c r="G43" s="492"/>
      <c r="H43" s="494">
        <f t="shared" si="4"/>
        <v>0</v>
      </c>
    </row>
    <row r="44" spans="1:8" s="226" customFormat="1" ht="17.100000000000001" customHeight="1">
      <c r="A44" s="234"/>
      <c r="B44" s="235" t="s">
        <v>463</v>
      </c>
      <c r="C44" s="839">
        <v>97136459.540000007</v>
      </c>
      <c r="D44" s="492">
        <v>0</v>
      </c>
      <c r="E44" s="493">
        <f t="shared" si="3"/>
        <v>97136459.540000007</v>
      </c>
      <c r="F44" s="839">
        <v>62101075</v>
      </c>
      <c r="G44" s="839">
        <v>55895347</v>
      </c>
      <c r="H44" s="494">
        <f t="shared" si="4"/>
        <v>-41241112.540000007</v>
      </c>
    </row>
    <row r="45" spans="1:8" s="226" customFormat="1" ht="29.25" customHeight="1">
      <c r="A45" s="234"/>
      <c r="B45" s="236" t="s">
        <v>464</v>
      </c>
      <c r="C45" s="492">
        <v>0</v>
      </c>
      <c r="D45" s="492">
        <v>0</v>
      </c>
      <c r="E45" s="493">
        <f t="shared" si="3"/>
        <v>0</v>
      </c>
      <c r="F45" s="492">
        <v>0</v>
      </c>
      <c r="G45" s="492">
        <v>0</v>
      </c>
      <c r="H45" s="494">
        <f t="shared" si="4"/>
        <v>0</v>
      </c>
    </row>
    <row r="46" spans="1:8" s="226" customFormat="1" ht="29.25" customHeight="1">
      <c r="A46" s="234"/>
      <c r="B46" s="236" t="s">
        <v>465</v>
      </c>
      <c r="C46" s="839">
        <v>18000000</v>
      </c>
      <c r="D46" s="492">
        <v>0</v>
      </c>
      <c r="E46" s="493">
        <f t="shared" si="3"/>
        <v>18000000</v>
      </c>
      <c r="F46" s="839">
        <v>13107073</v>
      </c>
      <c r="G46" s="839">
        <v>13107073</v>
      </c>
      <c r="H46" s="494">
        <f t="shared" si="4"/>
        <v>-4892927</v>
      </c>
    </row>
    <row r="47" spans="1:8" s="226" customFormat="1" ht="6" customHeight="1">
      <c r="A47" s="234"/>
      <c r="B47" s="235"/>
      <c r="C47" s="492"/>
      <c r="D47" s="492"/>
      <c r="E47" s="493"/>
      <c r="F47" s="492"/>
      <c r="G47" s="492"/>
      <c r="H47" s="494"/>
    </row>
    <row r="48" spans="1:8" s="226" customFormat="1" ht="17.100000000000001" customHeight="1">
      <c r="A48" s="232" t="s">
        <v>466</v>
      </c>
      <c r="B48" s="233"/>
      <c r="C48" s="491">
        <f t="shared" ref="C48:H48" si="6">C49</f>
        <v>0</v>
      </c>
      <c r="D48" s="491">
        <f t="shared" si="6"/>
        <v>0</v>
      </c>
      <c r="E48" s="491">
        <f t="shared" si="6"/>
        <v>0</v>
      </c>
      <c r="F48" s="491">
        <f t="shared" si="6"/>
        <v>0</v>
      </c>
      <c r="G48" s="491">
        <f t="shared" si="6"/>
        <v>0</v>
      </c>
      <c r="H48" s="491">
        <f t="shared" si="6"/>
        <v>0</v>
      </c>
    </row>
    <row r="49" spans="1:8" s="226" customFormat="1" ht="17.100000000000001" customHeight="1">
      <c r="A49" s="232"/>
      <c r="B49" s="237" t="s">
        <v>452</v>
      </c>
      <c r="C49" s="492"/>
      <c r="D49" s="492"/>
      <c r="E49" s="493">
        <f t="shared" si="3"/>
        <v>0</v>
      </c>
      <c r="F49" s="492"/>
      <c r="G49" s="492"/>
      <c r="H49" s="494">
        <f t="shared" si="4"/>
        <v>0</v>
      </c>
    </row>
    <row r="50" spans="1:8" s="226" customFormat="1" ht="12.75" customHeight="1" thickBot="1">
      <c r="A50" s="238"/>
      <c r="B50" s="239"/>
      <c r="C50" s="499"/>
      <c r="D50" s="499"/>
      <c r="E50" s="500"/>
      <c r="F50" s="499"/>
      <c r="G50" s="499"/>
      <c r="H50" s="501"/>
    </row>
    <row r="51" spans="1:8" ht="21.75" customHeight="1" thickBot="1">
      <c r="A51" s="1280" t="s">
        <v>260</v>
      </c>
      <c r="B51" s="1281"/>
      <c r="C51" s="817">
        <f t="shared" ref="C51:H51" si="7">C29+C42+C48</f>
        <v>115136459.54000001</v>
      </c>
      <c r="D51" s="817">
        <f t="shared" si="7"/>
        <v>0</v>
      </c>
      <c r="E51" s="817">
        <f t="shared" si="7"/>
        <v>115136459.54000001</v>
      </c>
      <c r="F51" s="817">
        <f>F29+F42+F48</f>
        <v>75208148</v>
      </c>
      <c r="G51" s="817">
        <f t="shared" si="7"/>
        <v>69002420</v>
      </c>
      <c r="H51" s="817">
        <f t="shared" si="7"/>
        <v>-46134039.540000007</v>
      </c>
    </row>
    <row r="52" spans="1:8" ht="23.25" customHeight="1" thickBot="1">
      <c r="A52" s="212"/>
      <c r="B52" s="212"/>
      <c r="C52" s="240"/>
      <c r="D52" s="240"/>
      <c r="E52" s="240"/>
      <c r="F52" s="241"/>
      <c r="G52" s="820" t="s">
        <v>453</v>
      </c>
      <c r="H52" s="821" t="str">
        <f>IF(($G$51-$C$51)&lt;=0,"",$G$51-$C$51)</f>
        <v/>
      </c>
    </row>
    <row r="53" spans="1:8" ht="23.25" customHeight="1">
      <c r="A53" s="215"/>
      <c r="B53" s="215"/>
      <c r="C53" s="593"/>
      <c r="D53" s="593"/>
      <c r="E53" s="593"/>
      <c r="F53" s="594"/>
      <c r="G53" s="595"/>
      <c r="H53" s="595"/>
    </row>
    <row r="54" spans="1:8" ht="23.25" customHeight="1">
      <c r="A54" s="215"/>
      <c r="B54" s="215"/>
      <c r="C54" s="593"/>
      <c r="D54" s="593"/>
      <c r="E54" s="593"/>
      <c r="F54" s="594"/>
      <c r="G54" s="595"/>
      <c r="H54" s="595"/>
    </row>
    <row r="55" spans="1:8" ht="23.25" customHeight="1">
      <c r="A55" s="215"/>
      <c r="B55" s="215"/>
      <c r="C55" s="593"/>
      <c r="D55" s="593"/>
      <c r="E55" s="593"/>
      <c r="F55" s="594"/>
      <c r="G55" s="595"/>
      <c r="H55" s="595"/>
    </row>
    <row r="56" spans="1:8" ht="8.25" customHeight="1">
      <c r="A56" s="242"/>
      <c r="B56" s="124"/>
    </row>
    <row r="57" spans="1:8">
      <c r="A57" s="245"/>
      <c r="B57" s="124"/>
      <c r="H57" s="448"/>
    </row>
    <row r="58" spans="1:8">
      <c r="A58" s="246"/>
      <c r="B58" s="247" t="s">
        <v>467</v>
      </c>
      <c r="C58" s="248"/>
      <c r="D58" s="248"/>
      <c r="E58" s="248"/>
      <c r="F58" s="248"/>
      <c r="G58" s="248"/>
      <c r="H58" s="248"/>
    </row>
    <row r="59" spans="1:8">
      <c r="A59" s="246"/>
      <c r="B59" s="247" t="s">
        <v>468</v>
      </c>
      <c r="C59" s="248"/>
      <c r="D59" s="248"/>
      <c r="E59" s="248"/>
      <c r="F59" s="248"/>
      <c r="G59" s="248"/>
      <c r="H59" s="248"/>
    </row>
    <row r="60" spans="1:8">
      <c r="A60" s="246"/>
      <c r="B60" s="247"/>
      <c r="C60" s="248"/>
      <c r="D60" s="248"/>
      <c r="E60" s="248"/>
      <c r="F60" s="248"/>
      <c r="G60" s="248"/>
      <c r="H60" s="248"/>
    </row>
  </sheetData>
  <sheetProtection formatColumns="0" formatRows="0" insertHyperlinks="0"/>
  <mergeCells count="12">
    <mergeCell ref="A27:B27"/>
    <mergeCell ref="A32:B32"/>
    <mergeCell ref="A36:B36"/>
    <mergeCell ref="A40:B40"/>
    <mergeCell ref="A51:B51"/>
    <mergeCell ref="A6:B7"/>
    <mergeCell ref="A24:B24"/>
    <mergeCell ref="A1:H1"/>
    <mergeCell ref="A2:H2"/>
    <mergeCell ref="A3:H3"/>
    <mergeCell ref="A4:H4"/>
    <mergeCell ref="C5:F5"/>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worksheet>
</file>

<file path=xl/worksheets/sheet15.xml><?xml version="1.0" encoding="utf-8"?>
<worksheet xmlns="http://schemas.openxmlformats.org/spreadsheetml/2006/main" xmlns:r="http://schemas.openxmlformats.org/officeDocument/2006/relationships">
  <dimension ref="A1:J91"/>
  <sheetViews>
    <sheetView view="pageBreakPreview" topLeftCell="A7" zoomScale="110" zoomScaleNormal="120" zoomScaleSheetLayoutView="110" workbookViewId="0">
      <selection activeCell="H38" sqref="H38"/>
    </sheetView>
  </sheetViews>
  <sheetFormatPr baseColWidth="10" defaultColWidth="11.42578125" defaultRowHeight="15"/>
  <cols>
    <col min="1" max="1" width="1.85546875" customWidth="1"/>
    <col min="2" max="2" width="0.85546875" customWidth="1"/>
    <col min="3" max="3" width="48.28515625" customWidth="1"/>
    <col min="4" max="4" width="14.85546875" bestFit="1" customWidth="1"/>
    <col min="5" max="5" width="12.85546875" customWidth="1"/>
    <col min="6" max="6" width="14.85546875" bestFit="1" customWidth="1"/>
    <col min="7" max="7" width="15" bestFit="1" customWidth="1"/>
    <col min="8" max="8" width="14.42578125" bestFit="1" customWidth="1"/>
    <col min="9" max="9" width="14.140625" bestFit="1" customWidth="1"/>
  </cols>
  <sheetData>
    <row r="1" spans="1:9" ht="15.75">
      <c r="A1" s="1182" t="s">
        <v>23</v>
      </c>
      <c r="B1" s="1182"/>
      <c r="C1" s="1182"/>
      <c r="D1" s="1182"/>
      <c r="E1" s="1182"/>
      <c r="F1" s="1182"/>
      <c r="G1" s="1182"/>
      <c r="H1" s="1182"/>
      <c r="I1" s="1182"/>
    </row>
    <row r="2" spans="1:9" ht="15.75" customHeight="1">
      <c r="A2" s="1183" t="s">
        <v>469</v>
      </c>
      <c r="B2" s="1183"/>
      <c r="C2" s="1183"/>
      <c r="D2" s="1183"/>
      <c r="E2" s="1183"/>
      <c r="F2" s="1183"/>
      <c r="G2" s="1183"/>
      <c r="H2" s="1183"/>
      <c r="I2" s="1183"/>
    </row>
    <row r="3" spans="1:9" ht="16.5" customHeight="1">
      <c r="A3" s="1183" t="str">
        <f>'ETCA-I-01'!A3:G3</f>
        <v>TELEVISORA DE HERMOSILLO, S.A. DE C.V.</v>
      </c>
      <c r="B3" s="1183"/>
      <c r="C3" s="1183"/>
      <c r="D3" s="1183"/>
      <c r="E3" s="1183"/>
      <c r="F3" s="1183"/>
      <c r="G3" s="1183"/>
      <c r="H3" s="1183"/>
      <c r="I3" s="1183"/>
    </row>
    <row r="4" spans="1:9" ht="15.75" customHeight="1">
      <c r="A4" s="1282" t="str">
        <f>'ETCA-I-10'!A4:K4</f>
        <v>Del 01 de Enero al 30 de Septiembre de 2018</v>
      </c>
      <c r="B4" s="1282"/>
      <c r="C4" s="1282"/>
      <c r="D4" s="1282"/>
      <c r="E4" s="1282"/>
      <c r="F4" s="1282"/>
      <c r="G4" s="1282"/>
      <c r="H4" s="1282"/>
      <c r="I4" s="1282"/>
    </row>
    <row r="5" spans="1:9" ht="15.75" customHeight="1" thickBot="1">
      <c r="A5" s="1228" t="s">
        <v>87</v>
      </c>
      <c r="B5" s="1228"/>
      <c r="C5" s="1228"/>
      <c r="D5" s="1228"/>
      <c r="E5" s="1228"/>
      <c r="F5" s="1228"/>
      <c r="G5" s="1228"/>
      <c r="H5" s="1228"/>
      <c r="I5" s="1228"/>
    </row>
    <row r="6" spans="1:9" ht="15.75" thickBot="1">
      <c r="A6" s="1283"/>
      <c r="B6" s="1284"/>
      <c r="C6" s="1285"/>
      <c r="D6" s="1286" t="s">
        <v>470</v>
      </c>
      <c r="E6" s="1287"/>
      <c r="F6" s="1287"/>
      <c r="G6" s="1287"/>
      <c r="H6" s="1288"/>
      <c r="I6" s="1289" t="s">
        <v>471</v>
      </c>
    </row>
    <row r="7" spans="1:9">
      <c r="A7" s="1292" t="s">
        <v>257</v>
      </c>
      <c r="B7" s="1293"/>
      <c r="C7" s="1294"/>
      <c r="D7" s="1289" t="s">
        <v>472</v>
      </c>
      <c r="E7" s="1298" t="s">
        <v>473</v>
      </c>
      <c r="F7" s="1289" t="s">
        <v>474</v>
      </c>
      <c r="G7" s="1289" t="s">
        <v>475</v>
      </c>
      <c r="H7" s="1289" t="s">
        <v>476</v>
      </c>
      <c r="I7" s="1290"/>
    </row>
    <row r="8" spans="1:9" ht="15.75" thickBot="1">
      <c r="A8" s="1295" t="s">
        <v>477</v>
      </c>
      <c r="B8" s="1296"/>
      <c r="C8" s="1297"/>
      <c r="D8" s="1291"/>
      <c r="E8" s="1299"/>
      <c r="F8" s="1291"/>
      <c r="G8" s="1291"/>
      <c r="H8" s="1291"/>
      <c r="I8" s="1291"/>
    </row>
    <row r="9" spans="1:9">
      <c r="A9" s="1302"/>
      <c r="B9" s="1303"/>
      <c r="C9" s="1304"/>
      <c r="D9" s="777"/>
      <c r="E9" s="777"/>
      <c r="F9" s="777"/>
      <c r="G9" s="777"/>
      <c r="H9" s="777"/>
      <c r="I9" s="777"/>
    </row>
    <row r="10" spans="1:9">
      <c r="A10" s="1308" t="s">
        <v>478</v>
      </c>
      <c r="B10" s="1309"/>
      <c r="C10" s="1310"/>
      <c r="D10" s="676"/>
      <c r="E10" s="676"/>
      <c r="F10" s="676"/>
      <c r="G10" s="676"/>
      <c r="H10" s="676"/>
      <c r="I10" s="676"/>
    </row>
    <row r="11" spans="1:9">
      <c r="A11" s="792"/>
      <c r="B11" s="1305" t="s">
        <v>479</v>
      </c>
      <c r="C11" s="1306"/>
      <c r="D11" s="678">
        <v>0</v>
      </c>
      <c r="E11" s="678">
        <v>0</v>
      </c>
      <c r="F11" s="678">
        <f t="shared" ref="F11:F17" si="0">+D11+E11</f>
        <v>0</v>
      </c>
      <c r="G11" s="678">
        <v>0</v>
      </c>
      <c r="H11" s="678">
        <v>0</v>
      </c>
      <c r="I11" s="677">
        <f>+H11-D11</f>
        <v>0</v>
      </c>
    </row>
    <row r="12" spans="1:9">
      <c r="A12" s="792"/>
      <c r="B12" s="1305" t="s">
        <v>480</v>
      </c>
      <c r="C12" s="1306"/>
      <c r="D12" s="678">
        <v>0</v>
      </c>
      <c r="E12" s="678">
        <v>0</v>
      </c>
      <c r="F12" s="678">
        <f t="shared" si="0"/>
        <v>0</v>
      </c>
      <c r="G12" s="678">
        <v>0</v>
      </c>
      <c r="H12" s="678">
        <v>0</v>
      </c>
      <c r="I12" s="677">
        <f t="shared" ref="I12:I17" si="1">+H12-D12</f>
        <v>0</v>
      </c>
    </row>
    <row r="13" spans="1:9">
      <c r="A13" s="792"/>
      <c r="B13" s="1305" t="s">
        <v>481</v>
      </c>
      <c r="C13" s="1306"/>
      <c r="D13" s="678">
        <v>0</v>
      </c>
      <c r="E13" s="678">
        <v>0</v>
      </c>
      <c r="F13" s="678">
        <f t="shared" si="0"/>
        <v>0</v>
      </c>
      <c r="G13" s="678">
        <v>0</v>
      </c>
      <c r="H13" s="678">
        <v>0</v>
      </c>
      <c r="I13" s="677">
        <f t="shared" si="1"/>
        <v>0</v>
      </c>
    </row>
    <row r="14" spans="1:9">
      <c r="A14" s="792"/>
      <c r="B14" s="1305" t="s">
        <v>482</v>
      </c>
      <c r="C14" s="1306"/>
      <c r="D14" s="678">
        <v>0</v>
      </c>
      <c r="E14" s="678">
        <v>0</v>
      </c>
      <c r="F14" s="678">
        <f t="shared" si="0"/>
        <v>0</v>
      </c>
      <c r="G14" s="678">
        <v>0</v>
      </c>
      <c r="H14" s="678">
        <v>0</v>
      </c>
      <c r="I14" s="677">
        <f t="shared" si="1"/>
        <v>0</v>
      </c>
    </row>
    <row r="15" spans="1:9">
      <c r="A15" s="792"/>
      <c r="B15" s="1305" t="s">
        <v>483</v>
      </c>
      <c r="C15" s="1306"/>
      <c r="D15" s="678">
        <v>0</v>
      </c>
      <c r="E15" s="678">
        <v>0</v>
      </c>
      <c r="F15" s="678">
        <f t="shared" si="0"/>
        <v>0</v>
      </c>
      <c r="G15" s="678">
        <v>0</v>
      </c>
      <c r="H15" s="678">
        <v>0</v>
      </c>
      <c r="I15" s="677">
        <f t="shared" si="1"/>
        <v>0</v>
      </c>
    </row>
    <row r="16" spans="1:9">
      <c r="A16" s="792"/>
      <c r="B16" s="1305" t="s">
        <v>484</v>
      </c>
      <c r="C16" s="1306"/>
      <c r="D16" s="678">
        <v>0</v>
      </c>
      <c r="E16" s="678">
        <v>0</v>
      </c>
      <c r="F16" s="678">
        <f t="shared" si="0"/>
        <v>0</v>
      </c>
      <c r="G16" s="678">
        <v>0</v>
      </c>
      <c r="H16" s="678"/>
      <c r="I16" s="677">
        <f t="shared" si="1"/>
        <v>0</v>
      </c>
    </row>
    <row r="17" spans="1:9">
      <c r="A17" s="792"/>
      <c r="B17" s="1305" t="s">
        <v>485</v>
      </c>
      <c r="C17" s="1306"/>
      <c r="D17" s="951">
        <v>97136459.540000007</v>
      </c>
      <c r="E17" s="678">
        <v>0</v>
      </c>
      <c r="F17" s="678">
        <f t="shared" si="0"/>
        <v>97136459.540000007</v>
      </c>
      <c r="G17" s="951">
        <v>62101075</v>
      </c>
      <c r="H17" s="951">
        <v>55895347</v>
      </c>
      <c r="I17" s="677">
        <f t="shared" si="1"/>
        <v>-41241112.540000007</v>
      </c>
    </row>
    <row r="18" spans="1:9">
      <c r="A18" s="1307"/>
      <c r="B18" s="1305" t="s">
        <v>486</v>
      </c>
      <c r="C18" s="1306"/>
      <c r="D18" s="1300">
        <f t="shared" ref="D18:I18" si="2">SUM(D20:D30)</f>
        <v>0</v>
      </c>
      <c r="E18" s="1300">
        <f t="shared" si="2"/>
        <v>0</v>
      </c>
      <c r="F18" s="1300">
        <f t="shared" si="2"/>
        <v>0</v>
      </c>
      <c r="G18" s="1300">
        <f t="shared" si="2"/>
        <v>0</v>
      </c>
      <c r="H18" s="1300">
        <f t="shared" si="2"/>
        <v>0</v>
      </c>
      <c r="I18" s="1300">
        <f t="shared" si="2"/>
        <v>0</v>
      </c>
    </row>
    <row r="19" spans="1:9">
      <c r="A19" s="1307"/>
      <c r="B19" s="1305" t="s">
        <v>487</v>
      </c>
      <c r="C19" s="1306"/>
      <c r="D19" s="1300"/>
      <c r="E19" s="1300"/>
      <c r="F19" s="1300"/>
      <c r="G19" s="1300"/>
      <c r="H19" s="1300"/>
      <c r="I19" s="1300"/>
    </row>
    <row r="20" spans="1:9">
      <c r="A20" s="792"/>
      <c r="B20" s="790"/>
      <c r="C20" s="791" t="s">
        <v>488</v>
      </c>
      <c r="D20" s="678">
        <v>0</v>
      </c>
      <c r="E20" s="678">
        <v>0</v>
      </c>
      <c r="F20" s="678">
        <f t="shared" ref="F20:F30" si="3">+D20+E20</f>
        <v>0</v>
      </c>
      <c r="G20" s="678">
        <v>0</v>
      </c>
      <c r="H20" s="678">
        <v>0</v>
      </c>
      <c r="I20" s="677">
        <f>+H20-D20</f>
        <v>0</v>
      </c>
    </row>
    <row r="21" spans="1:9">
      <c r="A21" s="792"/>
      <c r="B21" s="790"/>
      <c r="C21" s="791" t="s">
        <v>489</v>
      </c>
      <c r="D21" s="678">
        <v>0</v>
      </c>
      <c r="E21" s="678">
        <v>0</v>
      </c>
      <c r="F21" s="678">
        <f t="shared" si="3"/>
        <v>0</v>
      </c>
      <c r="G21" s="678">
        <v>0</v>
      </c>
      <c r="H21" s="678">
        <v>0</v>
      </c>
      <c r="I21" s="677">
        <f t="shared" ref="I21:I37" si="4">+H21-D21</f>
        <v>0</v>
      </c>
    </row>
    <row r="22" spans="1:9">
      <c r="A22" s="792"/>
      <c r="B22" s="790"/>
      <c r="C22" s="791" t="s">
        <v>490</v>
      </c>
      <c r="D22" s="678">
        <v>0</v>
      </c>
      <c r="E22" s="678">
        <v>0</v>
      </c>
      <c r="F22" s="678">
        <f t="shared" si="3"/>
        <v>0</v>
      </c>
      <c r="G22" s="678">
        <v>0</v>
      </c>
      <c r="H22" s="678">
        <v>0</v>
      </c>
      <c r="I22" s="677">
        <f t="shared" si="4"/>
        <v>0</v>
      </c>
    </row>
    <row r="23" spans="1:9">
      <c r="A23" s="792"/>
      <c r="B23" s="790"/>
      <c r="C23" s="791" t="s">
        <v>491</v>
      </c>
      <c r="D23" s="678">
        <v>0</v>
      </c>
      <c r="E23" s="678">
        <v>0</v>
      </c>
      <c r="F23" s="678">
        <f t="shared" si="3"/>
        <v>0</v>
      </c>
      <c r="G23" s="678">
        <v>0</v>
      </c>
      <c r="H23" s="678">
        <v>0</v>
      </c>
      <c r="I23" s="677">
        <f t="shared" si="4"/>
        <v>0</v>
      </c>
    </row>
    <row r="24" spans="1:9">
      <c r="A24" s="792"/>
      <c r="B24" s="790"/>
      <c r="C24" s="791" t="s">
        <v>492</v>
      </c>
      <c r="D24" s="678">
        <v>0</v>
      </c>
      <c r="E24" s="678">
        <v>0</v>
      </c>
      <c r="F24" s="678">
        <f t="shared" si="3"/>
        <v>0</v>
      </c>
      <c r="G24" s="678">
        <v>0</v>
      </c>
      <c r="H24" s="678">
        <v>0</v>
      </c>
      <c r="I24" s="677">
        <f t="shared" si="4"/>
        <v>0</v>
      </c>
    </row>
    <row r="25" spans="1:9">
      <c r="A25" s="792"/>
      <c r="B25" s="790"/>
      <c r="C25" s="791" t="s">
        <v>493</v>
      </c>
      <c r="D25" s="678">
        <v>0</v>
      </c>
      <c r="E25" s="678">
        <v>0</v>
      </c>
      <c r="F25" s="678">
        <f t="shared" si="3"/>
        <v>0</v>
      </c>
      <c r="G25" s="678">
        <v>0</v>
      </c>
      <c r="H25" s="678">
        <v>0</v>
      </c>
      <c r="I25" s="677">
        <f t="shared" si="4"/>
        <v>0</v>
      </c>
    </row>
    <row r="26" spans="1:9">
      <c r="A26" s="792"/>
      <c r="B26" s="790"/>
      <c r="C26" s="791" t="s">
        <v>494</v>
      </c>
      <c r="D26" s="678">
        <v>0</v>
      </c>
      <c r="E26" s="678">
        <v>0</v>
      </c>
      <c r="F26" s="678">
        <f t="shared" si="3"/>
        <v>0</v>
      </c>
      <c r="G26" s="678">
        <v>0</v>
      </c>
      <c r="H26" s="678">
        <v>0</v>
      </c>
      <c r="I26" s="677">
        <f t="shared" si="4"/>
        <v>0</v>
      </c>
    </row>
    <row r="27" spans="1:9">
      <c r="A27" s="792"/>
      <c r="B27" s="790"/>
      <c r="C27" s="791" t="s">
        <v>495</v>
      </c>
      <c r="D27" s="678">
        <v>0</v>
      </c>
      <c r="E27" s="678">
        <v>0</v>
      </c>
      <c r="F27" s="678">
        <f t="shared" si="3"/>
        <v>0</v>
      </c>
      <c r="G27" s="678">
        <v>0</v>
      </c>
      <c r="H27" s="678">
        <v>0</v>
      </c>
      <c r="I27" s="677">
        <f t="shared" si="4"/>
        <v>0</v>
      </c>
    </row>
    <row r="28" spans="1:9">
      <c r="A28" s="792"/>
      <c r="B28" s="790"/>
      <c r="C28" s="791" t="s">
        <v>496</v>
      </c>
      <c r="D28" s="678">
        <v>0</v>
      </c>
      <c r="E28" s="678">
        <v>0</v>
      </c>
      <c r="F28" s="678">
        <f t="shared" si="3"/>
        <v>0</v>
      </c>
      <c r="G28" s="678">
        <v>0</v>
      </c>
      <c r="H28" s="678">
        <v>0</v>
      </c>
      <c r="I28" s="677">
        <f t="shared" si="4"/>
        <v>0</v>
      </c>
    </row>
    <row r="29" spans="1:9">
      <c r="A29" s="792"/>
      <c r="B29" s="790"/>
      <c r="C29" s="791" t="s">
        <v>497</v>
      </c>
      <c r="D29" s="678">
        <v>0</v>
      </c>
      <c r="E29" s="678">
        <v>0</v>
      </c>
      <c r="F29" s="678">
        <f t="shared" si="3"/>
        <v>0</v>
      </c>
      <c r="G29" s="678">
        <v>0</v>
      </c>
      <c r="H29" s="678">
        <v>0</v>
      </c>
      <c r="I29" s="677">
        <f t="shared" si="4"/>
        <v>0</v>
      </c>
    </row>
    <row r="30" spans="1:9">
      <c r="A30" s="792"/>
      <c r="B30" s="790"/>
      <c r="C30" s="791" t="s">
        <v>498</v>
      </c>
      <c r="D30" s="678">
        <v>0</v>
      </c>
      <c r="E30" s="678">
        <v>0</v>
      </c>
      <c r="F30" s="678">
        <f t="shared" si="3"/>
        <v>0</v>
      </c>
      <c r="G30" s="678">
        <v>0</v>
      </c>
      <c r="H30" s="678">
        <v>0</v>
      </c>
      <c r="I30" s="677">
        <f t="shared" si="4"/>
        <v>0</v>
      </c>
    </row>
    <row r="31" spans="1:9">
      <c r="A31" s="792"/>
      <c r="B31" s="1305" t="s">
        <v>499</v>
      </c>
      <c r="C31" s="1306"/>
      <c r="D31" s="677">
        <f t="shared" ref="D31:I31" si="5">SUM(D32:D36)</f>
        <v>0</v>
      </c>
      <c r="E31" s="677">
        <f t="shared" si="5"/>
        <v>0</v>
      </c>
      <c r="F31" s="677">
        <f t="shared" si="5"/>
        <v>0</v>
      </c>
      <c r="G31" s="677">
        <f t="shared" si="5"/>
        <v>0</v>
      </c>
      <c r="H31" s="677">
        <f t="shared" si="5"/>
        <v>0</v>
      </c>
      <c r="I31" s="677">
        <f t="shared" si="5"/>
        <v>0</v>
      </c>
    </row>
    <row r="32" spans="1:9">
      <c r="A32" s="792"/>
      <c r="B32" s="790"/>
      <c r="C32" s="791" t="s">
        <v>500</v>
      </c>
      <c r="D32" s="678">
        <v>0</v>
      </c>
      <c r="E32" s="678">
        <v>0</v>
      </c>
      <c r="F32" s="678">
        <v>0</v>
      </c>
      <c r="G32" s="678"/>
      <c r="H32" s="678">
        <v>0</v>
      </c>
      <c r="I32" s="677">
        <f t="shared" si="4"/>
        <v>0</v>
      </c>
    </row>
    <row r="33" spans="1:9">
      <c r="A33" s="792"/>
      <c r="B33" s="790"/>
      <c r="C33" s="791" t="s">
        <v>501</v>
      </c>
      <c r="D33" s="678">
        <v>0</v>
      </c>
      <c r="E33" s="678">
        <v>0</v>
      </c>
      <c r="F33" s="678">
        <f>+D33+E33</f>
        <v>0</v>
      </c>
      <c r="G33" s="678"/>
      <c r="H33" s="678">
        <v>0</v>
      </c>
      <c r="I33" s="677">
        <f t="shared" si="4"/>
        <v>0</v>
      </c>
    </row>
    <row r="34" spans="1:9" ht="15.75" thickBot="1">
      <c r="A34" s="644"/>
      <c r="B34" s="726"/>
      <c r="C34" s="780" t="s">
        <v>502</v>
      </c>
      <c r="D34" s="679">
        <v>0</v>
      </c>
      <c r="E34" s="679">
        <v>0</v>
      </c>
      <c r="F34" s="679">
        <f>+D34+E34</f>
        <v>0</v>
      </c>
      <c r="G34" s="679"/>
      <c r="H34" s="679"/>
      <c r="I34" s="753">
        <f t="shared" si="4"/>
        <v>0</v>
      </c>
    </row>
    <row r="35" spans="1:9">
      <c r="A35" s="792"/>
      <c r="B35" s="790"/>
      <c r="C35" s="791" t="s">
        <v>503</v>
      </c>
      <c r="D35" s="678">
        <v>0</v>
      </c>
      <c r="E35" s="678">
        <v>0</v>
      </c>
      <c r="F35" s="678">
        <f>+D35+E35</f>
        <v>0</v>
      </c>
      <c r="G35" s="678"/>
      <c r="H35" s="678"/>
      <c r="I35" s="677">
        <f t="shared" si="4"/>
        <v>0</v>
      </c>
    </row>
    <row r="36" spans="1:9">
      <c r="A36" s="792"/>
      <c r="B36" s="790"/>
      <c r="C36" s="791" t="s">
        <v>504</v>
      </c>
      <c r="D36" s="678">
        <v>0</v>
      </c>
      <c r="E36" s="678">
        <v>0</v>
      </c>
      <c r="F36" s="678">
        <f>+D36+E36</f>
        <v>0</v>
      </c>
      <c r="G36" s="678"/>
      <c r="H36" s="678"/>
      <c r="I36" s="677">
        <f t="shared" si="4"/>
        <v>0</v>
      </c>
    </row>
    <row r="37" spans="1:9">
      <c r="A37" s="792"/>
      <c r="B37" s="1313" t="s">
        <v>505</v>
      </c>
      <c r="C37" s="1314"/>
      <c r="D37" s="951">
        <v>18000000</v>
      </c>
      <c r="E37" s="678">
        <v>0</v>
      </c>
      <c r="F37" s="778">
        <f>+D37+E37</f>
        <v>18000000</v>
      </c>
      <c r="G37" s="951">
        <v>13107073</v>
      </c>
      <c r="H37" s="951">
        <v>13107073</v>
      </c>
      <c r="I37" s="779">
        <f t="shared" si="4"/>
        <v>-4892927</v>
      </c>
    </row>
    <row r="38" spans="1:9">
      <c r="A38" s="792"/>
      <c r="B38" s="1305" t="s">
        <v>506</v>
      </c>
      <c r="C38" s="1306"/>
      <c r="D38" s="677">
        <f t="shared" ref="D38:I38" si="6">SUM(D39)</f>
        <v>0</v>
      </c>
      <c r="E38" s="677">
        <f t="shared" si="6"/>
        <v>0</v>
      </c>
      <c r="F38" s="677">
        <f t="shared" si="6"/>
        <v>0</v>
      </c>
      <c r="G38" s="677">
        <f t="shared" si="6"/>
        <v>0</v>
      </c>
      <c r="H38" s="677">
        <f t="shared" si="6"/>
        <v>0</v>
      </c>
      <c r="I38" s="677">
        <f t="shared" si="6"/>
        <v>0</v>
      </c>
    </row>
    <row r="39" spans="1:9">
      <c r="A39" s="792"/>
      <c r="B39" s="790"/>
      <c r="C39" s="791" t="s">
        <v>507</v>
      </c>
      <c r="D39" s="678">
        <v>0</v>
      </c>
      <c r="E39" s="678"/>
      <c r="F39" s="678">
        <f>+D39+E39</f>
        <v>0</v>
      </c>
      <c r="G39" s="678"/>
      <c r="H39" s="678"/>
      <c r="I39" s="677">
        <f>+H39-D39</f>
        <v>0</v>
      </c>
    </row>
    <row r="40" spans="1:9">
      <c r="A40" s="792"/>
      <c r="B40" s="1305" t="s">
        <v>508</v>
      </c>
      <c r="C40" s="1306"/>
      <c r="D40" s="677">
        <f t="shared" ref="D40:I40" si="7">SUM(D41:D42)</f>
        <v>0</v>
      </c>
      <c r="E40" s="677">
        <f t="shared" si="7"/>
        <v>0</v>
      </c>
      <c r="F40" s="677">
        <f t="shared" si="7"/>
        <v>0</v>
      </c>
      <c r="G40" s="677">
        <f t="shared" si="7"/>
        <v>0</v>
      </c>
      <c r="H40" s="677">
        <f t="shared" si="7"/>
        <v>0</v>
      </c>
      <c r="I40" s="677">
        <f t="shared" si="7"/>
        <v>0</v>
      </c>
    </row>
    <row r="41" spans="1:9">
      <c r="A41" s="792"/>
      <c r="B41" s="790"/>
      <c r="C41" s="791" t="s">
        <v>509</v>
      </c>
      <c r="D41" s="678">
        <v>0</v>
      </c>
      <c r="E41" s="678">
        <v>0</v>
      </c>
      <c r="F41" s="678">
        <f>+D41+E41</f>
        <v>0</v>
      </c>
      <c r="G41" s="678"/>
      <c r="H41" s="678"/>
      <c r="I41" s="677">
        <f>H41-D41</f>
        <v>0</v>
      </c>
    </row>
    <row r="42" spans="1:9">
      <c r="A42" s="792"/>
      <c r="B42" s="790"/>
      <c r="C42" s="791" t="s">
        <v>510</v>
      </c>
      <c r="D42" s="678">
        <v>0</v>
      </c>
      <c r="E42" s="678">
        <v>0</v>
      </c>
      <c r="F42" s="678">
        <f>+D42+E42</f>
        <v>0</v>
      </c>
      <c r="G42" s="678"/>
      <c r="H42" s="678"/>
      <c r="I42" s="677">
        <f>H42-D42</f>
        <v>0</v>
      </c>
    </row>
    <row r="43" spans="1:9" ht="8.25" customHeight="1">
      <c r="A43" s="792"/>
      <c r="B43" s="790"/>
      <c r="C43" s="791"/>
      <c r="D43" s="673"/>
      <c r="E43" s="673"/>
      <c r="F43" s="673"/>
      <c r="G43" s="673"/>
      <c r="H43" s="673"/>
      <c r="I43" s="677"/>
    </row>
    <row r="44" spans="1:9" ht="15" customHeight="1">
      <c r="A44" s="808" t="s">
        <v>511</v>
      </c>
      <c r="B44" s="652"/>
      <c r="C44" s="672"/>
      <c r="D44" s="1301">
        <f t="shared" ref="D44:I44" si="8">+D11+D12+D13+D14+D15+D16+D17+D18+D31+D37+D38+D40</f>
        <v>115136459.54000001</v>
      </c>
      <c r="E44" s="1301">
        <f t="shared" si="8"/>
        <v>0</v>
      </c>
      <c r="F44" s="1301">
        <f t="shared" si="8"/>
        <v>115136459.54000001</v>
      </c>
      <c r="G44" s="1301">
        <f t="shared" si="8"/>
        <v>75208148</v>
      </c>
      <c r="H44" s="1301">
        <f t="shared" si="8"/>
        <v>69002420</v>
      </c>
      <c r="I44" s="1301">
        <f t="shared" si="8"/>
        <v>-46134039.540000007</v>
      </c>
    </row>
    <row r="45" spans="1:9">
      <c r="A45" s="808" t="s">
        <v>512</v>
      </c>
      <c r="B45" s="652"/>
      <c r="C45" s="672"/>
      <c r="D45" s="1301"/>
      <c r="E45" s="1301"/>
      <c r="F45" s="1301"/>
      <c r="G45" s="1301"/>
      <c r="H45" s="1301"/>
      <c r="I45" s="1301"/>
    </row>
    <row r="46" spans="1:9" ht="8.25" customHeight="1">
      <c r="A46" s="809"/>
      <c r="B46" s="793"/>
      <c r="C46" s="794"/>
      <c r="D46" s="1301"/>
      <c r="E46" s="1301"/>
      <c r="F46" s="1301"/>
      <c r="G46" s="1301"/>
      <c r="H46" s="1301"/>
      <c r="I46" s="1301"/>
    </row>
    <row r="47" spans="1:9">
      <c r="A47" s="1308" t="s">
        <v>513</v>
      </c>
      <c r="B47" s="1309"/>
      <c r="C47" s="1311"/>
      <c r="D47" s="680"/>
      <c r="E47" s="680"/>
      <c r="F47" s="680"/>
      <c r="G47" s="680"/>
      <c r="H47" s="680"/>
      <c r="I47" s="681" t="str">
        <f>IF(($H$44-$D$44)&lt;=0," ",$H$44-$D$44)</f>
        <v/>
      </c>
    </row>
    <row r="48" spans="1:9" ht="11.25" customHeight="1">
      <c r="A48" s="792"/>
      <c r="B48" s="790"/>
      <c r="C48" s="791"/>
      <c r="D48" s="673"/>
      <c r="E48" s="673"/>
      <c r="F48" s="673"/>
      <c r="G48" s="673"/>
      <c r="H48" s="673"/>
      <c r="I48" s="677"/>
    </row>
    <row r="49" spans="1:9">
      <c r="A49" s="1308" t="s">
        <v>514</v>
      </c>
      <c r="B49" s="1309"/>
      <c r="C49" s="1311"/>
      <c r="D49" s="673"/>
      <c r="E49" s="673"/>
      <c r="F49" s="673"/>
      <c r="G49" s="673"/>
      <c r="H49" s="673"/>
      <c r="I49" s="677"/>
    </row>
    <row r="50" spans="1:9">
      <c r="A50" s="792"/>
      <c r="B50" s="1305" t="s">
        <v>515</v>
      </c>
      <c r="C50" s="1306"/>
      <c r="D50" s="673">
        <f t="shared" ref="D50:I50" si="9">SUM(D51:D58)</f>
        <v>0</v>
      </c>
      <c r="E50" s="673">
        <f t="shared" si="9"/>
        <v>0</v>
      </c>
      <c r="F50" s="673">
        <f t="shared" si="9"/>
        <v>0</v>
      </c>
      <c r="G50" s="673">
        <f t="shared" si="9"/>
        <v>0</v>
      </c>
      <c r="H50" s="673">
        <f t="shared" si="9"/>
        <v>0</v>
      </c>
      <c r="I50" s="677">
        <f t="shared" si="9"/>
        <v>0</v>
      </c>
    </row>
    <row r="51" spans="1:9">
      <c r="A51" s="792"/>
      <c r="B51" s="790"/>
      <c r="C51" s="791" t="s">
        <v>516</v>
      </c>
      <c r="D51" s="678">
        <v>0</v>
      </c>
      <c r="E51" s="678">
        <v>0</v>
      </c>
      <c r="F51" s="678">
        <f t="shared" ref="F51:F79" si="10">+D51+E51</f>
        <v>0</v>
      </c>
      <c r="G51" s="678">
        <v>0</v>
      </c>
      <c r="H51" s="678">
        <v>0</v>
      </c>
      <c r="I51" s="677">
        <f>H51-D51</f>
        <v>0</v>
      </c>
    </row>
    <row r="52" spans="1:9">
      <c r="A52" s="792"/>
      <c r="B52" s="790"/>
      <c r="C52" s="791" t="s">
        <v>517</v>
      </c>
      <c r="D52" s="678">
        <v>0</v>
      </c>
      <c r="E52" s="678"/>
      <c r="F52" s="678">
        <f t="shared" si="10"/>
        <v>0</v>
      </c>
      <c r="G52" s="678"/>
      <c r="H52" s="678"/>
      <c r="I52" s="677">
        <f t="shared" ref="I52:I63" si="11">H52-D52</f>
        <v>0</v>
      </c>
    </row>
    <row r="53" spans="1:9">
      <c r="A53" s="792"/>
      <c r="B53" s="790"/>
      <c r="C53" s="791" t="s">
        <v>518</v>
      </c>
      <c r="D53" s="678">
        <v>0</v>
      </c>
      <c r="E53" s="678"/>
      <c r="F53" s="678">
        <f t="shared" si="10"/>
        <v>0</v>
      </c>
      <c r="G53" s="678"/>
      <c r="H53" s="678"/>
      <c r="I53" s="677">
        <f t="shared" si="11"/>
        <v>0</v>
      </c>
    </row>
    <row r="54" spans="1:9" ht="18">
      <c r="A54" s="792"/>
      <c r="B54" s="790"/>
      <c r="C54" s="795" t="s">
        <v>519</v>
      </c>
      <c r="D54" s="678">
        <v>0</v>
      </c>
      <c r="E54" s="678"/>
      <c r="F54" s="678">
        <f t="shared" si="10"/>
        <v>0</v>
      </c>
      <c r="G54" s="678"/>
      <c r="H54" s="678"/>
      <c r="I54" s="677">
        <f t="shared" si="11"/>
        <v>0</v>
      </c>
    </row>
    <row r="55" spans="1:9">
      <c r="A55" s="792"/>
      <c r="B55" s="790"/>
      <c r="C55" s="791" t="s">
        <v>520</v>
      </c>
      <c r="D55" s="678">
        <v>0</v>
      </c>
      <c r="E55" s="678">
        <v>0</v>
      </c>
      <c r="F55" s="678">
        <f t="shared" si="10"/>
        <v>0</v>
      </c>
      <c r="G55" s="678">
        <v>0</v>
      </c>
      <c r="H55" s="678">
        <v>0</v>
      </c>
      <c r="I55" s="677">
        <f t="shared" si="11"/>
        <v>0</v>
      </c>
    </row>
    <row r="56" spans="1:9">
      <c r="A56" s="792"/>
      <c r="B56" s="790"/>
      <c r="C56" s="791" t="s">
        <v>521</v>
      </c>
      <c r="D56" s="678">
        <v>0</v>
      </c>
      <c r="E56" s="678"/>
      <c r="F56" s="678">
        <f t="shared" si="10"/>
        <v>0</v>
      </c>
      <c r="G56" s="678"/>
      <c r="H56" s="678"/>
      <c r="I56" s="677">
        <f t="shared" si="11"/>
        <v>0</v>
      </c>
    </row>
    <row r="57" spans="1:9" ht="18">
      <c r="A57" s="792"/>
      <c r="B57" s="790"/>
      <c r="C57" s="795" t="s">
        <v>522</v>
      </c>
      <c r="D57" s="678">
        <v>0</v>
      </c>
      <c r="E57" s="678"/>
      <c r="F57" s="678">
        <f t="shared" si="10"/>
        <v>0</v>
      </c>
      <c r="G57" s="678"/>
      <c r="H57" s="678"/>
      <c r="I57" s="677">
        <f t="shared" si="11"/>
        <v>0</v>
      </c>
    </row>
    <row r="58" spans="1:9" ht="18">
      <c r="A58" s="792"/>
      <c r="B58" s="790"/>
      <c r="C58" s="795" t="s">
        <v>523</v>
      </c>
      <c r="D58" s="678">
        <v>0</v>
      </c>
      <c r="E58" s="678"/>
      <c r="F58" s="678">
        <f t="shared" si="10"/>
        <v>0</v>
      </c>
      <c r="G58" s="678"/>
      <c r="H58" s="678"/>
      <c r="I58" s="677">
        <f t="shared" si="11"/>
        <v>0</v>
      </c>
    </row>
    <row r="59" spans="1:9">
      <c r="A59" s="792"/>
      <c r="B59" s="1305" t="s">
        <v>524</v>
      </c>
      <c r="C59" s="1306"/>
      <c r="D59" s="673">
        <f t="shared" ref="D59:I59" si="12">SUM(D60:D63)</f>
        <v>0</v>
      </c>
      <c r="E59" s="673">
        <f t="shared" si="12"/>
        <v>0</v>
      </c>
      <c r="F59" s="673">
        <f t="shared" si="12"/>
        <v>0</v>
      </c>
      <c r="G59" s="673">
        <f t="shared" si="12"/>
        <v>0</v>
      </c>
      <c r="H59" s="673">
        <f t="shared" si="12"/>
        <v>0</v>
      </c>
      <c r="I59" s="677">
        <f t="shared" si="12"/>
        <v>0</v>
      </c>
    </row>
    <row r="60" spans="1:9">
      <c r="A60" s="792"/>
      <c r="B60" s="790"/>
      <c r="C60" s="791" t="s">
        <v>525</v>
      </c>
      <c r="D60" s="678">
        <v>0</v>
      </c>
      <c r="E60" s="678"/>
      <c r="F60" s="678">
        <f t="shared" si="10"/>
        <v>0</v>
      </c>
      <c r="G60" s="678"/>
      <c r="H60" s="678"/>
      <c r="I60" s="677">
        <f t="shared" si="11"/>
        <v>0</v>
      </c>
    </row>
    <row r="61" spans="1:9">
      <c r="A61" s="792"/>
      <c r="B61" s="790"/>
      <c r="C61" s="791" t="s">
        <v>526</v>
      </c>
      <c r="D61" s="678">
        <v>0</v>
      </c>
      <c r="E61" s="678"/>
      <c r="F61" s="678">
        <v>0</v>
      </c>
      <c r="G61" s="678"/>
      <c r="H61" s="678"/>
      <c r="I61" s="677">
        <f t="shared" si="11"/>
        <v>0</v>
      </c>
    </row>
    <row r="62" spans="1:9">
      <c r="A62" s="792"/>
      <c r="B62" s="790"/>
      <c r="C62" s="791" t="s">
        <v>527</v>
      </c>
      <c r="D62" s="678">
        <v>0</v>
      </c>
      <c r="E62" s="678"/>
      <c r="F62" s="678">
        <v>0</v>
      </c>
      <c r="G62" s="678"/>
      <c r="H62" s="678"/>
      <c r="I62" s="677">
        <f t="shared" si="11"/>
        <v>0</v>
      </c>
    </row>
    <row r="63" spans="1:9">
      <c r="A63" s="792"/>
      <c r="B63" s="790"/>
      <c r="C63" s="791" t="s">
        <v>528</v>
      </c>
      <c r="D63" s="678">
        <v>0</v>
      </c>
      <c r="E63" s="678"/>
      <c r="F63" s="678">
        <v>0</v>
      </c>
      <c r="G63" s="678"/>
      <c r="H63" s="678"/>
      <c r="I63" s="677">
        <f t="shared" si="11"/>
        <v>0</v>
      </c>
    </row>
    <row r="64" spans="1:9">
      <c r="A64" s="792"/>
      <c r="B64" s="1305" t="s">
        <v>529</v>
      </c>
      <c r="C64" s="1306"/>
      <c r="D64" s="673">
        <f t="shared" ref="D64:I64" si="13">SUM(D65:D66)</f>
        <v>0</v>
      </c>
      <c r="E64" s="673">
        <f t="shared" si="13"/>
        <v>0</v>
      </c>
      <c r="F64" s="673">
        <f t="shared" si="13"/>
        <v>0</v>
      </c>
      <c r="G64" s="673">
        <f t="shared" si="13"/>
        <v>0</v>
      </c>
      <c r="H64" s="673">
        <f t="shared" si="13"/>
        <v>0</v>
      </c>
      <c r="I64" s="677">
        <f t="shared" si="13"/>
        <v>0</v>
      </c>
    </row>
    <row r="65" spans="1:10" ht="18.75" thickBot="1">
      <c r="A65" s="644"/>
      <c r="B65" s="726"/>
      <c r="C65" s="727" t="s">
        <v>530</v>
      </c>
      <c r="D65" s="679">
        <v>0</v>
      </c>
      <c r="E65" s="679">
        <v>0</v>
      </c>
      <c r="F65" s="679">
        <f t="shared" si="10"/>
        <v>0</v>
      </c>
      <c r="G65" s="679">
        <v>0</v>
      </c>
      <c r="H65" s="679">
        <v>0</v>
      </c>
      <c r="I65" s="753">
        <f>H65-D65</f>
        <v>0</v>
      </c>
    </row>
    <row r="66" spans="1:10">
      <c r="A66" s="792"/>
      <c r="B66" s="790"/>
      <c r="C66" s="795" t="s">
        <v>531</v>
      </c>
      <c r="D66" s="678">
        <v>0</v>
      </c>
      <c r="E66" s="678">
        <v>0</v>
      </c>
      <c r="F66" s="778">
        <v>0</v>
      </c>
      <c r="G66" s="678">
        <v>0</v>
      </c>
      <c r="H66" s="678">
        <v>0</v>
      </c>
      <c r="I66" s="677">
        <f>H66-D66</f>
        <v>0</v>
      </c>
    </row>
    <row r="67" spans="1:10">
      <c r="A67" s="792"/>
      <c r="B67" s="1305" t="s">
        <v>532</v>
      </c>
      <c r="C67" s="1306"/>
      <c r="D67" s="678">
        <v>0</v>
      </c>
      <c r="E67" s="678">
        <v>0</v>
      </c>
      <c r="F67" s="678">
        <f t="shared" si="10"/>
        <v>0</v>
      </c>
      <c r="G67" s="678">
        <v>0</v>
      </c>
      <c r="H67" s="678">
        <v>0</v>
      </c>
      <c r="I67" s="677">
        <f>H67-D67</f>
        <v>0</v>
      </c>
    </row>
    <row r="68" spans="1:10">
      <c r="A68" s="792"/>
      <c r="B68" s="1305" t="s">
        <v>533</v>
      </c>
      <c r="C68" s="1306"/>
      <c r="D68" s="678">
        <v>0</v>
      </c>
      <c r="E68" s="678">
        <v>0</v>
      </c>
      <c r="F68" s="678">
        <f t="shared" si="10"/>
        <v>0</v>
      </c>
      <c r="G68" s="678">
        <v>0</v>
      </c>
      <c r="H68" s="678">
        <v>0</v>
      </c>
      <c r="I68" s="677">
        <f>H68-D68</f>
        <v>0</v>
      </c>
    </row>
    <row r="69" spans="1:10" ht="8.25" customHeight="1">
      <c r="A69" s="792"/>
      <c r="B69" s="1305"/>
      <c r="C69" s="1306"/>
      <c r="D69" s="673"/>
      <c r="E69" s="673"/>
      <c r="F69" s="673" t="s">
        <v>255</v>
      </c>
      <c r="G69" s="673"/>
      <c r="H69" s="673"/>
      <c r="I69" s="677"/>
    </row>
    <row r="70" spans="1:10">
      <c r="A70" s="1315" t="s">
        <v>534</v>
      </c>
      <c r="B70" s="1316"/>
      <c r="C70" s="1317"/>
      <c r="D70" s="675">
        <f t="shared" ref="D70:I70" si="14">+D50+D59+D64+D67+D68</f>
        <v>0</v>
      </c>
      <c r="E70" s="675">
        <f t="shared" si="14"/>
        <v>0</v>
      </c>
      <c r="F70" s="675">
        <f t="shared" si="14"/>
        <v>0</v>
      </c>
      <c r="G70" s="675">
        <f t="shared" si="14"/>
        <v>0</v>
      </c>
      <c r="H70" s="675">
        <f t="shared" si="14"/>
        <v>0</v>
      </c>
      <c r="I70" s="754">
        <f t="shared" si="14"/>
        <v>0</v>
      </c>
    </row>
    <row r="71" spans="1:10" ht="6" customHeight="1">
      <c r="A71" s="792"/>
      <c r="B71" s="1305"/>
      <c r="C71" s="1306"/>
      <c r="D71" s="673"/>
      <c r="E71" s="673"/>
      <c r="F71" s="673" t="s">
        <v>255</v>
      </c>
      <c r="G71" s="673"/>
      <c r="H71" s="673"/>
      <c r="I71" s="677"/>
    </row>
    <row r="72" spans="1:10">
      <c r="A72" s="1308" t="s">
        <v>535</v>
      </c>
      <c r="B72" s="1309"/>
      <c r="C72" s="1311"/>
      <c r="D72" s="675">
        <f t="shared" ref="D72:I72" si="15">SUM(D73)</f>
        <v>0</v>
      </c>
      <c r="E72" s="675">
        <f t="shared" si="15"/>
        <v>0</v>
      </c>
      <c r="F72" s="675">
        <f t="shared" si="15"/>
        <v>0</v>
      </c>
      <c r="G72" s="675">
        <f t="shared" si="15"/>
        <v>0</v>
      </c>
      <c r="H72" s="675">
        <f t="shared" si="15"/>
        <v>0</v>
      </c>
      <c r="I72" s="754">
        <f t="shared" si="15"/>
        <v>0</v>
      </c>
    </row>
    <row r="73" spans="1:10">
      <c r="A73" s="792"/>
      <c r="B73" s="1312" t="s">
        <v>536</v>
      </c>
      <c r="C73" s="1306"/>
      <c r="D73" s="678">
        <v>0</v>
      </c>
      <c r="E73" s="678"/>
      <c r="F73" s="678" t="s">
        <v>255</v>
      </c>
      <c r="G73" s="678"/>
      <c r="H73" s="678">
        <v>0</v>
      </c>
      <c r="I73" s="677">
        <f>H73-D73</f>
        <v>0</v>
      </c>
    </row>
    <row r="74" spans="1:10" ht="7.5" customHeight="1">
      <c r="A74" s="792"/>
      <c r="B74" s="1312"/>
      <c r="C74" s="1306"/>
      <c r="D74" s="673"/>
      <c r="E74" s="673"/>
      <c r="F74" s="673" t="s">
        <v>255</v>
      </c>
      <c r="G74" s="673"/>
      <c r="H74" s="673"/>
      <c r="I74" s="677"/>
    </row>
    <row r="75" spans="1:10">
      <c r="A75" s="1308" t="s">
        <v>537</v>
      </c>
      <c r="B75" s="1309"/>
      <c r="C75" s="1311"/>
      <c r="D75" s="952">
        <f t="shared" ref="D75:I75" si="16">+D44+D70+D72</f>
        <v>115136459.54000001</v>
      </c>
      <c r="E75" s="675">
        <f t="shared" si="16"/>
        <v>0</v>
      </c>
      <c r="F75" s="952">
        <f t="shared" si="16"/>
        <v>115136459.54000001</v>
      </c>
      <c r="G75" s="952">
        <f t="shared" si="16"/>
        <v>75208148</v>
      </c>
      <c r="H75" s="952">
        <f t="shared" si="16"/>
        <v>69002420</v>
      </c>
      <c r="I75" s="953">
        <f t="shared" si="16"/>
        <v>-46134039.540000007</v>
      </c>
    </row>
    <row r="76" spans="1:10" ht="6" customHeight="1">
      <c r="A76" s="792"/>
      <c r="B76" s="1312"/>
      <c r="C76" s="1306"/>
      <c r="D76" s="673"/>
      <c r="E76" s="673"/>
      <c r="F76" s="673" t="s">
        <v>255</v>
      </c>
      <c r="G76" s="673"/>
      <c r="H76" s="673"/>
      <c r="I76" s="677"/>
    </row>
    <row r="77" spans="1:10">
      <c r="A77" s="792"/>
      <c r="B77" s="1320" t="s">
        <v>538</v>
      </c>
      <c r="C77" s="1311"/>
      <c r="D77" s="677"/>
      <c r="E77" s="677"/>
      <c r="F77" s="677" t="s">
        <v>255</v>
      </c>
      <c r="G77" s="677"/>
      <c r="H77" s="677"/>
      <c r="I77" s="677"/>
    </row>
    <row r="78" spans="1:10" ht="21.75" customHeight="1">
      <c r="A78" s="792"/>
      <c r="B78" s="1321" t="s">
        <v>539</v>
      </c>
      <c r="C78" s="1322"/>
      <c r="D78" s="678">
        <v>0</v>
      </c>
      <c r="E78" s="678">
        <v>0</v>
      </c>
      <c r="F78" s="678">
        <f t="shared" si="10"/>
        <v>0</v>
      </c>
      <c r="G78" s="678">
        <v>0</v>
      </c>
      <c r="H78" s="678">
        <v>0</v>
      </c>
      <c r="I78" s="677">
        <f>H78-D78</f>
        <v>0</v>
      </c>
    </row>
    <row r="79" spans="1:10" ht="22.5" customHeight="1">
      <c r="A79" s="792"/>
      <c r="B79" s="1321" t="s">
        <v>540</v>
      </c>
      <c r="C79" s="1322"/>
      <c r="D79" s="678">
        <v>0</v>
      </c>
      <c r="E79" s="678">
        <v>0</v>
      </c>
      <c r="F79" s="678">
        <f t="shared" si="10"/>
        <v>0</v>
      </c>
      <c r="G79" s="678">
        <v>0</v>
      </c>
      <c r="H79" s="678">
        <v>0</v>
      </c>
      <c r="I79" s="677">
        <f>H79-D79</f>
        <v>0</v>
      </c>
    </row>
    <row r="80" spans="1:10">
      <c r="A80" s="792"/>
      <c r="B80" s="1320" t="s">
        <v>541</v>
      </c>
      <c r="C80" s="1311"/>
      <c r="D80" s="675">
        <f t="shared" ref="D80:I80" si="17">+D78+D79</f>
        <v>0</v>
      </c>
      <c r="E80" s="675">
        <f t="shared" si="17"/>
        <v>0</v>
      </c>
      <c r="F80" s="675">
        <f t="shared" si="17"/>
        <v>0</v>
      </c>
      <c r="G80" s="675">
        <f t="shared" si="17"/>
        <v>0</v>
      </c>
      <c r="H80" s="675">
        <f t="shared" si="17"/>
        <v>0</v>
      </c>
      <c r="I80" s="754">
        <f t="shared" si="17"/>
        <v>0</v>
      </c>
      <c r="J80" s="525" t="s">
        <v>255</v>
      </c>
    </row>
    <row r="81" spans="1:10" ht="15.75" thickBot="1">
      <c r="A81" s="643"/>
      <c r="B81" s="1318"/>
      <c r="C81" s="1319"/>
      <c r="D81" s="674"/>
      <c r="E81" s="674"/>
      <c r="F81" s="674"/>
      <c r="G81" s="674"/>
      <c r="H81" s="674"/>
      <c r="I81" s="674"/>
      <c r="J81" s="525" t="str">
        <f>IF(E75&lt;&gt;'ETCA-II-01'!D24,"ERROR!!!!! EL MONTO NO COINCIDE CON LO REPORTADO EN EL FORMATO ETCA-II-01 EN EL TOTAL DE INGRESOS","")</f>
        <v/>
      </c>
    </row>
    <row r="82" spans="1:10">
      <c r="J82" s="525" t="s">
        <v>255</v>
      </c>
    </row>
    <row r="83" spans="1:10">
      <c r="J83" s="525" t="str">
        <f>IF(G75&lt;&gt;'ETCA-II-01'!F24,"ERROR!!!!! EL MONTO NO COINCIDE CON LO REPORTADO EN EL FORMATO ETCA-II-01 EN EL TOTAL DE INGRESOS","")</f>
        <v/>
      </c>
    </row>
    <row r="84" spans="1:10">
      <c r="J84" s="525" t="str">
        <f>IF(H75&lt;&gt;'ETCA-II-01'!G24,"ERROR!!!!! EL MONTO NO COINCIDE CON LO REPORTADO EN EL FORMATO ETCA-II-01 EN EL TOTAL DE INGRESOS","")</f>
        <v/>
      </c>
    </row>
    <row r="85" spans="1:10">
      <c r="J85" s="525" t="s">
        <v>255</v>
      </c>
    </row>
    <row r="86" spans="1:10">
      <c r="J86" s="525" t="str">
        <f>IF(D75&lt;&gt;'ETCA-II-01'!C51,"ERROR!!!!! EL MONTO NO COINCIDE CON LO REPORTADO EN EL FORMATO ETCA-II-01 EN EL TOTAL DE INGRESOS","")</f>
        <v/>
      </c>
    </row>
    <row r="87" spans="1:10">
      <c r="J87" s="525" t="str">
        <f>IF(E75&lt;&gt;'ETCA-II-01'!D51,"ERROR!!!!! EL MONTO NO COINCIDE CON LO REPORTADO EN EL FORMATO ETCA-II-01 EN EL TOTAL DE INGRESOS","")</f>
        <v/>
      </c>
    </row>
    <row r="88" spans="1:10">
      <c r="J88" s="525" t="str">
        <f>IF(F75&lt;&gt;'ETCA-II-01'!E51,"ERROR!!!!! EL MONTO NO COINCIDE CON LO REPORTADO EN EL FORMATO ETCA-II-01 EN EL TOTAL DE INGRESOS","")</f>
        <v/>
      </c>
    </row>
    <row r="89" spans="1:10">
      <c r="J89" s="525" t="str">
        <f>IF(G75&lt;&gt;'ETCA-II-01'!F51,"ERROR!!!!! EL MONTO NO COINCIDE CON LO REPORTADO EN EL FORMATO ETCA-II-01 EN EL TOTAL DE INGRESOS","")</f>
        <v/>
      </c>
    </row>
    <row r="90" spans="1:10">
      <c r="J90" s="525" t="str">
        <f>IF(H75&lt;&gt;'ETCA-II-01'!G51,"ERROR!!!!! EL MONTO NO COINCIDE CON LO REPORTADO EN EL FORMATO ETCA-II-01 EN EL TOTAL DE INGRESOS","")</f>
        <v/>
      </c>
    </row>
    <row r="91" spans="1:10">
      <c r="J91" s="525" t="str">
        <f>IF(I75&lt;&gt;'ETCA-II-01'!H51,"ERROR!!!!! EL MONTO NO COINCIDE CON LO REPORTADO EN EL FORMATO ETCA-II-01 EN EL TOTAL DE INGRESOS","")</f>
        <v/>
      </c>
    </row>
  </sheetData>
  <sheetProtection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G18:G19"/>
    <mergeCell ref="H18:H19"/>
    <mergeCell ref="I18:I19"/>
    <mergeCell ref="A72:C72"/>
    <mergeCell ref="B73:C73"/>
    <mergeCell ref="A47:C47"/>
    <mergeCell ref="B38:C38"/>
    <mergeCell ref="B40:C40"/>
    <mergeCell ref="D44:D46"/>
    <mergeCell ref="D18:D19"/>
    <mergeCell ref="E18:E19"/>
    <mergeCell ref="G44:G46"/>
    <mergeCell ref="H44:H46"/>
    <mergeCell ref="I44:I46"/>
    <mergeCell ref="B31:C31"/>
    <mergeCell ref="B37:C37"/>
    <mergeCell ref="F18:F19"/>
    <mergeCell ref="E44:E46"/>
    <mergeCell ref="F44:F46"/>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16.xml><?xml version="1.0" encoding="utf-8"?>
<worksheet xmlns="http://schemas.openxmlformats.org/spreadsheetml/2006/main" xmlns:r="http://schemas.openxmlformats.org/officeDocument/2006/relationships">
  <sheetPr codeName="Hoja11">
    <pageSetUpPr fitToPage="1"/>
  </sheetPr>
  <dimension ref="A1:E23"/>
  <sheetViews>
    <sheetView view="pageBreakPreview" topLeftCell="A13" zoomScaleSheetLayoutView="100" workbookViewId="0">
      <selection activeCell="D24" sqref="D24"/>
    </sheetView>
  </sheetViews>
  <sheetFormatPr baseColWidth="10" defaultColWidth="11.28515625" defaultRowHeight="16.5"/>
  <cols>
    <col min="1" max="1" width="1.28515625" style="124" customWidth="1"/>
    <col min="2" max="2" width="43.85546875" style="124" customWidth="1"/>
    <col min="3" max="4" width="25.7109375" style="124" customWidth="1"/>
    <col min="5" max="5" width="62" style="244" customWidth="1"/>
    <col min="6" max="16384" width="11.28515625" style="124"/>
  </cols>
  <sheetData>
    <row r="1" spans="1:5">
      <c r="A1" s="1209" t="s">
        <v>23</v>
      </c>
      <c r="B1" s="1209"/>
      <c r="C1" s="1209"/>
      <c r="D1" s="1209"/>
    </row>
    <row r="2" spans="1:5" s="166" customFormat="1" ht="15.75">
      <c r="A2" s="1209" t="s">
        <v>542</v>
      </c>
      <c r="B2" s="1209"/>
      <c r="C2" s="1209"/>
      <c r="D2" s="1209"/>
      <c r="E2" s="428"/>
    </row>
    <row r="3" spans="1:5" s="166" customFormat="1" ht="15.75">
      <c r="A3" s="1210" t="str">
        <f>'ETCA-I-01'!A3:G3</f>
        <v>TELEVISORA DE HERMOSILLO, S.A. DE C.V.</v>
      </c>
      <c r="B3" s="1210"/>
      <c r="C3" s="1210"/>
      <c r="D3" s="1210"/>
      <c r="E3" s="427"/>
    </row>
    <row r="4" spans="1:5" s="166" customFormat="1">
      <c r="A4" s="1211" t="str">
        <f>'ETCA-I-01'!A4:G4</f>
        <v>Al 30 de Septiembre de 2018</v>
      </c>
      <c r="B4" s="1211"/>
      <c r="C4" s="1211"/>
      <c r="D4" s="1211"/>
      <c r="E4" s="427"/>
    </row>
    <row r="5" spans="1:5" s="168" customFormat="1" ht="17.25" thickBot="1">
      <c r="A5" s="167"/>
      <c r="B5" s="1212" t="s">
        <v>543</v>
      </c>
      <c r="C5" s="1212"/>
      <c r="D5" s="249"/>
      <c r="E5" s="429"/>
    </row>
    <row r="6" spans="1:5" s="169" customFormat="1" ht="27" customHeight="1" thickBot="1">
      <c r="A6" s="1323" t="s">
        <v>544</v>
      </c>
      <c r="B6" s="1324"/>
      <c r="C6" s="258"/>
      <c r="D6" s="954">
        <f>'ETCA-II-01'!F24</f>
        <v>75208148</v>
      </c>
      <c r="E6" s="430" t="str">
        <f>IF(D6&lt;&gt;'ETCA-II-01'!F51,"ERROR!!!!! EL MONTO NO COINCIDE CON LO REPORTADO EN EL FORMATO ETCA-II-01 EN EL TOTAL DEVENGADO DEL ANALÍTICO DE INGRESOS","")</f>
        <v/>
      </c>
    </row>
    <row r="7" spans="1:5" s="252" customFormat="1" ht="9.75" customHeight="1">
      <c r="A7" s="270"/>
      <c r="B7" s="250"/>
      <c r="C7" s="251"/>
      <c r="D7" s="272"/>
      <c r="E7" s="431"/>
    </row>
    <row r="8" spans="1:5" s="252" customFormat="1" ht="17.25" customHeight="1" thickBot="1">
      <c r="A8" s="271" t="s">
        <v>545</v>
      </c>
      <c r="B8" s="253"/>
      <c r="C8" s="254"/>
      <c r="D8" s="273"/>
      <c r="E8" s="430"/>
    </row>
    <row r="9" spans="1:5" ht="20.100000000000001" customHeight="1" thickBot="1">
      <c r="A9" s="260" t="s">
        <v>546</v>
      </c>
      <c r="B9" s="261"/>
      <c r="C9" s="262"/>
      <c r="D9" s="263">
        <f>SUM(C10:C14)</f>
        <v>84011</v>
      </c>
      <c r="E9" s="430"/>
    </row>
    <row r="10" spans="1:5" ht="20.100000000000001" customHeight="1">
      <c r="A10" s="170"/>
      <c r="B10" s="279" t="s">
        <v>547</v>
      </c>
      <c r="C10" s="264"/>
      <c r="D10" s="432"/>
      <c r="E10" s="449" t="str">
        <f>IF(C10&lt;&gt;'ETCA-I-03'!C22,"ERROR!!!, NO COINCIDEN LOS MONTOS CON LO REPORTADO EN EL FORMATO ETCA-I-03 EN EL EJERCICIO 2017","")</f>
        <v/>
      </c>
    </row>
    <row r="11" spans="1:5" ht="33" customHeight="1">
      <c r="A11" s="170"/>
      <c r="B11" s="280" t="s">
        <v>548</v>
      </c>
      <c r="C11" s="264"/>
      <c r="D11" s="432"/>
      <c r="E11" s="449" t="str">
        <f>IF(C11&lt;&gt;'ETCA-I-03'!C23,"ERROR!!!, NO COINCIDEN LOS MONTOS CON LO REPORTADO EN EL FORMATO ETCA-I-03 EN EL EJERCICIO 2017","")</f>
        <v/>
      </c>
    </row>
    <row r="12" spans="1:5" ht="20.100000000000001" customHeight="1">
      <c r="A12" s="171"/>
      <c r="B12" s="280" t="s">
        <v>549</v>
      </c>
      <c r="C12" s="264"/>
      <c r="D12" s="432"/>
      <c r="E12" s="449" t="str">
        <f>IF(C12&lt;&gt;'ETCA-I-03'!C24,"ERROR!!!, NO COINCIDEN LOS MONTOS CON LO REPORTADO EN EL FORMATO ETCA-I-03 EN EL EJERCICIO 2017","")</f>
        <v/>
      </c>
    </row>
    <row r="13" spans="1:5" ht="20.100000000000001" customHeight="1">
      <c r="A13" s="171"/>
      <c r="B13" s="280" t="s">
        <v>550</v>
      </c>
      <c r="C13" s="946">
        <v>80104</v>
      </c>
      <c r="D13" s="432"/>
      <c r="E13" s="449" t="str">
        <f>IF(C13&lt;&gt;'ETCA-I-03'!C25,"ERROR!!!, NO COINCIDEN LOS MONTOS CON LO REPORTADO EN EL FORMATO ETCA-I-03 EN EL EJERCICIO 2017","")</f>
        <v/>
      </c>
    </row>
    <row r="14" spans="1:5" ht="24.75" customHeight="1" thickBot="1">
      <c r="A14" s="255" t="s">
        <v>551</v>
      </c>
      <c r="B14" s="283"/>
      <c r="C14" s="947">
        <v>3907</v>
      </c>
      <c r="D14" s="433"/>
      <c r="E14" s="430"/>
    </row>
    <row r="15" spans="1:5" ht="7.5" customHeight="1">
      <c r="A15" s="284"/>
      <c r="B15" s="274"/>
      <c r="C15" s="275"/>
      <c r="D15" s="276"/>
      <c r="E15" s="430"/>
    </row>
    <row r="16" spans="1:5" ht="20.100000000000001" customHeight="1" thickBot="1">
      <c r="A16" s="285" t="s">
        <v>552</v>
      </c>
      <c r="B16" s="277"/>
      <c r="C16" s="278"/>
      <c r="D16" s="256"/>
      <c r="E16" s="430"/>
    </row>
    <row r="17" spans="1:5" ht="20.100000000000001" customHeight="1" thickBot="1">
      <c r="A17" s="260" t="s">
        <v>553</v>
      </c>
      <c r="B17" s="261"/>
      <c r="C17" s="262"/>
      <c r="D17" s="263">
        <f>SUM(C18:C22)</f>
        <v>0</v>
      </c>
      <c r="E17" s="430"/>
    </row>
    <row r="18" spans="1:5" ht="20.100000000000001" customHeight="1">
      <c r="A18" s="171"/>
      <c r="B18" s="279" t="s">
        <v>554</v>
      </c>
      <c r="C18" s="265"/>
      <c r="D18" s="432"/>
      <c r="E18" s="430"/>
    </row>
    <row r="19" spans="1:5" ht="20.100000000000001" customHeight="1">
      <c r="A19" s="171"/>
      <c r="B19" s="280" t="s">
        <v>555</v>
      </c>
      <c r="C19" s="265"/>
      <c r="D19" s="432"/>
      <c r="E19" s="430"/>
    </row>
    <row r="20" spans="1:5" ht="20.100000000000001" customHeight="1">
      <c r="A20" s="171"/>
      <c r="B20" s="280" t="s">
        <v>556</v>
      </c>
      <c r="C20" s="948">
        <v>0</v>
      </c>
      <c r="D20" s="432"/>
      <c r="E20" s="430"/>
    </row>
    <row r="21" spans="1:5" ht="20.100000000000001" customHeight="1">
      <c r="A21" s="257" t="s">
        <v>557</v>
      </c>
      <c r="B21" s="281"/>
      <c r="C21" s="265"/>
      <c r="D21" s="432"/>
      <c r="E21" s="430"/>
    </row>
    <row r="22" spans="1:5" ht="20.100000000000001" customHeight="1" thickBot="1">
      <c r="A22" s="171"/>
      <c r="B22" s="282"/>
      <c r="C22" s="266"/>
      <c r="D22" s="432"/>
      <c r="E22" s="430"/>
    </row>
    <row r="23" spans="1:5" ht="26.25" customHeight="1" thickBot="1">
      <c r="A23" s="267" t="s">
        <v>558</v>
      </c>
      <c r="B23" s="268"/>
      <c r="C23" s="269"/>
      <c r="D23" s="954">
        <f>D6+D9-D17+1</f>
        <v>75292160</v>
      </c>
      <c r="E23" s="430" t="s">
        <v>255</v>
      </c>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dimension ref="A1:G91"/>
  <sheetViews>
    <sheetView view="pageBreakPreview" topLeftCell="A52" zoomScale="98" zoomScaleSheetLayoutView="98" workbookViewId="0">
      <selection activeCell="F82" sqref="F82"/>
    </sheetView>
  </sheetViews>
  <sheetFormatPr baseColWidth="10" defaultRowHeight="15"/>
  <cols>
    <col min="1" max="1" width="49.85546875" customWidth="1"/>
    <col min="2" max="2" width="13.7109375" customWidth="1"/>
    <col min="3" max="3" width="15.42578125" customWidth="1"/>
    <col min="4" max="7" width="13.7109375" customWidth="1"/>
  </cols>
  <sheetData>
    <row r="1" spans="1:7" ht="15.75">
      <c r="A1" s="1209" t="s">
        <v>23</v>
      </c>
      <c r="B1" s="1209"/>
      <c r="C1" s="1209"/>
      <c r="D1" s="1209"/>
      <c r="E1" s="1209"/>
      <c r="F1" s="1209"/>
      <c r="G1" s="1209"/>
    </row>
    <row r="2" spans="1:7" ht="15.75">
      <c r="A2" s="1209" t="s">
        <v>559</v>
      </c>
      <c r="B2" s="1209"/>
      <c r="C2" s="1209"/>
      <c r="D2" s="1209"/>
      <c r="E2" s="1209"/>
      <c r="F2" s="1209"/>
      <c r="G2" s="1209"/>
    </row>
    <row r="3" spans="1:7" ht="15.75">
      <c r="A3" s="1209" t="s">
        <v>560</v>
      </c>
      <c r="B3" s="1209"/>
      <c r="C3" s="1209"/>
      <c r="D3" s="1209"/>
      <c r="E3" s="1209"/>
      <c r="F3" s="1209"/>
      <c r="G3" s="1209"/>
    </row>
    <row r="4" spans="1:7" ht="15.75">
      <c r="A4" s="1210" t="str">
        <f>'ETCA-I-01'!A3:G3</f>
        <v>TELEVISORA DE HERMOSILLO, S.A. DE C.V.</v>
      </c>
      <c r="B4" s="1210"/>
      <c r="C4" s="1210"/>
      <c r="D4" s="1210"/>
      <c r="E4" s="1210"/>
      <c r="F4" s="1210"/>
      <c r="G4" s="1210"/>
    </row>
    <row r="5" spans="1:7" ht="16.5">
      <c r="A5" s="1211" t="str">
        <f>'ETCA-I-03'!A4:D4</f>
        <v>Del 01 de Enero al 30 de Septiembre de 2018</v>
      </c>
      <c r="B5" s="1211"/>
      <c r="C5" s="1211"/>
      <c r="D5" s="1211"/>
      <c r="E5" s="1211"/>
      <c r="F5" s="1211"/>
      <c r="G5" s="1211"/>
    </row>
    <row r="6" spans="1:7" ht="17.25" thickBot="1">
      <c r="A6" s="1327" t="s">
        <v>561</v>
      </c>
      <c r="B6" s="1327"/>
      <c r="C6" s="1327"/>
      <c r="D6" s="1327"/>
      <c r="E6" s="1327"/>
      <c r="F6" s="249"/>
      <c r="G6" s="168"/>
    </row>
    <row r="7" spans="1:7" ht="38.25">
      <c r="A7" s="1325" t="s">
        <v>562</v>
      </c>
      <c r="B7" s="202" t="s">
        <v>563</v>
      </c>
      <c r="C7" s="202" t="s">
        <v>473</v>
      </c>
      <c r="D7" s="476" t="s">
        <v>564</v>
      </c>
      <c r="E7" s="203" t="s">
        <v>565</v>
      </c>
      <c r="F7" s="203" t="s">
        <v>566</v>
      </c>
      <c r="G7" s="477" t="s">
        <v>567</v>
      </c>
    </row>
    <row r="8" spans="1:7" ht="15.75" thickBot="1">
      <c r="A8" s="1326"/>
      <c r="B8" s="206" t="s">
        <v>438</v>
      </c>
      <c r="C8" s="206" t="s">
        <v>439</v>
      </c>
      <c r="D8" s="478" t="s">
        <v>568</v>
      </c>
      <c r="E8" s="207" t="s">
        <v>441</v>
      </c>
      <c r="F8" s="207" t="s">
        <v>442</v>
      </c>
      <c r="G8" s="479" t="s">
        <v>569</v>
      </c>
    </row>
    <row r="9" spans="1:7">
      <c r="A9" s="1047" t="s">
        <v>222</v>
      </c>
      <c r="B9" s="1045">
        <f>SUM(B10:B16)</f>
        <v>81363564</v>
      </c>
      <c r="C9" s="1045">
        <f>SUM(C10:C16)+1</f>
        <v>-9422840</v>
      </c>
      <c r="D9" s="1045">
        <f>B9+C9</f>
        <v>71940724</v>
      </c>
      <c r="E9" s="1045">
        <f>SUM(E10:E16)</f>
        <v>53128222</v>
      </c>
      <c r="F9" s="1045">
        <f>SUM(F10:F16)</f>
        <v>46951313</v>
      </c>
      <c r="G9" s="1046">
        <f>D9-E9</f>
        <v>18812502</v>
      </c>
    </row>
    <row r="10" spans="1:7">
      <c r="A10" s="480" t="s">
        <v>570</v>
      </c>
      <c r="B10" s="486">
        <f>SUM('ETCA-II-13'!C13:C19)</f>
        <v>49354557</v>
      </c>
      <c r="C10" s="486">
        <f>SUM('ETCA-II-13'!D13:D19)</f>
        <v>-7217745</v>
      </c>
      <c r="D10" s="484">
        <f t="shared" ref="D10:D72" si="0">B10+C10</f>
        <v>42136812</v>
      </c>
      <c r="E10" s="486">
        <f>SUM('ETCA-II-13'!F13:F19)</f>
        <v>32271925</v>
      </c>
      <c r="F10" s="486">
        <f>SUM('ETCA-II-13'!G13:G19)</f>
        <v>32271925</v>
      </c>
      <c r="G10" s="485">
        <f t="shared" ref="G10:G73" si="1">D10-E10</f>
        <v>9864887</v>
      </c>
    </row>
    <row r="11" spans="1:7">
      <c r="A11" s="480" t="s">
        <v>571</v>
      </c>
      <c r="B11" s="486">
        <f>SUM('ETCA-II-13'!C21)</f>
        <v>1332268</v>
      </c>
      <c r="C11" s="486">
        <f>SUM('ETCA-II-13'!D21)</f>
        <v>-109958</v>
      </c>
      <c r="D11" s="484">
        <f t="shared" si="0"/>
        <v>1222310</v>
      </c>
      <c r="E11" s="486">
        <f>SUM('ETCA-II-13'!F21)</f>
        <v>477108</v>
      </c>
      <c r="F11" s="486">
        <f>SUM('ETCA-II-13'!G21)</f>
        <v>477108</v>
      </c>
      <c r="G11" s="485">
        <f t="shared" si="1"/>
        <v>745202</v>
      </c>
    </row>
    <row r="12" spans="1:7">
      <c r="A12" s="480" t="s">
        <v>572</v>
      </c>
      <c r="B12" s="486">
        <f>SUM('ETCA-II-13'!C24:C34)</f>
        <v>11875044</v>
      </c>
      <c r="C12" s="486">
        <f>SUM('ETCA-II-13'!D24:D34)</f>
        <v>-1400264</v>
      </c>
      <c r="D12" s="484">
        <f t="shared" si="0"/>
        <v>10474780</v>
      </c>
      <c r="E12" s="486">
        <f>SUM('ETCA-II-13'!F24:F34)</f>
        <v>7745603</v>
      </c>
      <c r="F12" s="486">
        <f>SUM('ETCA-II-13'!G24:G34)</f>
        <v>3187940</v>
      </c>
      <c r="G12" s="485">
        <f t="shared" si="1"/>
        <v>2729177</v>
      </c>
    </row>
    <row r="13" spans="1:7">
      <c r="A13" s="480" t="s">
        <v>573</v>
      </c>
      <c r="B13" s="486">
        <f>SUM('ETCA-II-13'!C36:C38)</f>
        <v>9966112</v>
      </c>
      <c r="C13" s="486">
        <f>SUM('ETCA-II-13'!D36:D38)</f>
        <v>-1100000</v>
      </c>
      <c r="D13" s="484">
        <f t="shared" si="0"/>
        <v>8866112</v>
      </c>
      <c r="E13" s="486">
        <f>SUM('ETCA-II-13'!F36:F38)</f>
        <v>6112480</v>
      </c>
      <c r="F13" s="486">
        <f>SUM('ETCA-II-13'!G36:G38)</f>
        <v>5780000</v>
      </c>
      <c r="G13" s="485">
        <f t="shared" si="1"/>
        <v>2753632</v>
      </c>
    </row>
    <row r="14" spans="1:7">
      <c r="A14" s="480" t="s">
        <v>574</v>
      </c>
      <c r="B14" s="486">
        <f>SUM('ETCA-II-13'!C40:C45)</f>
        <v>7823850</v>
      </c>
      <c r="C14" s="486">
        <f>SUM('ETCA-II-13'!D40:D45)</f>
        <v>-130697</v>
      </c>
      <c r="D14" s="484">
        <f t="shared" si="0"/>
        <v>7693153</v>
      </c>
      <c r="E14" s="486">
        <f>SUM('ETCA-II-13'!F40:F45)</f>
        <v>4973550</v>
      </c>
      <c r="F14" s="486">
        <f>SUM('ETCA-II-13'!G40:G45)</f>
        <v>3686784</v>
      </c>
      <c r="G14" s="485">
        <f t="shared" si="1"/>
        <v>2719603</v>
      </c>
    </row>
    <row r="15" spans="1:7">
      <c r="A15" s="480" t="s">
        <v>575</v>
      </c>
      <c r="B15" s="486"/>
      <c r="C15" s="486"/>
      <c r="D15" s="484">
        <f t="shared" si="0"/>
        <v>0</v>
      </c>
      <c r="E15" s="486"/>
      <c r="F15" s="486"/>
      <c r="G15" s="485">
        <f t="shared" si="1"/>
        <v>0</v>
      </c>
    </row>
    <row r="16" spans="1:7">
      <c r="A16" s="480" t="s">
        <v>576</v>
      </c>
      <c r="B16" s="486">
        <f>SUM('ETCA-II-13'!C47)</f>
        <v>1011733</v>
      </c>
      <c r="C16" s="486">
        <f>SUM('ETCA-II-13'!D47)</f>
        <v>535823</v>
      </c>
      <c r="D16" s="484">
        <f t="shared" si="0"/>
        <v>1547556</v>
      </c>
      <c r="E16" s="486">
        <f>SUM('ETCA-II-13'!F47)</f>
        <v>1547556</v>
      </c>
      <c r="F16" s="486">
        <f>SUM('ETCA-II-13'!G47)</f>
        <v>1547556</v>
      </c>
      <c r="G16" s="485">
        <f t="shared" si="1"/>
        <v>0</v>
      </c>
    </row>
    <row r="17" spans="1:7">
      <c r="A17" s="1048" t="s">
        <v>223</v>
      </c>
      <c r="B17" s="1045">
        <f>SUM(B18:B26)</f>
        <v>2815132</v>
      </c>
      <c r="C17" s="1045">
        <f>SUM(C18:C26)</f>
        <v>-299067</v>
      </c>
      <c r="D17" s="1045">
        <f>B17+C17</f>
        <v>2516065</v>
      </c>
      <c r="E17" s="1045">
        <f>SUM(E18:E26)+2</f>
        <v>1287606</v>
      </c>
      <c r="F17" s="1045">
        <f>SUM(F18:F26)+2</f>
        <v>1287606</v>
      </c>
      <c r="G17" s="1046">
        <f t="shared" si="1"/>
        <v>1228459</v>
      </c>
    </row>
    <row r="18" spans="1:7" ht="25.5">
      <c r="A18" s="480" t="s">
        <v>577</v>
      </c>
      <c r="B18" s="486">
        <f>SUM('ETCA-II-13'!C51:C54)</f>
        <v>208492</v>
      </c>
      <c r="C18" s="486">
        <f>SUM('ETCA-II-13'!D51:D54)</f>
        <v>-5523</v>
      </c>
      <c r="D18" s="484">
        <f t="shared" si="0"/>
        <v>202969</v>
      </c>
      <c r="E18" s="486">
        <f>SUM('ETCA-II-13'!F51:F54)</f>
        <v>100877</v>
      </c>
      <c r="F18" s="486">
        <f>SUM('ETCA-II-13'!G51:G54)</f>
        <v>100877</v>
      </c>
      <c r="G18" s="485">
        <f t="shared" si="1"/>
        <v>102092</v>
      </c>
    </row>
    <row r="19" spans="1:7">
      <c r="A19" s="480" t="s">
        <v>578</v>
      </c>
      <c r="B19" s="486">
        <f>SUM('ETCA-II-13'!C56)</f>
        <v>680119</v>
      </c>
      <c r="C19" s="486">
        <f>SUM('ETCA-II-13'!D56)</f>
        <v>0</v>
      </c>
      <c r="D19" s="484">
        <f t="shared" si="0"/>
        <v>680119</v>
      </c>
      <c r="E19" s="486">
        <f>SUM('ETCA-II-13'!F56)</f>
        <v>148568</v>
      </c>
      <c r="F19" s="486">
        <f>SUM('ETCA-II-13'!G56)</f>
        <v>148568</v>
      </c>
      <c r="G19" s="485">
        <f t="shared" si="1"/>
        <v>531551</v>
      </c>
    </row>
    <row r="20" spans="1:7">
      <c r="A20" s="480" t="s">
        <v>579</v>
      </c>
      <c r="B20" s="486"/>
      <c r="C20" s="486"/>
      <c r="D20" s="484">
        <f t="shared" si="0"/>
        <v>0</v>
      </c>
      <c r="E20" s="486"/>
      <c r="F20" s="486"/>
      <c r="G20" s="485">
        <f t="shared" si="1"/>
        <v>0</v>
      </c>
    </row>
    <row r="21" spans="1:7">
      <c r="A21" s="480" t="s">
        <v>580</v>
      </c>
      <c r="B21" s="486">
        <f>SUM('ETCA-II-13'!C58:C59)</f>
        <v>211873</v>
      </c>
      <c r="C21" s="486">
        <f>SUM('ETCA-II-13'!D58:D59)</f>
        <v>275863</v>
      </c>
      <c r="D21" s="484">
        <f t="shared" si="0"/>
        <v>487736</v>
      </c>
      <c r="E21" s="486">
        <f>SUM('ETCA-II-13'!F58:F59)</f>
        <v>447007</v>
      </c>
      <c r="F21" s="486">
        <f>SUM('ETCA-II-13'!G58:G59)</f>
        <v>447007</v>
      </c>
      <c r="G21" s="485">
        <f t="shared" si="1"/>
        <v>40729</v>
      </c>
    </row>
    <row r="22" spans="1:7">
      <c r="A22" s="480" t="s">
        <v>581</v>
      </c>
      <c r="B22" s="486">
        <f>SUM('ETCA-II-13'!C61)</f>
        <v>575306</v>
      </c>
      <c r="C22" s="486">
        <f>SUM('ETCA-II-13'!D61)</f>
        <v>-575110</v>
      </c>
      <c r="D22" s="484">
        <f t="shared" si="0"/>
        <v>196</v>
      </c>
      <c r="E22" s="486">
        <f>SUM('ETCA-II-13'!F61)</f>
        <v>196</v>
      </c>
      <c r="F22" s="486">
        <f>SUM('ETCA-II-13'!G61)</f>
        <v>196</v>
      </c>
      <c r="G22" s="485">
        <f t="shared" si="1"/>
        <v>0</v>
      </c>
    </row>
    <row r="23" spans="1:7">
      <c r="A23" s="480" t="s">
        <v>582</v>
      </c>
      <c r="B23" s="486">
        <f>SUM('ETCA-II-13'!C63)</f>
        <v>826740</v>
      </c>
      <c r="C23" s="486">
        <f>SUM('ETCA-II-13'!D63)</f>
        <v>0</v>
      </c>
      <c r="D23" s="484">
        <f t="shared" si="0"/>
        <v>826740</v>
      </c>
      <c r="E23" s="486">
        <f>SUM('ETCA-II-13'!F63)</f>
        <v>499175</v>
      </c>
      <c r="F23" s="486">
        <f>SUM('ETCA-II-13'!G63)</f>
        <v>499175</v>
      </c>
      <c r="G23" s="485">
        <f t="shared" si="1"/>
        <v>327565</v>
      </c>
    </row>
    <row r="24" spans="1:7">
      <c r="A24" s="480" t="s">
        <v>583</v>
      </c>
      <c r="B24" s="486">
        <f>SUM('ETCA-II-13'!C65)</f>
        <v>40000</v>
      </c>
      <c r="C24" s="486">
        <f>SUM('ETCA-II-13'!D65)</f>
        <v>2448</v>
      </c>
      <c r="D24" s="484">
        <f t="shared" si="0"/>
        <v>42448</v>
      </c>
      <c r="E24" s="486">
        <f>SUM('ETCA-II-13'!F65)</f>
        <v>16061</v>
      </c>
      <c r="F24" s="486">
        <f>SUM('ETCA-II-13'!G65)</f>
        <v>16061</v>
      </c>
      <c r="G24" s="485">
        <f t="shared" si="1"/>
        <v>26387</v>
      </c>
    </row>
    <row r="25" spans="1:7">
      <c r="A25" s="480" t="s">
        <v>584</v>
      </c>
      <c r="B25" s="486"/>
      <c r="C25" s="486"/>
      <c r="D25" s="484">
        <f t="shared" si="0"/>
        <v>0</v>
      </c>
      <c r="E25" s="486"/>
      <c r="F25" s="486"/>
      <c r="G25" s="485">
        <f t="shared" si="1"/>
        <v>0</v>
      </c>
    </row>
    <row r="26" spans="1:7">
      <c r="A26" s="480" t="s">
        <v>585</v>
      </c>
      <c r="B26" s="486">
        <f>SUM('ETCA-II-13'!C67:C68)</f>
        <v>272602</v>
      </c>
      <c r="C26" s="486">
        <f>SUM('ETCA-II-13'!D67:D68)</f>
        <v>3255</v>
      </c>
      <c r="D26" s="484">
        <f t="shared" si="0"/>
        <v>275857</v>
      </c>
      <c r="E26" s="486">
        <f>SUM('ETCA-II-13'!F67:F68)</f>
        <v>75720</v>
      </c>
      <c r="F26" s="486">
        <f>SUM('ETCA-II-13'!G67:G68)</f>
        <v>75720</v>
      </c>
      <c r="G26" s="485">
        <f t="shared" si="1"/>
        <v>200137</v>
      </c>
    </row>
    <row r="27" spans="1:7">
      <c r="A27" s="1048" t="s">
        <v>224</v>
      </c>
      <c r="B27" s="1045">
        <f>SUM(B28:B36)</f>
        <v>30957767</v>
      </c>
      <c r="C27" s="1045">
        <f>SUM(C28:C36)</f>
        <v>-8471235</v>
      </c>
      <c r="D27" s="1045">
        <f>B27+C27</f>
        <v>22486532</v>
      </c>
      <c r="E27" s="1045">
        <f>SUM(E28:E36)-3</f>
        <v>15216646</v>
      </c>
      <c r="F27" s="1045">
        <f>SUM(F28:F36)-1</f>
        <v>12510094</v>
      </c>
      <c r="G27" s="1046">
        <f t="shared" si="1"/>
        <v>7269886</v>
      </c>
    </row>
    <row r="28" spans="1:7">
      <c r="A28" s="480" t="s">
        <v>586</v>
      </c>
      <c r="B28" s="486">
        <f>SUM('ETCA-II-13'!C72:C78)</f>
        <v>6509546</v>
      </c>
      <c r="C28" s="486">
        <f>SUM('ETCA-II-13'!D72:D78)</f>
        <v>-422553</v>
      </c>
      <c r="D28" s="484">
        <f t="shared" si="0"/>
        <v>6086993</v>
      </c>
      <c r="E28" s="486">
        <f>SUM('ETCA-II-13'!F72:F78)</f>
        <v>4110016</v>
      </c>
      <c r="F28" s="486">
        <f>SUM('ETCA-II-13'!G72:G78)</f>
        <v>3706307</v>
      </c>
      <c r="G28" s="485">
        <f t="shared" si="1"/>
        <v>1976977</v>
      </c>
    </row>
    <row r="29" spans="1:7">
      <c r="A29" s="480" t="s">
        <v>587</v>
      </c>
      <c r="B29" s="486">
        <f>SUM('ETCA-II-13'!C80:C84)</f>
        <v>484278</v>
      </c>
      <c r="C29" s="486">
        <f>SUM('ETCA-II-13'!D80:D84)</f>
        <v>-3609</v>
      </c>
      <c r="D29" s="484">
        <f t="shared" si="0"/>
        <v>480669</v>
      </c>
      <c r="E29" s="486">
        <f>SUM('ETCA-II-13'!F80:F84)</f>
        <v>249761</v>
      </c>
      <c r="F29" s="486">
        <f>SUM('ETCA-II-13'!G80:G84)</f>
        <v>243309</v>
      </c>
      <c r="G29" s="485">
        <f t="shared" si="1"/>
        <v>230908</v>
      </c>
    </row>
    <row r="30" spans="1:7">
      <c r="A30" s="480" t="s">
        <v>588</v>
      </c>
      <c r="B30" s="486">
        <f>SUM('ETCA-II-13'!C86:C90)</f>
        <v>6245017</v>
      </c>
      <c r="C30" s="486">
        <f>SUM('ETCA-II-13'!D86:D90)</f>
        <v>-293503</v>
      </c>
      <c r="D30" s="484">
        <f t="shared" si="0"/>
        <v>5951514</v>
      </c>
      <c r="E30" s="486">
        <f>SUM('ETCA-II-13'!F86:F90)</f>
        <v>5084279</v>
      </c>
      <c r="F30" s="486">
        <f>SUM('ETCA-II-13'!G86:G90)</f>
        <v>2959014</v>
      </c>
      <c r="G30" s="485">
        <f t="shared" si="1"/>
        <v>867235</v>
      </c>
    </row>
    <row r="31" spans="1:7">
      <c r="A31" s="480" t="s">
        <v>589</v>
      </c>
      <c r="B31" s="486">
        <f>SUM('ETCA-II-13'!C92:C96)</f>
        <v>10725672</v>
      </c>
      <c r="C31" s="486">
        <f>SUM('ETCA-II-13'!D92:D96)</f>
        <v>-7773658</v>
      </c>
      <c r="D31" s="484">
        <f t="shared" si="0"/>
        <v>2952014</v>
      </c>
      <c r="E31" s="486">
        <f>SUM('ETCA-II-13'!F92:F96)</f>
        <v>1657122</v>
      </c>
      <c r="F31" s="486">
        <f>SUM('ETCA-II-13'!G92:G96)</f>
        <v>1657122</v>
      </c>
      <c r="G31" s="485">
        <f t="shared" si="1"/>
        <v>1294892</v>
      </c>
    </row>
    <row r="32" spans="1:7" ht="25.5">
      <c r="A32" s="480" t="s">
        <v>590</v>
      </c>
      <c r="B32" s="486">
        <f>SUM('ETCA-II-13'!C98:C103)</f>
        <v>2272035</v>
      </c>
      <c r="C32" s="486">
        <f>SUM('ETCA-II-13'!D98:D103)</f>
        <v>-22503</v>
      </c>
      <c r="D32" s="484">
        <f t="shared" si="0"/>
        <v>2249532</v>
      </c>
      <c r="E32" s="486">
        <f>SUM('ETCA-II-13'!F98:F103)</f>
        <v>1157281</v>
      </c>
      <c r="F32" s="486">
        <f>SUM('ETCA-II-13'!G98:G103)</f>
        <v>1115789</v>
      </c>
      <c r="G32" s="485">
        <f t="shared" si="1"/>
        <v>1092251</v>
      </c>
    </row>
    <row r="33" spans="1:7">
      <c r="A33" s="480" t="s">
        <v>591</v>
      </c>
      <c r="B33" s="486">
        <f>SUM('ETCA-II-13'!C105:C107)</f>
        <v>453390</v>
      </c>
      <c r="C33" s="486">
        <f>SUM('ETCA-II-13'!D105:D107)</f>
        <v>103573</v>
      </c>
      <c r="D33" s="484">
        <f t="shared" si="0"/>
        <v>556963</v>
      </c>
      <c r="E33" s="486">
        <f>SUM('ETCA-II-13'!F105:F107)</f>
        <v>519861</v>
      </c>
      <c r="F33" s="486">
        <f>SUM('ETCA-II-13'!G105:G107)</f>
        <v>513861</v>
      </c>
      <c r="G33" s="485">
        <f t="shared" si="1"/>
        <v>37102</v>
      </c>
    </row>
    <row r="34" spans="1:7">
      <c r="A34" s="480" t="s">
        <v>592</v>
      </c>
      <c r="B34" s="486">
        <f>SUM('ETCA-II-13'!C109:C110)</f>
        <v>780841</v>
      </c>
      <c r="C34" s="486">
        <f>SUM('ETCA-II-13'!D109:D110)</f>
        <v>-28680</v>
      </c>
      <c r="D34" s="484">
        <f t="shared" si="0"/>
        <v>752161</v>
      </c>
      <c r="E34" s="486">
        <f>SUM('ETCA-II-13'!F109:F110)</f>
        <v>218251</v>
      </c>
      <c r="F34" s="486">
        <f>SUM('ETCA-II-13'!G109:G110)</f>
        <v>218251</v>
      </c>
      <c r="G34" s="485">
        <f t="shared" si="1"/>
        <v>533910</v>
      </c>
    </row>
    <row r="35" spans="1:7" ht="15.75" thickBot="1">
      <c r="A35" s="482" t="s">
        <v>593</v>
      </c>
      <c r="B35" s="487">
        <f>SUM('ETCA-II-13'!C112:C113)</f>
        <v>707427</v>
      </c>
      <c r="C35" s="487">
        <f>SUM('ETCA-II-13'!D112:D113)</f>
        <v>-30452</v>
      </c>
      <c r="D35" s="488">
        <f t="shared" si="0"/>
        <v>676975</v>
      </c>
      <c r="E35" s="487">
        <f>SUM('ETCA-II-13'!F112:F113)</f>
        <v>361578</v>
      </c>
      <c r="F35" s="487">
        <f>SUM('ETCA-II-13'!G112:G113)</f>
        <v>361578</v>
      </c>
      <c r="G35" s="489">
        <f t="shared" si="1"/>
        <v>315397</v>
      </c>
    </row>
    <row r="36" spans="1:7">
      <c r="A36" s="480" t="s">
        <v>594</v>
      </c>
      <c r="B36" s="486">
        <f>SUM('ETCA-II-13'!C115:C117)</f>
        <v>2779561</v>
      </c>
      <c r="C36" s="486">
        <f>SUM('ETCA-II-13'!D115:D117)</f>
        <v>150</v>
      </c>
      <c r="D36" s="484">
        <f t="shared" si="0"/>
        <v>2779711</v>
      </c>
      <c r="E36" s="486">
        <f>SUM('ETCA-II-13'!F115:F117)</f>
        <v>1858500</v>
      </c>
      <c r="F36" s="486">
        <f>SUM('ETCA-II-13'!G115:G117)</f>
        <v>1734864</v>
      </c>
      <c r="G36" s="485">
        <f t="shared" si="1"/>
        <v>921211</v>
      </c>
    </row>
    <row r="37" spans="1:7">
      <c r="A37" s="1048" t="s">
        <v>460</v>
      </c>
      <c r="B37" s="1045">
        <f>SUM(B38:B46)</f>
        <v>0</v>
      </c>
      <c r="C37" s="1045">
        <f>SUM(C38:C46)</f>
        <v>0</v>
      </c>
      <c r="D37" s="1045">
        <f>B37+C37</f>
        <v>0</v>
      </c>
      <c r="E37" s="1045">
        <f>SUM(E38:E46)</f>
        <v>0</v>
      </c>
      <c r="F37" s="1045">
        <f>SUM(F38:F46)</f>
        <v>0</v>
      </c>
      <c r="G37" s="1046">
        <f t="shared" si="1"/>
        <v>0</v>
      </c>
    </row>
    <row r="38" spans="1:7">
      <c r="A38" s="480" t="s">
        <v>225</v>
      </c>
      <c r="B38" s="486"/>
      <c r="C38" s="486"/>
      <c r="D38" s="484">
        <f t="shared" si="0"/>
        <v>0</v>
      </c>
      <c r="E38" s="486"/>
      <c r="F38" s="486"/>
      <c r="G38" s="485">
        <f t="shared" si="1"/>
        <v>0</v>
      </c>
    </row>
    <row r="39" spans="1:7">
      <c r="A39" s="480" t="s">
        <v>226</v>
      </c>
      <c r="B39" s="486"/>
      <c r="C39" s="486"/>
      <c r="D39" s="484">
        <f t="shared" si="0"/>
        <v>0</v>
      </c>
      <c r="E39" s="486"/>
      <c r="F39" s="486"/>
      <c r="G39" s="485">
        <f t="shared" si="1"/>
        <v>0</v>
      </c>
    </row>
    <row r="40" spans="1:7">
      <c r="A40" s="480" t="s">
        <v>227</v>
      </c>
      <c r="B40" s="486"/>
      <c r="C40" s="486"/>
      <c r="D40" s="484">
        <f t="shared" si="0"/>
        <v>0</v>
      </c>
      <c r="E40" s="486"/>
      <c r="F40" s="486"/>
      <c r="G40" s="485">
        <f t="shared" si="1"/>
        <v>0</v>
      </c>
    </row>
    <row r="41" spans="1:7">
      <c r="A41" s="480" t="s">
        <v>228</v>
      </c>
      <c r="B41" s="486"/>
      <c r="C41" s="486"/>
      <c r="D41" s="484">
        <f t="shared" si="0"/>
        <v>0</v>
      </c>
      <c r="E41" s="486"/>
      <c r="F41" s="486"/>
      <c r="G41" s="485">
        <f t="shared" si="1"/>
        <v>0</v>
      </c>
    </row>
    <row r="42" spans="1:7">
      <c r="A42" s="480" t="s">
        <v>229</v>
      </c>
      <c r="B42" s="486"/>
      <c r="C42" s="486"/>
      <c r="D42" s="484">
        <f t="shared" si="0"/>
        <v>0</v>
      </c>
      <c r="E42" s="486"/>
      <c r="F42" s="486"/>
      <c r="G42" s="485">
        <f t="shared" si="1"/>
        <v>0</v>
      </c>
    </row>
    <row r="43" spans="1:7">
      <c r="A43" s="480" t="s">
        <v>595</v>
      </c>
      <c r="B43" s="486"/>
      <c r="C43" s="486"/>
      <c r="D43" s="484">
        <f t="shared" si="0"/>
        <v>0</v>
      </c>
      <c r="E43" s="486"/>
      <c r="F43" s="486"/>
      <c r="G43" s="485">
        <f t="shared" si="1"/>
        <v>0</v>
      </c>
    </row>
    <row r="44" spans="1:7">
      <c r="A44" s="480" t="s">
        <v>231</v>
      </c>
      <c r="B44" s="486"/>
      <c r="C44" s="486"/>
      <c r="D44" s="484">
        <f t="shared" si="0"/>
        <v>0</v>
      </c>
      <c r="E44" s="486"/>
      <c r="F44" s="486"/>
      <c r="G44" s="485">
        <f t="shared" si="1"/>
        <v>0</v>
      </c>
    </row>
    <row r="45" spans="1:7">
      <c r="A45" s="480" t="s">
        <v>232</v>
      </c>
      <c r="B45" s="486"/>
      <c r="C45" s="486"/>
      <c r="D45" s="484">
        <f t="shared" si="0"/>
        <v>0</v>
      </c>
      <c r="E45" s="486"/>
      <c r="F45" s="486"/>
      <c r="G45" s="485">
        <f t="shared" si="1"/>
        <v>0</v>
      </c>
    </row>
    <row r="46" spans="1:7">
      <c r="A46" s="480" t="s">
        <v>233</v>
      </c>
      <c r="B46" s="486"/>
      <c r="C46" s="486"/>
      <c r="D46" s="484">
        <f t="shared" si="0"/>
        <v>0</v>
      </c>
      <c r="E46" s="486"/>
      <c r="F46" s="486"/>
      <c r="G46" s="485">
        <f t="shared" si="1"/>
        <v>0</v>
      </c>
    </row>
    <row r="47" spans="1:7">
      <c r="A47" s="1048" t="s">
        <v>596</v>
      </c>
      <c r="B47" s="1045">
        <f>SUM(B48:B56)</f>
        <v>0</v>
      </c>
      <c r="C47" s="1045">
        <f>SUM(C48:C56)-1</f>
        <v>477863</v>
      </c>
      <c r="D47" s="1045">
        <f>B47+C47</f>
        <v>477863</v>
      </c>
      <c r="E47" s="1045">
        <f>SUM(E48:E56)-1</f>
        <v>477863</v>
      </c>
      <c r="F47" s="1045">
        <f>SUM(F48:F56)-1</f>
        <v>477863</v>
      </c>
      <c r="G47" s="1046">
        <f t="shared" si="1"/>
        <v>0</v>
      </c>
    </row>
    <row r="48" spans="1:7">
      <c r="A48" s="480" t="s">
        <v>597</v>
      </c>
      <c r="B48" s="486">
        <f>SUM('ETCA-II-13'!C120)</f>
        <v>0</v>
      </c>
      <c r="C48" s="486">
        <f>SUM('ETCA-II-13'!D120)</f>
        <v>210209</v>
      </c>
      <c r="D48" s="484">
        <f t="shared" si="0"/>
        <v>210209</v>
      </c>
      <c r="E48" s="486">
        <f>SUM('ETCA-II-13'!F120)</f>
        <v>210209</v>
      </c>
      <c r="F48" s="486">
        <f>SUM('ETCA-II-13'!G120)</f>
        <v>210209</v>
      </c>
      <c r="G48" s="485">
        <f>D48-E48</f>
        <v>0</v>
      </c>
    </row>
    <row r="49" spans="1:7">
      <c r="A49" s="480" t="s">
        <v>598</v>
      </c>
      <c r="B49" s="486">
        <f>SUM('ETCA-II-13'!C121:C122)</f>
        <v>0</v>
      </c>
      <c r="C49" s="486">
        <f>SUM('ETCA-II-13'!D121:D122)</f>
        <v>69873</v>
      </c>
      <c r="D49" s="484">
        <f t="shared" si="0"/>
        <v>69873</v>
      </c>
      <c r="E49" s="486">
        <f>SUM('ETCA-II-13'!F121:F122)</f>
        <v>69873</v>
      </c>
      <c r="F49" s="486">
        <f>SUM('ETCA-II-13'!G121:G122)</f>
        <v>69873</v>
      </c>
      <c r="G49" s="485">
        <f t="shared" si="1"/>
        <v>0</v>
      </c>
    </row>
    <row r="50" spans="1:7">
      <c r="A50" s="480" t="s">
        <v>599</v>
      </c>
      <c r="B50" s="486"/>
      <c r="C50" s="486"/>
      <c r="D50" s="484">
        <f t="shared" si="0"/>
        <v>0</v>
      </c>
      <c r="E50" s="486"/>
      <c r="F50" s="486"/>
      <c r="G50" s="485">
        <f t="shared" si="1"/>
        <v>0</v>
      </c>
    </row>
    <row r="51" spans="1:7">
      <c r="A51" s="480" t="s">
        <v>600</v>
      </c>
      <c r="B51" s="486"/>
      <c r="C51" s="486"/>
      <c r="D51" s="484">
        <f t="shared" si="0"/>
        <v>0</v>
      </c>
      <c r="E51" s="486"/>
      <c r="F51" s="486"/>
      <c r="G51" s="485">
        <f t="shared" si="1"/>
        <v>0</v>
      </c>
    </row>
    <row r="52" spans="1:7">
      <c r="A52" s="480" t="s">
        <v>601</v>
      </c>
      <c r="B52" s="486"/>
      <c r="C52" s="486"/>
      <c r="D52" s="484">
        <f t="shared" si="0"/>
        <v>0</v>
      </c>
      <c r="E52" s="486"/>
      <c r="F52" s="486"/>
      <c r="G52" s="485">
        <f t="shared" si="1"/>
        <v>0</v>
      </c>
    </row>
    <row r="53" spans="1:7">
      <c r="A53" s="480" t="s">
        <v>602</v>
      </c>
      <c r="B53" s="486">
        <f>SUM('ETCA-II-13'!C123:C125)</f>
        <v>0</v>
      </c>
      <c r="C53" s="486">
        <f>SUM('ETCA-II-13'!D123:D125)</f>
        <v>197782</v>
      </c>
      <c r="D53" s="484">
        <f t="shared" si="0"/>
        <v>197782</v>
      </c>
      <c r="E53" s="486">
        <f>SUM('ETCA-II-13'!F123:F125)</f>
        <v>197782</v>
      </c>
      <c r="F53" s="486">
        <f>SUM('ETCA-II-13'!G123:G125)</f>
        <v>197782</v>
      </c>
      <c r="G53" s="485">
        <f t="shared" si="1"/>
        <v>0</v>
      </c>
    </row>
    <row r="54" spans="1:7">
      <c r="A54" s="480" t="s">
        <v>603</v>
      </c>
      <c r="B54" s="486"/>
      <c r="C54" s="486"/>
      <c r="D54" s="484">
        <f t="shared" si="0"/>
        <v>0</v>
      </c>
      <c r="E54" s="486"/>
      <c r="F54" s="486"/>
      <c r="G54" s="485">
        <f t="shared" si="1"/>
        <v>0</v>
      </c>
    </row>
    <row r="55" spans="1:7">
      <c r="A55" s="480" t="s">
        <v>604</v>
      </c>
      <c r="B55" s="486"/>
      <c r="C55" s="486"/>
      <c r="D55" s="484">
        <f t="shared" si="0"/>
        <v>0</v>
      </c>
      <c r="E55" s="486"/>
      <c r="F55" s="486"/>
      <c r="G55" s="485">
        <f t="shared" si="1"/>
        <v>0</v>
      </c>
    </row>
    <row r="56" spans="1:7">
      <c r="A56" s="480" t="s">
        <v>57</v>
      </c>
      <c r="B56" s="486"/>
      <c r="C56" s="486"/>
      <c r="D56" s="484">
        <f t="shared" si="0"/>
        <v>0</v>
      </c>
      <c r="E56" s="486"/>
      <c r="F56" s="486"/>
      <c r="G56" s="485">
        <f t="shared" si="1"/>
        <v>0</v>
      </c>
    </row>
    <row r="57" spans="1:7">
      <c r="A57" s="481" t="s">
        <v>250</v>
      </c>
      <c r="B57" s="484">
        <f>SUM(B58:B60)</f>
        <v>0</v>
      </c>
      <c r="C57" s="484">
        <f>SUM(C58:C60)</f>
        <v>0</v>
      </c>
      <c r="D57" s="484">
        <f>B57+C57</f>
        <v>0</v>
      </c>
      <c r="E57" s="484">
        <f>SUM(E58:E60)</f>
        <v>0</v>
      </c>
      <c r="F57" s="484">
        <f>SUM(F58:F60)</f>
        <v>0</v>
      </c>
      <c r="G57" s="485">
        <f t="shared" si="1"/>
        <v>0</v>
      </c>
    </row>
    <row r="58" spans="1:7">
      <c r="A58" s="480" t="s">
        <v>605</v>
      </c>
      <c r="B58" s="486"/>
      <c r="C58" s="486"/>
      <c r="D58" s="484">
        <f t="shared" si="0"/>
        <v>0</v>
      </c>
      <c r="E58" s="486"/>
      <c r="F58" s="486"/>
      <c r="G58" s="485">
        <f t="shared" si="1"/>
        <v>0</v>
      </c>
    </row>
    <row r="59" spans="1:7">
      <c r="A59" s="480" t="s">
        <v>606</v>
      </c>
      <c r="B59" s="486"/>
      <c r="C59" s="486"/>
      <c r="D59" s="484">
        <f t="shared" si="0"/>
        <v>0</v>
      </c>
      <c r="E59" s="486"/>
      <c r="F59" s="486"/>
      <c r="G59" s="485">
        <f t="shared" si="1"/>
        <v>0</v>
      </c>
    </row>
    <row r="60" spans="1:7">
      <c r="A60" s="480" t="s">
        <v>607</v>
      </c>
      <c r="B60" s="486"/>
      <c r="C60" s="486"/>
      <c r="D60" s="484">
        <f t="shared" si="0"/>
        <v>0</v>
      </c>
      <c r="E60" s="486"/>
      <c r="F60" s="486"/>
      <c r="G60" s="485">
        <f t="shared" si="1"/>
        <v>0</v>
      </c>
    </row>
    <row r="61" spans="1:7">
      <c r="A61" s="481" t="s">
        <v>608</v>
      </c>
      <c r="B61" s="484">
        <f>SUM(B62:B68)</f>
        <v>0</v>
      </c>
      <c r="C61" s="484">
        <f>SUM(C62:C68)</f>
        <v>0</v>
      </c>
      <c r="D61" s="484">
        <f>B61+C61</f>
        <v>0</v>
      </c>
      <c r="E61" s="484">
        <f>SUM(E62:E68)</f>
        <v>0</v>
      </c>
      <c r="F61" s="484">
        <f>SUM(F62:F68)</f>
        <v>0</v>
      </c>
      <c r="G61" s="485">
        <f t="shared" si="1"/>
        <v>0</v>
      </c>
    </row>
    <row r="62" spans="1:7">
      <c r="A62" s="480" t="s">
        <v>609</v>
      </c>
      <c r="B62" s="486"/>
      <c r="C62" s="486"/>
      <c r="D62" s="484">
        <f t="shared" si="0"/>
        <v>0</v>
      </c>
      <c r="E62" s="486"/>
      <c r="F62" s="486"/>
      <c r="G62" s="485">
        <f t="shared" si="1"/>
        <v>0</v>
      </c>
    </row>
    <row r="63" spans="1:7" ht="15.75" thickBot="1">
      <c r="A63" s="482" t="s">
        <v>610</v>
      </c>
      <c r="B63" s="487"/>
      <c r="C63" s="487"/>
      <c r="D63" s="488">
        <f t="shared" si="0"/>
        <v>0</v>
      </c>
      <c r="E63" s="487"/>
      <c r="F63" s="487"/>
      <c r="G63" s="489">
        <f t="shared" si="1"/>
        <v>0</v>
      </c>
    </row>
    <row r="64" spans="1:7">
      <c r="A64" s="480" t="s">
        <v>611</v>
      </c>
      <c r="B64" s="486"/>
      <c r="C64" s="486"/>
      <c r="D64" s="484">
        <f t="shared" si="0"/>
        <v>0</v>
      </c>
      <c r="E64" s="486"/>
      <c r="F64" s="486"/>
      <c r="G64" s="485">
        <f t="shared" si="1"/>
        <v>0</v>
      </c>
    </row>
    <row r="65" spans="1:7">
      <c r="A65" s="480" t="s">
        <v>612</v>
      </c>
      <c r="B65" s="486"/>
      <c r="C65" s="486"/>
      <c r="D65" s="484">
        <f t="shared" si="0"/>
        <v>0</v>
      </c>
      <c r="E65" s="486"/>
      <c r="F65" s="486"/>
      <c r="G65" s="485">
        <f t="shared" si="1"/>
        <v>0</v>
      </c>
    </row>
    <row r="66" spans="1:7">
      <c r="A66" s="480" t="s">
        <v>613</v>
      </c>
      <c r="B66" s="486"/>
      <c r="C66" s="486"/>
      <c r="D66" s="484">
        <f t="shared" si="0"/>
        <v>0</v>
      </c>
      <c r="E66" s="486"/>
      <c r="F66" s="486"/>
      <c r="G66" s="485">
        <f t="shared" si="1"/>
        <v>0</v>
      </c>
    </row>
    <row r="67" spans="1:7">
      <c r="A67" s="480" t="s">
        <v>614</v>
      </c>
      <c r="B67" s="486"/>
      <c r="C67" s="486"/>
      <c r="D67" s="484">
        <f t="shared" si="0"/>
        <v>0</v>
      </c>
      <c r="E67" s="486"/>
      <c r="F67" s="486"/>
      <c r="G67" s="485">
        <f t="shared" si="1"/>
        <v>0</v>
      </c>
    </row>
    <row r="68" spans="1:7">
      <c r="A68" s="480" t="s">
        <v>615</v>
      </c>
      <c r="B68" s="486"/>
      <c r="C68" s="486"/>
      <c r="D68" s="484">
        <f t="shared" si="0"/>
        <v>0</v>
      </c>
      <c r="E68" s="486"/>
      <c r="F68" s="486"/>
      <c r="G68" s="485">
        <f t="shared" si="1"/>
        <v>0</v>
      </c>
    </row>
    <row r="69" spans="1:7">
      <c r="A69" s="481" t="s">
        <v>211</v>
      </c>
      <c r="B69" s="484">
        <f>SUM(B70:B72)</f>
        <v>0</v>
      </c>
      <c r="C69" s="484">
        <f>SUM(C70:C72)</f>
        <v>0</v>
      </c>
      <c r="D69" s="484">
        <f>B69+C69</f>
        <v>0</v>
      </c>
      <c r="E69" s="484">
        <f>SUM(E70:E72)</f>
        <v>0</v>
      </c>
      <c r="F69" s="484">
        <f>SUM(F70:F72)</f>
        <v>0</v>
      </c>
      <c r="G69" s="485">
        <f t="shared" si="1"/>
        <v>0</v>
      </c>
    </row>
    <row r="70" spans="1:7">
      <c r="A70" s="480" t="s">
        <v>235</v>
      </c>
      <c r="B70" s="486"/>
      <c r="C70" s="486"/>
      <c r="D70" s="484">
        <f t="shared" si="0"/>
        <v>0</v>
      </c>
      <c r="E70" s="486"/>
      <c r="F70" s="486"/>
      <c r="G70" s="485">
        <f t="shared" si="1"/>
        <v>0</v>
      </c>
    </row>
    <row r="71" spans="1:7">
      <c r="A71" s="480" t="s">
        <v>70</v>
      </c>
      <c r="B71" s="486"/>
      <c r="C71" s="486"/>
      <c r="D71" s="484">
        <f t="shared" si="0"/>
        <v>0</v>
      </c>
      <c r="E71" s="486"/>
      <c r="F71" s="486"/>
      <c r="G71" s="485">
        <f t="shared" si="1"/>
        <v>0</v>
      </c>
    </row>
    <row r="72" spans="1:7">
      <c r="A72" s="480" t="s">
        <v>236</v>
      </c>
      <c r="B72" s="486"/>
      <c r="C72" s="486"/>
      <c r="D72" s="484">
        <f t="shared" si="0"/>
        <v>0</v>
      </c>
      <c r="E72" s="486"/>
      <c r="F72" s="486"/>
      <c r="G72" s="485">
        <f t="shared" si="1"/>
        <v>0</v>
      </c>
    </row>
    <row r="73" spans="1:7">
      <c r="A73" s="1048" t="s">
        <v>616</v>
      </c>
      <c r="B73" s="1045">
        <f>SUM(B74:B80)</f>
        <v>0</v>
      </c>
      <c r="C73" s="1045">
        <f>SUM(C74:C80)</f>
        <v>17771984</v>
      </c>
      <c r="D73" s="1045">
        <f>B73+C73</f>
        <v>17771984</v>
      </c>
      <c r="E73" s="1045">
        <f>SUM(E74:E80)</f>
        <v>12333682</v>
      </c>
      <c r="F73" s="1045">
        <f>SUM(F74:F80)</f>
        <v>12333682</v>
      </c>
      <c r="G73" s="1046">
        <f t="shared" si="1"/>
        <v>5438302</v>
      </c>
    </row>
    <row r="74" spans="1:7">
      <c r="A74" s="480" t="s">
        <v>617</v>
      </c>
      <c r="B74" s="486">
        <f>+'ETCA-II-13'!C128</f>
        <v>0</v>
      </c>
      <c r="C74" s="486">
        <f>+'ETCA-II-13'!D128</f>
        <v>9999984</v>
      </c>
      <c r="D74" s="484">
        <f t="shared" ref="D74:D80" si="2">B74+C74</f>
        <v>9999984</v>
      </c>
      <c r="E74" s="486">
        <f>+'ETCA-II-13'!F128</f>
        <v>7499988</v>
      </c>
      <c r="F74" s="486">
        <f>+'ETCA-II-13'!G128</f>
        <v>7499988</v>
      </c>
      <c r="G74" s="485">
        <f t="shared" ref="G74:G80" si="3">D74-E74</f>
        <v>2499996</v>
      </c>
    </row>
    <row r="75" spans="1:7">
      <c r="A75" s="480" t="s">
        <v>238</v>
      </c>
      <c r="B75" s="486">
        <f>+'ETCA-II-13'!C129</f>
        <v>0</v>
      </c>
      <c r="C75" s="486">
        <f>+'ETCA-II-13'!D129</f>
        <v>7772000</v>
      </c>
      <c r="D75" s="484">
        <f t="shared" si="2"/>
        <v>7772000</v>
      </c>
      <c r="E75" s="486">
        <f>+'ETCA-II-13'!F129</f>
        <v>4833694</v>
      </c>
      <c r="F75" s="486">
        <f>+'ETCA-II-13'!G129</f>
        <v>4833694</v>
      </c>
      <c r="G75" s="485">
        <f t="shared" si="3"/>
        <v>2938306</v>
      </c>
    </row>
    <row r="76" spans="1:7">
      <c r="A76" s="480" t="s">
        <v>239</v>
      </c>
      <c r="B76" s="486"/>
      <c r="C76" s="486"/>
      <c r="D76" s="484">
        <f t="shared" si="2"/>
        <v>0</v>
      </c>
      <c r="E76" s="486"/>
      <c r="F76" s="486"/>
      <c r="G76" s="485">
        <f t="shared" si="3"/>
        <v>0</v>
      </c>
    </row>
    <row r="77" spans="1:7">
      <c r="A77" s="480" t="s">
        <v>240</v>
      </c>
      <c r="B77" s="486"/>
      <c r="C77" s="486"/>
      <c r="D77" s="484">
        <f t="shared" si="2"/>
        <v>0</v>
      </c>
      <c r="E77" s="486"/>
      <c r="F77" s="486"/>
      <c r="G77" s="485">
        <f t="shared" si="3"/>
        <v>0</v>
      </c>
    </row>
    <row r="78" spans="1:7">
      <c r="A78" s="480" t="s">
        <v>241</v>
      </c>
      <c r="B78" s="486"/>
      <c r="C78" s="486"/>
      <c r="D78" s="484">
        <f t="shared" si="2"/>
        <v>0</v>
      </c>
      <c r="E78" s="486"/>
      <c r="F78" s="486"/>
      <c r="G78" s="485">
        <f t="shared" si="3"/>
        <v>0</v>
      </c>
    </row>
    <row r="79" spans="1:7">
      <c r="A79" s="480" t="s">
        <v>242</v>
      </c>
      <c r="B79" s="486"/>
      <c r="C79" s="486"/>
      <c r="D79" s="484">
        <f t="shared" si="2"/>
        <v>0</v>
      </c>
      <c r="E79" s="486"/>
      <c r="F79" s="486"/>
      <c r="G79" s="485">
        <f t="shared" si="3"/>
        <v>0</v>
      </c>
    </row>
    <row r="80" spans="1:7" ht="15.75" thickBot="1">
      <c r="A80" s="482" t="s">
        <v>618</v>
      </c>
      <c r="B80" s="487"/>
      <c r="C80" s="487"/>
      <c r="D80" s="488">
        <f t="shared" si="2"/>
        <v>0</v>
      </c>
      <c r="E80" s="487"/>
      <c r="F80" s="487"/>
      <c r="G80" s="489">
        <f t="shared" si="3"/>
        <v>0</v>
      </c>
    </row>
    <row r="81" spans="1:7" ht="15.75" thickBot="1">
      <c r="A81" s="483" t="s">
        <v>619</v>
      </c>
      <c r="B81" s="457">
        <f>B73+B69+B61+B57+B47+B37+B27+B17+B9-3</f>
        <v>115136460</v>
      </c>
      <c r="C81" s="457">
        <f>C73+C69+C61+C57+C47+C37+C27+C17+C9+2</f>
        <v>56707</v>
      </c>
      <c r="D81" s="457">
        <f>B81+C81</f>
        <v>115193167</v>
      </c>
      <c r="E81" s="457">
        <f>E73+E69+E61+E57+E47+E37+E27+E17+E9</f>
        <v>82444019</v>
      </c>
      <c r="F81" s="457">
        <f>F73+F69+F61+F57+F47+F37+F27+F17+F9</f>
        <v>73560558</v>
      </c>
      <c r="G81" s="490">
        <f>D81-E81+1</f>
        <v>32749149</v>
      </c>
    </row>
    <row r="82" spans="1:7">
      <c r="A82" s="598"/>
      <c r="B82" s="599"/>
      <c r="C82" s="599"/>
      <c r="D82" s="599"/>
      <c r="E82" s="599"/>
      <c r="F82" s="599"/>
      <c r="G82" s="599"/>
    </row>
    <row r="83" spans="1:7">
      <c r="A83" s="598"/>
      <c r="B83" s="599"/>
      <c r="C83" s="599"/>
      <c r="D83" s="599"/>
      <c r="E83" s="599"/>
      <c r="F83" s="599"/>
      <c r="G83" s="599"/>
    </row>
    <row r="84" spans="1:7">
      <c r="A84" s="598"/>
      <c r="B84" s="599"/>
      <c r="C84" s="599"/>
      <c r="D84" s="599"/>
      <c r="E84" s="599"/>
      <c r="F84" s="599"/>
      <c r="G84" s="599"/>
    </row>
    <row r="85" spans="1:7">
      <c r="A85" s="598"/>
      <c r="B85" s="599"/>
      <c r="C85" s="599"/>
      <c r="D85" s="599"/>
      <c r="E85" s="599"/>
      <c r="F85" s="599"/>
      <c r="G85" s="599"/>
    </row>
    <row r="86" spans="1:7">
      <c r="A86" s="598"/>
      <c r="B86" s="599"/>
      <c r="C86" s="599"/>
      <c r="D86" s="599"/>
      <c r="E86" s="599"/>
      <c r="F86" s="599"/>
      <c r="G86" s="599"/>
    </row>
    <row r="87" spans="1:7">
      <c r="A87" s="598"/>
      <c r="B87" s="599"/>
      <c r="C87" s="599"/>
      <c r="D87" s="599"/>
      <c r="E87" s="599"/>
      <c r="F87" s="599"/>
      <c r="G87" s="599"/>
    </row>
    <row r="88" spans="1:7" ht="16.5">
      <c r="A88" s="124"/>
      <c r="B88" s="124"/>
      <c r="C88" s="124"/>
      <c r="D88" s="124"/>
      <c r="E88" s="124"/>
      <c r="F88" s="124"/>
      <c r="G88" s="124"/>
    </row>
    <row r="89" spans="1:7" ht="16.5">
      <c r="A89" s="124"/>
      <c r="B89" s="124"/>
      <c r="C89" s="124"/>
      <c r="D89" s="124"/>
      <c r="E89" s="124"/>
      <c r="F89" s="124"/>
      <c r="G89" s="124"/>
    </row>
    <row r="90" spans="1:7" ht="16.5">
      <c r="A90" s="124"/>
      <c r="B90" s="124"/>
      <c r="C90" s="124"/>
      <c r="D90" s="124"/>
      <c r="E90" s="124"/>
      <c r="F90" s="124"/>
      <c r="G90" s="124"/>
    </row>
    <row r="91" spans="1:7" ht="16.5">
      <c r="A91" s="124"/>
      <c r="B91" s="124"/>
      <c r="C91" s="124"/>
      <c r="D91" s="124"/>
      <c r="E91" s="124"/>
      <c r="F91" s="124"/>
      <c r="G91" s="124"/>
    </row>
  </sheetData>
  <sheetProtection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topLeftCell="A152" zoomScaleSheetLayoutView="100" workbookViewId="0">
      <selection activeCell="H160" sqref="H160"/>
    </sheetView>
  </sheetViews>
  <sheetFormatPr baseColWidth="10" defaultRowHeight="15"/>
  <cols>
    <col min="1" max="1" width="6.140625" customWidth="1"/>
    <col min="2" max="2" width="44.85546875" customWidth="1"/>
    <col min="3" max="3" width="13.28515625" customWidth="1"/>
    <col min="5" max="5" width="12.42578125" customWidth="1"/>
    <col min="6" max="6" width="12.140625" customWidth="1"/>
    <col min="7" max="7" width="12.42578125" customWidth="1"/>
    <col min="8" max="8" width="12.5703125" customWidth="1"/>
  </cols>
  <sheetData>
    <row r="1" spans="1:8" ht="15.75">
      <c r="A1" s="1335" t="s">
        <v>23</v>
      </c>
      <c r="B1" s="1336"/>
      <c r="C1" s="1336"/>
      <c r="D1" s="1336"/>
      <c r="E1" s="1336"/>
      <c r="F1" s="1336"/>
      <c r="G1" s="1336"/>
      <c r="H1" s="1337"/>
    </row>
    <row r="2" spans="1:8" ht="15.75">
      <c r="A2" s="1338" t="str">
        <f>'ETCA-I-01'!A3:G3</f>
        <v>TELEVISORA DE HERMOSILLO, S.A. DE C.V.</v>
      </c>
      <c r="B2" s="1339"/>
      <c r="C2" s="1339"/>
      <c r="D2" s="1339"/>
      <c r="E2" s="1339"/>
      <c r="F2" s="1339"/>
      <c r="G2" s="1339"/>
      <c r="H2" s="1340"/>
    </row>
    <row r="3" spans="1:8">
      <c r="A3" s="1341" t="s">
        <v>620</v>
      </c>
      <c r="B3" s="1342"/>
      <c r="C3" s="1342"/>
      <c r="D3" s="1342"/>
      <c r="E3" s="1342"/>
      <c r="F3" s="1342"/>
      <c r="G3" s="1342"/>
      <c r="H3" s="1343"/>
    </row>
    <row r="4" spans="1:8">
      <c r="A4" s="1341" t="s">
        <v>621</v>
      </c>
      <c r="B4" s="1342"/>
      <c r="C4" s="1342"/>
      <c r="D4" s="1342"/>
      <c r="E4" s="1342"/>
      <c r="F4" s="1342"/>
      <c r="G4" s="1342"/>
      <c r="H4" s="1343"/>
    </row>
    <row r="5" spans="1:8">
      <c r="A5" s="1341" t="str">
        <f>'ETCA-II-02'!A4:I4</f>
        <v>Del 01 de Enero al 30 de Septiembre de 2018</v>
      </c>
      <c r="B5" s="1342"/>
      <c r="C5" s="1342"/>
      <c r="D5" s="1342"/>
      <c r="E5" s="1342"/>
      <c r="F5" s="1342"/>
      <c r="G5" s="1342"/>
      <c r="H5" s="1343"/>
    </row>
    <row r="6" spans="1:8" ht="15.75" thickBot="1">
      <c r="A6" s="1332" t="s">
        <v>87</v>
      </c>
      <c r="B6" s="1333"/>
      <c r="C6" s="1333"/>
      <c r="D6" s="1333"/>
      <c r="E6" s="1333"/>
      <c r="F6" s="1333"/>
      <c r="G6" s="1333"/>
      <c r="H6" s="1334"/>
    </row>
    <row r="7" spans="1:8" ht="15.75" thickBot="1">
      <c r="A7" s="1344" t="s">
        <v>88</v>
      </c>
      <c r="B7" s="1345"/>
      <c r="C7" s="1347" t="s">
        <v>622</v>
      </c>
      <c r="D7" s="1348"/>
      <c r="E7" s="1348"/>
      <c r="F7" s="1348"/>
      <c r="G7" s="1349"/>
      <c r="H7" s="1350" t="s">
        <v>623</v>
      </c>
    </row>
    <row r="8" spans="1:8" ht="36.75" thickBot="1">
      <c r="A8" s="1332"/>
      <c r="B8" s="1346"/>
      <c r="C8" s="846" t="s">
        <v>624</v>
      </c>
      <c r="D8" s="717" t="s">
        <v>625</v>
      </c>
      <c r="E8" s="846" t="s">
        <v>626</v>
      </c>
      <c r="F8" s="846" t="s">
        <v>475</v>
      </c>
      <c r="G8" s="846" t="s">
        <v>627</v>
      </c>
      <c r="H8" s="1351"/>
    </row>
    <row r="9" spans="1:8">
      <c r="A9" s="847"/>
      <c r="B9" s="767"/>
      <c r="C9" s="767"/>
      <c r="D9" s="768"/>
      <c r="E9" s="767"/>
      <c r="F9" s="767"/>
      <c r="G9" s="767"/>
      <c r="H9" s="769"/>
    </row>
    <row r="10" spans="1:8">
      <c r="A10" s="1328" t="s">
        <v>628</v>
      </c>
      <c r="B10" s="1329"/>
      <c r="C10" s="711">
        <f>+C11+C19+C29+C39+C49+C59+C63+C72+C76-3</f>
        <v>115136460</v>
      </c>
      <c r="D10" s="711">
        <f>+D11+D19+D29+D39+D49+D59+D63+D72+D76+2</f>
        <v>56707</v>
      </c>
      <c r="E10" s="711">
        <f>+E11+E19+E29+E39+E49+E59+E63+E72+E76-1</f>
        <v>115193167</v>
      </c>
      <c r="F10" s="711">
        <f>+F11+F19+F29+F39+F49+F59+F63+F72+F76</f>
        <v>82444019</v>
      </c>
      <c r="G10" s="711">
        <f t="shared" ref="G10" si="0">+G11+G19+G29+G39+G49+G59+G63+G72+G76</f>
        <v>73560558</v>
      </c>
      <c r="H10" s="711">
        <f>+H11+H19+H29+H39+H49+H59+H63+H72+H76</f>
        <v>32749149</v>
      </c>
    </row>
    <row r="11" spans="1:8">
      <c r="A11" s="1328" t="s">
        <v>629</v>
      </c>
      <c r="B11" s="1329"/>
      <c r="C11" s="711">
        <f t="shared" ref="C11" si="1">SUM(C12:C18)</f>
        <v>81363564</v>
      </c>
      <c r="D11" s="711">
        <f>SUM(D12:D18)+1</f>
        <v>-9422840</v>
      </c>
      <c r="E11" s="716">
        <f>SUM(E12:E18)+1</f>
        <v>71940724</v>
      </c>
      <c r="F11" s="711">
        <f>SUM(F12:F18)</f>
        <v>53128222</v>
      </c>
      <c r="G11" s="711">
        <f>SUM(G12:G18)</f>
        <v>46951313</v>
      </c>
      <c r="H11" s="711">
        <f>SUM(H12:H18)+1</f>
        <v>18812502</v>
      </c>
    </row>
    <row r="12" spans="1:8">
      <c r="A12" s="845"/>
      <c r="B12" s="750" t="s">
        <v>630</v>
      </c>
      <c r="C12" s="714">
        <f>+'ETCA II-04'!B10</f>
        <v>49354557</v>
      </c>
      <c r="D12" s="714">
        <f>+'ETCA II-04'!C10</f>
        <v>-7217745</v>
      </c>
      <c r="E12" s="715">
        <f>C12+D12</f>
        <v>42136812</v>
      </c>
      <c r="F12" s="714">
        <f>+'ETCA II-04'!E10</f>
        <v>32271925</v>
      </c>
      <c r="G12" s="714">
        <f>+'ETCA II-04'!F10</f>
        <v>32271925</v>
      </c>
      <c r="H12" s="713">
        <f t="shared" ref="H12:H18" si="2">+E12-F12</f>
        <v>9864887</v>
      </c>
    </row>
    <row r="13" spans="1:8">
      <c r="A13" s="845"/>
      <c r="B13" s="750" t="s">
        <v>631</v>
      </c>
      <c r="C13" s="714">
        <f>+'ETCA II-04'!B11</f>
        <v>1332268</v>
      </c>
      <c r="D13" s="714">
        <f>+'ETCA II-04'!C11</f>
        <v>-109958</v>
      </c>
      <c r="E13" s="715">
        <f t="shared" ref="E13:E77" si="3">C13+D13</f>
        <v>1222310</v>
      </c>
      <c r="F13" s="714">
        <f>+'ETCA II-04'!E11</f>
        <v>477108</v>
      </c>
      <c r="G13" s="714">
        <f>+'ETCA II-04'!F11</f>
        <v>477108</v>
      </c>
      <c r="H13" s="713">
        <f t="shared" si="2"/>
        <v>745202</v>
      </c>
    </row>
    <row r="14" spans="1:8">
      <c r="A14" s="845"/>
      <c r="B14" s="750" t="s">
        <v>632</v>
      </c>
      <c r="C14" s="714">
        <f>+'ETCA II-04'!B12</f>
        <v>11875044</v>
      </c>
      <c r="D14" s="714">
        <f>+'ETCA II-04'!C12</f>
        <v>-1400264</v>
      </c>
      <c r="E14" s="715">
        <f t="shared" si="3"/>
        <v>10474780</v>
      </c>
      <c r="F14" s="714">
        <f>+'ETCA II-04'!E12</f>
        <v>7745603</v>
      </c>
      <c r="G14" s="714">
        <f>+'ETCA II-04'!F12</f>
        <v>3187940</v>
      </c>
      <c r="H14" s="713">
        <f t="shared" si="2"/>
        <v>2729177</v>
      </c>
    </row>
    <row r="15" spans="1:8">
      <c r="A15" s="845"/>
      <c r="B15" s="750" t="s">
        <v>633</v>
      </c>
      <c r="C15" s="714">
        <f>+'ETCA II-04'!B13</f>
        <v>9966112</v>
      </c>
      <c r="D15" s="714">
        <f>+'ETCA II-04'!C13</f>
        <v>-1100000</v>
      </c>
      <c r="E15" s="715">
        <f t="shared" si="3"/>
        <v>8866112</v>
      </c>
      <c r="F15" s="714">
        <f>+'ETCA II-04'!E13</f>
        <v>6112480</v>
      </c>
      <c r="G15" s="714">
        <f>+'ETCA II-04'!F13</f>
        <v>5780000</v>
      </c>
      <c r="H15" s="713">
        <f t="shared" si="2"/>
        <v>2753632</v>
      </c>
    </row>
    <row r="16" spans="1:8">
      <c r="A16" s="845"/>
      <c r="B16" s="750" t="s">
        <v>634</v>
      </c>
      <c r="C16" s="714">
        <f>+'ETCA II-04'!B14</f>
        <v>7823850</v>
      </c>
      <c r="D16" s="714">
        <f>+'ETCA II-04'!C14</f>
        <v>-130697</v>
      </c>
      <c r="E16" s="715">
        <f t="shared" si="3"/>
        <v>7693153</v>
      </c>
      <c r="F16" s="714">
        <f>+'ETCA II-04'!E14</f>
        <v>4973550</v>
      </c>
      <c r="G16" s="714">
        <f>+'ETCA II-04'!F14</f>
        <v>3686784</v>
      </c>
      <c r="H16" s="713">
        <f t="shared" si="2"/>
        <v>2719603</v>
      </c>
    </row>
    <row r="17" spans="1:8">
      <c r="A17" s="845"/>
      <c r="B17" s="750" t="s">
        <v>635</v>
      </c>
      <c r="C17" s="714">
        <f>+'ETCA II-04'!B15</f>
        <v>0</v>
      </c>
      <c r="D17" s="714">
        <f>+'ETCA II-04'!C15</f>
        <v>0</v>
      </c>
      <c r="E17" s="715">
        <f t="shared" si="3"/>
        <v>0</v>
      </c>
      <c r="F17" s="714">
        <f>+'ETCA II-04'!E15</f>
        <v>0</v>
      </c>
      <c r="G17" s="714">
        <f>+'ETCA II-04'!F15</f>
        <v>0</v>
      </c>
      <c r="H17" s="713">
        <f t="shared" si="2"/>
        <v>0</v>
      </c>
    </row>
    <row r="18" spans="1:8">
      <c r="A18" s="845"/>
      <c r="B18" s="750" t="s">
        <v>636</v>
      </c>
      <c r="C18" s="714">
        <f>+'ETCA II-04'!B16</f>
        <v>1011733</v>
      </c>
      <c r="D18" s="714">
        <f>+'ETCA II-04'!C16</f>
        <v>535823</v>
      </c>
      <c r="E18" s="715">
        <f t="shared" si="3"/>
        <v>1547556</v>
      </c>
      <c r="F18" s="714">
        <f>+'ETCA II-04'!E16</f>
        <v>1547556</v>
      </c>
      <c r="G18" s="714">
        <f>+'ETCA II-04'!F16</f>
        <v>1547556</v>
      </c>
      <c r="H18" s="713">
        <f t="shared" si="2"/>
        <v>0</v>
      </c>
    </row>
    <row r="19" spans="1:8">
      <c r="A19" s="1328" t="s">
        <v>637</v>
      </c>
      <c r="B19" s="1329"/>
      <c r="C19" s="711">
        <f t="shared" ref="C19:E19" si="4">SUM(C20:C28)</f>
        <v>2815132</v>
      </c>
      <c r="D19" s="711">
        <f t="shared" si="4"/>
        <v>-299067</v>
      </c>
      <c r="E19" s="716">
        <f t="shared" si="4"/>
        <v>2516065</v>
      </c>
      <c r="F19" s="711">
        <f>SUM(F20:F28)+2</f>
        <v>1287606</v>
      </c>
      <c r="G19" s="711">
        <f>SUM(G20:G28)+2</f>
        <v>1287606</v>
      </c>
      <c r="H19" s="711">
        <f>SUM(H20:H28)-2</f>
        <v>1228459</v>
      </c>
    </row>
    <row r="20" spans="1:8">
      <c r="A20" s="845"/>
      <c r="B20" s="750" t="s">
        <v>638</v>
      </c>
      <c r="C20" s="714">
        <f>+'ETCA II-04'!B18</f>
        <v>208492</v>
      </c>
      <c r="D20" s="714">
        <f>+'ETCA II-04'!C18</f>
        <v>-5523</v>
      </c>
      <c r="E20" s="715">
        <f t="shared" si="3"/>
        <v>202969</v>
      </c>
      <c r="F20" s="714">
        <f>+'ETCA II-04'!E18</f>
        <v>100877</v>
      </c>
      <c r="G20" s="714">
        <f>+'ETCA II-04'!F18</f>
        <v>100877</v>
      </c>
      <c r="H20" s="713">
        <f t="shared" ref="H20:H83" si="5">+E20-F20</f>
        <v>102092</v>
      </c>
    </row>
    <row r="21" spans="1:8">
      <c r="A21" s="845"/>
      <c r="B21" s="750" t="s">
        <v>639</v>
      </c>
      <c r="C21" s="714">
        <f>+'ETCA II-04'!B19</f>
        <v>680119</v>
      </c>
      <c r="D21" s="714">
        <f>+'ETCA II-04'!C19</f>
        <v>0</v>
      </c>
      <c r="E21" s="715">
        <f t="shared" si="3"/>
        <v>680119</v>
      </c>
      <c r="F21" s="714">
        <f>+'ETCA II-04'!E19</f>
        <v>148568</v>
      </c>
      <c r="G21" s="714">
        <f>+'ETCA II-04'!F19</f>
        <v>148568</v>
      </c>
      <c r="H21" s="713">
        <f t="shared" si="5"/>
        <v>531551</v>
      </c>
    </row>
    <row r="22" spans="1:8">
      <c r="A22" s="845"/>
      <c r="B22" s="750" t="s">
        <v>640</v>
      </c>
      <c r="C22" s="714">
        <f>+'ETCA II-04'!B20</f>
        <v>0</v>
      </c>
      <c r="D22" s="714">
        <f>+'ETCA II-04'!C20</f>
        <v>0</v>
      </c>
      <c r="E22" s="715">
        <f t="shared" si="3"/>
        <v>0</v>
      </c>
      <c r="F22" s="714">
        <f>+'ETCA II-04'!E20</f>
        <v>0</v>
      </c>
      <c r="G22" s="714">
        <f>+'ETCA II-04'!F20</f>
        <v>0</v>
      </c>
      <c r="H22" s="713">
        <f t="shared" si="5"/>
        <v>0</v>
      </c>
    </row>
    <row r="23" spans="1:8">
      <c r="A23" s="845"/>
      <c r="B23" s="750" t="s">
        <v>641</v>
      </c>
      <c r="C23" s="714">
        <f>+'ETCA II-04'!B21</f>
        <v>211873</v>
      </c>
      <c r="D23" s="714">
        <f>+'ETCA II-04'!C21</f>
        <v>275863</v>
      </c>
      <c r="E23" s="715">
        <f t="shared" si="3"/>
        <v>487736</v>
      </c>
      <c r="F23" s="714">
        <f>+'ETCA II-04'!E21</f>
        <v>447007</v>
      </c>
      <c r="G23" s="714">
        <f>+'ETCA II-04'!F21</f>
        <v>447007</v>
      </c>
      <c r="H23" s="713">
        <f t="shared" si="5"/>
        <v>40729</v>
      </c>
    </row>
    <row r="24" spans="1:8">
      <c r="A24" s="845"/>
      <c r="B24" s="750" t="s">
        <v>642</v>
      </c>
      <c r="C24" s="714">
        <f>+'ETCA II-04'!B22</f>
        <v>575306</v>
      </c>
      <c r="D24" s="714">
        <f>+'ETCA II-04'!C22</f>
        <v>-575110</v>
      </c>
      <c r="E24" s="715">
        <f t="shared" si="3"/>
        <v>196</v>
      </c>
      <c r="F24" s="714">
        <f>+'ETCA II-04'!E22</f>
        <v>196</v>
      </c>
      <c r="G24" s="714">
        <f>+'ETCA II-04'!F22</f>
        <v>196</v>
      </c>
      <c r="H24" s="713">
        <f t="shared" si="5"/>
        <v>0</v>
      </c>
    </row>
    <row r="25" spans="1:8">
      <c r="A25" s="845"/>
      <c r="B25" s="750" t="s">
        <v>643</v>
      </c>
      <c r="C25" s="714">
        <f>+'ETCA II-04'!B23</f>
        <v>826740</v>
      </c>
      <c r="D25" s="714">
        <f>+'ETCA II-04'!C23</f>
        <v>0</v>
      </c>
      <c r="E25" s="715">
        <f t="shared" si="3"/>
        <v>826740</v>
      </c>
      <c r="F25" s="714">
        <f>+'ETCA II-04'!E23</f>
        <v>499175</v>
      </c>
      <c r="G25" s="714">
        <f>+'ETCA II-04'!F23</f>
        <v>499175</v>
      </c>
      <c r="H25" s="713">
        <f t="shared" si="5"/>
        <v>327565</v>
      </c>
    </row>
    <row r="26" spans="1:8">
      <c r="A26" s="845"/>
      <c r="B26" s="750" t="s">
        <v>644</v>
      </c>
      <c r="C26" s="714">
        <f>+'ETCA II-04'!B24</f>
        <v>40000</v>
      </c>
      <c r="D26" s="714">
        <f>+'ETCA II-04'!C24</f>
        <v>2448</v>
      </c>
      <c r="E26" s="715">
        <f t="shared" si="3"/>
        <v>42448</v>
      </c>
      <c r="F26" s="714">
        <f>+'ETCA II-04'!E24</f>
        <v>16061</v>
      </c>
      <c r="G26" s="714">
        <f>+'ETCA II-04'!F24</f>
        <v>16061</v>
      </c>
      <c r="H26" s="713">
        <f t="shared" si="5"/>
        <v>26387</v>
      </c>
    </row>
    <row r="27" spans="1:8">
      <c r="A27" s="845"/>
      <c r="B27" s="750" t="s">
        <v>645</v>
      </c>
      <c r="C27" s="714">
        <f>+'ETCA II-04'!B25</f>
        <v>0</v>
      </c>
      <c r="D27" s="714">
        <f>+'ETCA II-04'!C25</f>
        <v>0</v>
      </c>
      <c r="E27" s="715">
        <f t="shared" si="3"/>
        <v>0</v>
      </c>
      <c r="F27" s="714">
        <f>+'ETCA II-04'!E25</f>
        <v>0</v>
      </c>
      <c r="G27" s="714">
        <f>+'ETCA II-04'!F25</f>
        <v>0</v>
      </c>
      <c r="H27" s="713">
        <f t="shared" si="5"/>
        <v>0</v>
      </c>
    </row>
    <row r="28" spans="1:8">
      <c r="A28" s="845"/>
      <c r="B28" s="750" t="s">
        <v>646</v>
      </c>
      <c r="C28" s="714">
        <f>+'ETCA II-04'!B26</f>
        <v>272602</v>
      </c>
      <c r="D28" s="714">
        <f>+'ETCA II-04'!C26</f>
        <v>3255</v>
      </c>
      <c r="E28" s="715">
        <f t="shared" si="3"/>
        <v>275857</v>
      </c>
      <c r="F28" s="714">
        <f>+'ETCA II-04'!E26</f>
        <v>75720</v>
      </c>
      <c r="G28" s="714">
        <f>+'ETCA II-04'!F26</f>
        <v>75720</v>
      </c>
      <c r="H28" s="713">
        <f t="shared" si="5"/>
        <v>200137</v>
      </c>
    </row>
    <row r="29" spans="1:8">
      <c r="A29" s="1328" t="s">
        <v>647</v>
      </c>
      <c r="B29" s="1329"/>
      <c r="C29" s="711">
        <f t="shared" ref="C29:E29" si="6">SUM(C30:C38)</f>
        <v>30957767</v>
      </c>
      <c r="D29" s="711">
        <f t="shared" si="6"/>
        <v>-8471235</v>
      </c>
      <c r="E29" s="716">
        <f t="shared" si="6"/>
        <v>22486532</v>
      </c>
      <c r="F29" s="711">
        <f>SUM(F30:F38)-3</f>
        <v>15216646</v>
      </c>
      <c r="G29" s="711">
        <f>SUM(G30:G38)-1</f>
        <v>12510094</v>
      </c>
      <c r="H29" s="711">
        <f>SUM(H30:H38)+3</f>
        <v>7269886</v>
      </c>
    </row>
    <row r="30" spans="1:8">
      <c r="A30" s="845"/>
      <c r="B30" s="750" t="s">
        <v>648</v>
      </c>
      <c r="C30" s="714">
        <f>+'ETCA II-04'!B28</f>
        <v>6509546</v>
      </c>
      <c r="D30" s="714">
        <f>+'ETCA II-04'!C28</f>
        <v>-422553</v>
      </c>
      <c r="E30" s="715">
        <f t="shared" si="3"/>
        <v>6086993</v>
      </c>
      <c r="F30" s="714">
        <f>+'ETCA II-04'!E28</f>
        <v>4110016</v>
      </c>
      <c r="G30" s="714">
        <f>+'ETCA II-04'!F28</f>
        <v>3706307</v>
      </c>
      <c r="H30" s="713">
        <f t="shared" si="5"/>
        <v>1976977</v>
      </c>
    </row>
    <row r="31" spans="1:8">
      <c r="A31" s="845"/>
      <c r="B31" s="750" t="s">
        <v>649</v>
      </c>
      <c r="C31" s="714">
        <f>+'ETCA II-04'!B29</f>
        <v>484278</v>
      </c>
      <c r="D31" s="714">
        <f>+'ETCA II-04'!C29</f>
        <v>-3609</v>
      </c>
      <c r="E31" s="715">
        <f t="shared" si="3"/>
        <v>480669</v>
      </c>
      <c r="F31" s="714">
        <f>+'ETCA II-04'!E29</f>
        <v>249761</v>
      </c>
      <c r="G31" s="714">
        <f>+'ETCA II-04'!F29</f>
        <v>243309</v>
      </c>
      <c r="H31" s="713">
        <f t="shared" si="5"/>
        <v>230908</v>
      </c>
    </row>
    <row r="32" spans="1:8">
      <c r="A32" s="845"/>
      <c r="B32" s="750" t="s">
        <v>650</v>
      </c>
      <c r="C32" s="714">
        <f>+'ETCA II-04'!B30</f>
        <v>6245017</v>
      </c>
      <c r="D32" s="714">
        <f>+'ETCA II-04'!C30</f>
        <v>-293503</v>
      </c>
      <c r="E32" s="715">
        <f t="shared" si="3"/>
        <v>5951514</v>
      </c>
      <c r="F32" s="714">
        <f>+'ETCA II-04'!E30</f>
        <v>5084279</v>
      </c>
      <c r="G32" s="714">
        <f>+'ETCA II-04'!F30</f>
        <v>2959014</v>
      </c>
      <c r="H32" s="713">
        <f t="shared" si="5"/>
        <v>867235</v>
      </c>
    </row>
    <row r="33" spans="1:8">
      <c r="A33" s="845"/>
      <c r="B33" s="750" t="s">
        <v>651</v>
      </c>
      <c r="C33" s="714">
        <f>+'ETCA II-04'!B31</f>
        <v>10725672</v>
      </c>
      <c r="D33" s="714">
        <f>+'ETCA II-04'!C31</f>
        <v>-7773658</v>
      </c>
      <c r="E33" s="715">
        <f t="shared" si="3"/>
        <v>2952014</v>
      </c>
      <c r="F33" s="714">
        <f>+'ETCA II-04'!E31</f>
        <v>1657122</v>
      </c>
      <c r="G33" s="714">
        <f>+'ETCA II-04'!F31</f>
        <v>1657122</v>
      </c>
      <c r="H33" s="713">
        <f t="shared" si="5"/>
        <v>1294892</v>
      </c>
    </row>
    <row r="34" spans="1:8">
      <c r="A34" s="845"/>
      <c r="B34" s="750" t="s">
        <v>652</v>
      </c>
      <c r="C34" s="714">
        <f>+'ETCA II-04'!B32</f>
        <v>2272035</v>
      </c>
      <c r="D34" s="714">
        <f>+'ETCA II-04'!C32</f>
        <v>-22503</v>
      </c>
      <c r="E34" s="715">
        <f t="shared" si="3"/>
        <v>2249532</v>
      </c>
      <c r="F34" s="714">
        <f>+'ETCA II-04'!E32</f>
        <v>1157281</v>
      </c>
      <c r="G34" s="714">
        <f>+'ETCA II-04'!F32</f>
        <v>1115789</v>
      </c>
      <c r="H34" s="713">
        <f t="shared" si="5"/>
        <v>1092251</v>
      </c>
    </row>
    <row r="35" spans="1:8">
      <c r="A35" s="845"/>
      <c r="B35" s="750" t="s">
        <v>653</v>
      </c>
      <c r="C35" s="714">
        <f>+'ETCA II-04'!B33</f>
        <v>453390</v>
      </c>
      <c r="D35" s="714">
        <f>+'ETCA II-04'!C33</f>
        <v>103573</v>
      </c>
      <c r="E35" s="715">
        <f t="shared" si="3"/>
        <v>556963</v>
      </c>
      <c r="F35" s="714">
        <f>+'ETCA II-04'!E33</f>
        <v>519861</v>
      </c>
      <c r="G35" s="714">
        <f>+'ETCA II-04'!F33</f>
        <v>513861</v>
      </c>
      <c r="H35" s="713">
        <f t="shared" si="5"/>
        <v>37102</v>
      </c>
    </row>
    <row r="36" spans="1:8">
      <c r="A36" s="845"/>
      <c r="B36" s="750" t="s">
        <v>654</v>
      </c>
      <c r="C36" s="714">
        <f>+'ETCA II-04'!B34</f>
        <v>780841</v>
      </c>
      <c r="D36" s="714">
        <f>+'ETCA II-04'!C34</f>
        <v>-28680</v>
      </c>
      <c r="E36" s="715">
        <f t="shared" si="3"/>
        <v>752161</v>
      </c>
      <c r="F36" s="714">
        <f>+'ETCA II-04'!E34</f>
        <v>218251</v>
      </c>
      <c r="G36" s="714">
        <f>+'ETCA II-04'!F34</f>
        <v>218251</v>
      </c>
      <c r="H36" s="713">
        <f t="shared" si="5"/>
        <v>533910</v>
      </c>
    </row>
    <row r="37" spans="1:8">
      <c r="A37" s="845"/>
      <c r="B37" s="750" t="s">
        <v>655</v>
      </c>
      <c r="C37" s="714">
        <f>+'ETCA II-04'!B35</f>
        <v>707427</v>
      </c>
      <c r="D37" s="714">
        <f>+'ETCA II-04'!C35</f>
        <v>-30452</v>
      </c>
      <c r="E37" s="715">
        <f t="shared" si="3"/>
        <v>676975</v>
      </c>
      <c r="F37" s="714">
        <f>+'ETCA II-04'!E35</f>
        <v>361578</v>
      </c>
      <c r="G37" s="714">
        <f>+'ETCA II-04'!F35</f>
        <v>361578</v>
      </c>
      <c r="H37" s="713">
        <f t="shared" si="5"/>
        <v>315397</v>
      </c>
    </row>
    <row r="38" spans="1:8" ht="15.75" thickBot="1">
      <c r="A38" s="749"/>
      <c r="B38" s="685" t="s">
        <v>656</v>
      </c>
      <c r="C38" s="728">
        <f>+'ETCA II-04'!B36</f>
        <v>2779561</v>
      </c>
      <c r="D38" s="728">
        <f>+'ETCA II-04'!C36</f>
        <v>150</v>
      </c>
      <c r="E38" s="729">
        <f t="shared" si="3"/>
        <v>2779711</v>
      </c>
      <c r="F38" s="728">
        <f>+'ETCA II-04'!E36</f>
        <v>1858500</v>
      </c>
      <c r="G38" s="728">
        <f>+'ETCA II-04'!F36</f>
        <v>1734864</v>
      </c>
      <c r="H38" s="730">
        <f t="shared" si="5"/>
        <v>921211</v>
      </c>
    </row>
    <row r="39" spans="1:8">
      <c r="A39" s="1330" t="s">
        <v>657</v>
      </c>
      <c r="B39" s="1331"/>
      <c r="C39" s="712">
        <f t="shared" ref="C39:H39" si="7">SUM(C40:C48)</f>
        <v>0</v>
      </c>
      <c r="D39" s="712">
        <f t="shared" si="7"/>
        <v>0</v>
      </c>
      <c r="E39" s="712">
        <f t="shared" si="7"/>
        <v>0</v>
      </c>
      <c r="F39" s="712">
        <f t="shared" si="7"/>
        <v>0</v>
      </c>
      <c r="G39" s="712">
        <f t="shared" si="7"/>
        <v>0</v>
      </c>
      <c r="H39" s="712">
        <f t="shared" si="7"/>
        <v>0</v>
      </c>
    </row>
    <row r="40" spans="1:8">
      <c r="A40" s="845"/>
      <c r="B40" s="750" t="s">
        <v>658</v>
      </c>
      <c r="C40" s="714"/>
      <c r="D40" s="714"/>
      <c r="E40" s="715">
        <f t="shared" si="3"/>
        <v>0</v>
      </c>
      <c r="F40" s="714"/>
      <c r="G40" s="714"/>
      <c r="H40" s="713">
        <f t="shared" si="5"/>
        <v>0</v>
      </c>
    </row>
    <row r="41" spans="1:8">
      <c r="A41" s="845"/>
      <c r="B41" s="750" t="s">
        <v>659</v>
      </c>
      <c r="C41" s="714"/>
      <c r="D41" s="714"/>
      <c r="E41" s="715">
        <f t="shared" si="3"/>
        <v>0</v>
      </c>
      <c r="F41" s="714"/>
      <c r="G41" s="714"/>
      <c r="H41" s="713">
        <f t="shared" si="5"/>
        <v>0</v>
      </c>
    </row>
    <row r="42" spans="1:8">
      <c r="A42" s="845"/>
      <c r="B42" s="750" t="s">
        <v>660</v>
      </c>
      <c r="C42" s="714"/>
      <c r="D42" s="714"/>
      <c r="E42" s="715">
        <f t="shared" si="3"/>
        <v>0</v>
      </c>
      <c r="F42" s="714"/>
      <c r="G42" s="714"/>
      <c r="H42" s="713">
        <f t="shared" si="5"/>
        <v>0</v>
      </c>
    </row>
    <row r="43" spans="1:8">
      <c r="A43" s="845"/>
      <c r="B43" s="750" t="s">
        <v>661</v>
      </c>
      <c r="C43" s="714"/>
      <c r="D43" s="714"/>
      <c r="E43" s="715">
        <f t="shared" si="3"/>
        <v>0</v>
      </c>
      <c r="F43" s="714"/>
      <c r="G43" s="714"/>
      <c r="H43" s="713">
        <f t="shared" si="5"/>
        <v>0</v>
      </c>
    </row>
    <row r="44" spans="1:8">
      <c r="A44" s="845"/>
      <c r="B44" s="750" t="s">
        <v>662</v>
      </c>
      <c r="C44" s="714"/>
      <c r="D44" s="714"/>
      <c r="E44" s="715">
        <f t="shared" si="3"/>
        <v>0</v>
      </c>
      <c r="F44" s="714"/>
      <c r="G44" s="714"/>
      <c r="H44" s="713">
        <f t="shared" si="5"/>
        <v>0</v>
      </c>
    </row>
    <row r="45" spans="1:8">
      <c r="A45" s="845"/>
      <c r="B45" s="750" t="s">
        <v>663</v>
      </c>
      <c r="C45" s="714"/>
      <c r="D45" s="714"/>
      <c r="E45" s="715">
        <f t="shared" si="3"/>
        <v>0</v>
      </c>
      <c r="F45" s="714"/>
      <c r="G45" s="714"/>
      <c r="H45" s="713">
        <f t="shared" si="5"/>
        <v>0</v>
      </c>
    </row>
    <row r="46" spans="1:8">
      <c r="A46" s="845"/>
      <c r="B46" s="750" t="s">
        <v>664</v>
      </c>
      <c r="C46" s="714"/>
      <c r="D46" s="714"/>
      <c r="E46" s="715">
        <f t="shared" si="3"/>
        <v>0</v>
      </c>
      <c r="F46" s="714"/>
      <c r="G46" s="714"/>
      <c r="H46" s="713">
        <f t="shared" si="5"/>
        <v>0</v>
      </c>
    </row>
    <row r="47" spans="1:8">
      <c r="A47" s="845"/>
      <c r="B47" s="750" t="s">
        <v>665</v>
      </c>
      <c r="C47" s="714"/>
      <c r="D47" s="714"/>
      <c r="E47" s="715">
        <f t="shared" si="3"/>
        <v>0</v>
      </c>
      <c r="F47" s="714"/>
      <c r="G47" s="714"/>
      <c r="H47" s="713">
        <f t="shared" si="5"/>
        <v>0</v>
      </c>
    </row>
    <row r="48" spans="1:8">
      <c r="A48" s="845"/>
      <c r="B48" s="750" t="s">
        <v>666</v>
      </c>
      <c r="C48" s="714"/>
      <c r="D48" s="714"/>
      <c r="E48" s="715">
        <f t="shared" si="3"/>
        <v>0</v>
      </c>
      <c r="F48" s="714"/>
      <c r="G48" s="714"/>
      <c r="H48" s="713">
        <f t="shared" si="5"/>
        <v>0</v>
      </c>
    </row>
    <row r="49" spans="1:8">
      <c r="A49" s="1328" t="s">
        <v>667</v>
      </c>
      <c r="B49" s="1329"/>
      <c r="C49" s="711">
        <f t="shared" ref="C49:H49" si="8">SUM(C50:C58)</f>
        <v>0</v>
      </c>
      <c r="D49" s="711">
        <f>SUM(D50:D58)-1</f>
        <v>477863</v>
      </c>
      <c r="E49" s="716">
        <f>SUM(E50:E58)-1</f>
        <v>477863</v>
      </c>
      <c r="F49" s="711">
        <f>SUM(F50:F58)-1</f>
        <v>477863</v>
      </c>
      <c r="G49" s="711">
        <f>SUM(G50:G58)-1</f>
        <v>477863</v>
      </c>
      <c r="H49" s="711">
        <f t="shared" si="8"/>
        <v>0</v>
      </c>
    </row>
    <row r="50" spans="1:8">
      <c r="A50" s="845"/>
      <c r="B50" s="750" t="s">
        <v>668</v>
      </c>
      <c r="C50" s="714">
        <f>+'ETCA II-04'!B48</f>
        <v>0</v>
      </c>
      <c r="D50" s="714">
        <f>+'ETCA II-04'!C48</f>
        <v>210209</v>
      </c>
      <c r="E50" s="715">
        <f t="shared" si="3"/>
        <v>210209</v>
      </c>
      <c r="F50" s="714">
        <f>+'ETCA II-04'!E48</f>
        <v>210209</v>
      </c>
      <c r="G50" s="714">
        <f>+'ETCA II-04'!F48</f>
        <v>210209</v>
      </c>
      <c r="H50" s="713">
        <f t="shared" si="5"/>
        <v>0</v>
      </c>
    </row>
    <row r="51" spans="1:8">
      <c r="A51" s="845"/>
      <c r="B51" s="750" t="s">
        <v>669</v>
      </c>
      <c r="C51" s="714">
        <f>+'ETCA II-04'!B49</f>
        <v>0</v>
      </c>
      <c r="D51" s="714">
        <f>+'ETCA II-04'!C49</f>
        <v>69873</v>
      </c>
      <c r="E51" s="715">
        <f t="shared" si="3"/>
        <v>69873</v>
      </c>
      <c r="F51" s="714">
        <f>+'ETCA II-04'!E49</f>
        <v>69873</v>
      </c>
      <c r="G51" s="714">
        <f>+'ETCA II-04'!F49</f>
        <v>69873</v>
      </c>
      <c r="H51" s="713">
        <f t="shared" si="5"/>
        <v>0</v>
      </c>
    </row>
    <row r="52" spans="1:8">
      <c r="A52" s="845"/>
      <c r="B52" s="750" t="s">
        <v>670</v>
      </c>
      <c r="C52" s="714"/>
      <c r="D52" s="714"/>
      <c r="E52" s="715">
        <f t="shared" si="3"/>
        <v>0</v>
      </c>
      <c r="F52" s="714"/>
      <c r="G52" s="714"/>
      <c r="H52" s="713">
        <f t="shared" si="5"/>
        <v>0</v>
      </c>
    </row>
    <row r="53" spans="1:8">
      <c r="A53" s="845"/>
      <c r="B53" s="750" t="s">
        <v>671</v>
      </c>
      <c r="C53" s="714"/>
      <c r="D53" s="714"/>
      <c r="E53" s="715">
        <f t="shared" si="3"/>
        <v>0</v>
      </c>
      <c r="F53" s="714"/>
      <c r="G53" s="714"/>
      <c r="H53" s="713">
        <f t="shared" si="5"/>
        <v>0</v>
      </c>
    </row>
    <row r="54" spans="1:8">
      <c r="A54" s="845"/>
      <c r="B54" s="750" t="s">
        <v>672</v>
      </c>
      <c r="C54" s="714"/>
      <c r="D54" s="714"/>
      <c r="E54" s="715">
        <f t="shared" si="3"/>
        <v>0</v>
      </c>
      <c r="F54" s="714"/>
      <c r="G54" s="714"/>
      <c r="H54" s="713">
        <f t="shared" si="5"/>
        <v>0</v>
      </c>
    </row>
    <row r="55" spans="1:8">
      <c r="A55" s="845"/>
      <c r="B55" s="750" t="s">
        <v>673</v>
      </c>
      <c r="C55" s="714">
        <f>+'ETCA II-04'!B53</f>
        <v>0</v>
      </c>
      <c r="D55" s="714">
        <f>+'ETCA II-04'!C53</f>
        <v>197782</v>
      </c>
      <c r="E55" s="715">
        <f t="shared" si="3"/>
        <v>197782</v>
      </c>
      <c r="F55" s="714">
        <f>+'ETCA II-04'!E53</f>
        <v>197782</v>
      </c>
      <c r="G55" s="714">
        <f>+'ETCA II-04'!F53</f>
        <v>197782</v>
      </c>
      <c r="H55" s="713">
        <f t="shared" si="5"/>
        <v>0</v>
      </c>
    </row>
    <row r="56" spans="1:8">
      <c r="A56" s="845"/>
      <c r="B56" s="750" t="s">
        <v>674</v>
      </c>
      <c r="C56" s="714"/>
      <c r="D56" s="714"/>
      <c r="E56" s="715">
        <f t="shared" si="3"/>
        <v>0</v>
      </c>
      <c r="F56" s="714"/>
      <c r="G56" s="714"/>
      <c r="H56" s="713">
        <f t="shared" si="5"/>
        <v>0</v>
      </c>
    </row>
    <row r="57" spans="1:8">
      <c r="A57" s="845"/>
      <c r="B57" s="750" t="s">
        <v>675</v>
      </c>
      <c r="C57" s="714"/>
      <c r="D57" s="714"/>
      <c r="E57" s="715">
        <f t="shared" si="3"/>
        <v>0</v>
      </c>
      <c r="F57" s="714"/>
      <c r="G57" s="714"/>
      <c r="H57" s="713">
        <f t="shared" si="5"/>
        <v>0</v>
      </c>
    </row>
    <row r="58" spans="1:8">
      <c r="A58" s="845"/>
      <c r="B58" s="750" t="s">
        <v>676</v>
      </c>
      <c r="C58" s="714"/>
      <c r="D58" s="714"/>
      <c r="E58" s="715">
        <f t="shared" si="3"/>
        <v>0</v>
      </c>
      <c r="F58" s="714"/>
      <c r="G58" s="714"/>
      <c r="H58" s="713">
        <f t="shared" si="5"/>
        <v>0</v>
      </c>
    </row>
    <row r="59" spans="1:8">
      <c r="A59" s="1328" t="s">
        <v>677</v>
      </c>
      <c r="B59" s="1329"/>
      <c r="C59" s="711">
        <f t="shared" ref="C59:H59" si="9">SUM(C60:C62)</f>
        <v>0</v>
      </c>
      <c r="D59" s="711">
        <f t="shared" si="9"/>
        <v>0</v>
      </c>
      <c r="E59" s="716">
        <f t="shared" si="9"/>
        <v>0</v>
      </c>
      <c r="F59" s="711">
        <f t="shared" si="9"/>
        <v>0</v>
      </c>
      <c r="G59" s="711">
        <f t="shared" si="9"/>
        <v>0</v>
      </c>
      <c r="H59" s="711">
        <f t="shared" si="9"/>
        <v>0</v>
      </c>
    </row>
    <row r="60" spans="1:8">
      <c r="A60" s="845"/>
      <c r="B60" s="750" t="s">
        <v>678</v>
      </c>
      <c r="C60" s="714"/>
      <c r="D60" s="714"/>
      <c r="E60" s="715">
        <f t="shared" si="3"/>
        <v>0</v>
      </c>
      <c r="F60" s="714"/>
      <c r="G60" s="714"/>
      <c r="H60" s="713">
        <f t="shared" si="5"/>
        <v>0</v>
      </c>
    </row>
    <row r="61" spans="1:8">
      <c r="A61" s="845"/>
      <c r="B61" s="750" t="s">
        <v>679</v>
      </c>
      <c r="C61" s="714"/>
      <c r="D61" s="714"/>
      <c r="E61" s="715">
        <f t="shared" si="3"/>
        <v>0</v>
      </c>
      <c r="F61" s="714"/>
      <c r="G61" s="714"/>
      <c r="H61" s="713">
        <f t="shared" si="5"/>
        <v>0</v>
      </c>
    </row>
    <row r="62" spans="1:8">
      <c r="A62" s="845"/>
      <c r="B62" s="750" t="s">
        <v>680</v>
      </c>
      <c r="C62" s="714"/>
      <c r="D62" s="714"/>
      <c r="E62" s="715">
        <f t="shared" si="3"/>
        <v>0</v>
      </c>
      <c r="F62" s="714"/>
      <c r="G62" s="714"/>
      <c r="H62" s="713">
        <f t="shared" si="5"/>
        <v>0</v>
      </c>
    </row>
    <row r="63" spans="1:8">
      <c r="A63" s="1328" t="s">
        <v>681</v>
      </c>
      <c r="B63" s="1329"/>
      <c r="C63" s="711">
        <f t="shared" ref="C63:H63" si="10">SUM(C64:C71)</f>
        <v>0</v>
      </c>
      <c r="D63" s="711">
        <f t="shared" si="10"/>
        <v>0</v>
      </c>
      <c r="E63" s="711">
        <f t="shared" si="10"/>
        <v>0</v>
      </c>
      <c r="F63" s="711">
        <f t="shared" si="10"/>
        <v>0</v>
      </c>
      <c r="G63" s="711">
        <f t="shared" si="10"/>
        <v>0</v>
      </c>
      <c r="H63" s="711">
        <f t="shared" si="10"/>
        <v>0</v>
      </c>
    </row>
    <row r="64" spans="1:8">
      <c r="A64" s="845"/>
      <c r="B64" s="750" t="s">
        <v>682</v>
      </c>
      <c r="C64" s="714"/>
      <c r="D64" s="714"/>
      <c r="E64" s="715">
        <f t="shared" si="3"/>
        <v>0</v>
      </c>
      <c r="F64" s="714"/>
      <c r="G64" s="714"/>
      <c r="H64" s="713">
        <f t="shared" si="5"/>
        <v>0</v>
      </c>
    </row>
    <row r="65" spans="1:8">
      <c r="A65" s="845"/>
      <c r="B65" s="750" t="s">
        <v>683</v>
      </c>
      <c r="C65" s="714"/>
      <c r="D65" s="714"/>
      <c r="E65" s="715">
        <f t="shared" si="3"/>
        <v>0</v>
      </c>
      <c r="F65" s="714"/>
      <c r="G65" s="714"/>
      <c r="H65" s="713">
        <f t="shared" si="5"/>
        <v>0</v>
      </c>
    </row>
    <row r="66" spans="1:8">
      <c r="A66" s="845"/>
      <c r="B66" s="750" t="s">
        <v>684</v>
      </c>
      <c r="C66" s="714"/>
      <c r="D66" s="714"/>
      <c r="E66" s="715">
        <f t="shared" si="3"/>
        <v>0</v>
      </c>
      <c r="F66" s="714"/>
      <c r="G66" s="714"/>
      <c r="H66" s="713">
        <f t="shared" si="5"/>
        <v>0</v>
      </c>
    </row>
    <row r="67" spans="1:8">
      <c r="A67" s="845"/>
      <c r="B67" s="750" t="s">
        <v>685</v>
      </c>
      <c r="C67" s="714"/>
      <c r="D67" s="714"/>
      <c r="E67" s="715">
        <f t="shared" si="3"/>
        <v>0</v>
      </c>
      <c r="F67" s="714"/>
      <c r="G67" s="714"/>
      <c r="H67" s="713">
        <f t="shared" si="5"/>
        <v>0</v>
      </c>
    </row>
    <row r="68" spans="1:8">
      <c r="A68" s="845"/>
      <c r="B68" s="750" t="s">
        <v>686</v>
      </c>
      <c r="C68" s="714"/>
      <c r="D68" s="714"/>
      <c r="E68" s="715">
        <f t="shared" si="3"/>
        <v>0</v>
      </c>
      <c r="F68" s="714"/>
      <c r="G68" s="714"/>
      <c r="H68" s="713">
        <f t="shared" si="5"/>
        <v>0</v>
      </c>
    </row>
    <row r="69" spans="1:8">
      <c r="A69" s="845"/>
      <c r="B69" s="750" t="s">
        <v>687</v>
      </c>
      <c r="C69" s="714"/>
      <c r="D69" s="714"/>
      <c r="E69" s="715">
        <f t="shared" si="3"/>
        <v>0</v>
      </c>
      <c r="F69" s="714"/>
      <c r="G69" s="714"/>
      <c r="H69" s="713">
        <f t="shared" si="5"/>
        <v>0</v>
      </c>
    </row>
    <row r="70" spans="1:8">
      <c r="A70" s="845"/>
      <c r="B70" s="750" t="s">
        <v>688</v>
      </c>
      <c r="C70" s="714"/>
      <c r="D70" s="714"/>
      <c r="E70" s="715">
        <f t="shared" si="3"/>
        <v>0</v>
      </c>
      <c r="F70" s="714"/>
      <c r="G70" s="714"/>
      <c r="H70" s="713">
        <f t="shared" si="5"/>
        <v>0</v>
      </c>
    </row>
    <row r="71" spans="1:8">
      <c r="A71" s="845"/>
      <c r="B71" s="750" t="s">
        <v>689</v>
      </c>
      <c r="C71" s="714"/>
      <c r="D71" s="714"/>
      <c r="E71" s="715">
        <f t="shared" si="3"/>
        <v>0</v>
      </c>
      <c r="F71" s="714"/>
      <c r="G71" s="714"/>
      <c r="H71" s="713">
        <f t="shared" si="5"/>
        <v>0</v>
      </c>
    </row>
    <row r="72" spans="1:8">
      <c r="A72" s="1328" t="s">
        <v>690</v>
      </c>
      <c r="B72" s="1329"/>
      <c r="C72" s="711">
        <f t="shared" ref="C72:H72" si="11">SUM(C73:C75)</f>
        <v>0</v>
      </c>
      <c r="D72" s="711">
        <f t="shared" si="11"/>
        <v>0</v>
      </c>
      <c r="E72" s="716">
        <f t="shared" si="11"/>
        <v>0</v>
      </c>
      <c r="F72" s="711">
        <f t="shared" si="11"/>
        <v>0</v>
      </c>
      <c r="G72" s="711">
        <f t="shared" si="11"/>
        <v>0</v>
      </c>
      <c r="H72" s="711">
        <f t="shared" si="11"/>
        <v>0</v>
      </c>
    </row>
    <row r="73" spans="1:8" ht="15.75" thickBot="1">
      <c r="A73" s="749"/>
      <c r="B73" s="685" t="s">
        <v>691</v>
      </c>
      <c r="C73" s="728"/>
      <c r="D73" s="728"/>
      <c r="E73" s="729">
        <f t="shared" si="3"/>
        <v>0</v>
      </c>
      <c r="F73" s="728"/>
      <c r="G73" s="728"/>
      <c r="H73" s="730">
        <f t="shared" si="5"/>
        <v>0</v>
      </c>
    </row>
    <row r="74" spans="1:8">
      <c r="A74" s="845"/>
      <c r="B74" s="750" t="s">
        <v>692</v>
      </c>
      <c r="C74" s="714"/>
      <c r="D74" s="714"/>
      <c r="E74" s="715">
        <f t="shared" si="3"/>
        <v>0</v>
      </c>
      <c r="F74" s="714"/>
      <c r="G74" s="714"/>
      <c r="H74" s="713">
        <f t="shared" si="5"/>
        <v>0</v>
      </c>
    </row>
    <row r="75" spans="1:8">
      <c r="A75" s="845"/>
      <c r="B75" s="750" t="s">
        <v>693</v>
      </c>
      <c r="C75" s="714"/>
      <c r="D75" s="714"/>
      <c r="E75" s="715">
        <f t="shared" si="3"/>
        <v>0</v>
      </c>
      <c r="F75" s="714"/>
      <c r="G75" s="714"/>
      <c r="H75" s="713">
        <f t="shared" si="5"/>
        <v>0</v>
      </c>
    </row>
    <row r="76" spans="1:8">
      <c r="A76" s="1328" t="s">
        <v>694</v>
      </c>
      <c r="B76" s="1329"/>
      <c r="C76" s="711">
        <f t="shared" ref="C76:H76" si="12">SUM(C77:C83)</f>
        <v>0</v>
      </c>
      <c r="D76" s="711">
        <f t="shared" si="12"/>
        <v>17771984</v>
      </c>
      <c r="E76" s="716">
        <f t="shared" si="12"/>
        <v>17771984</v>
      </c>
      <c r="F76" s="711">
        <f t="shared" si="12"/>
        <v>12333682</v>
      </c>
      <c r="G76" s="711">
        <f t="shared" si="12"/>
        <v>12333682</v>
      </c>
      <c r="H76" s="711">
        <f t="shared" si="12"/>
        <v>5438302</v>
      </c>
    </row>
    <row r="77" spans="1:8">
      <c r="A77" s="845"/>
      <c r="B77" s="750" t="s">
        <v>695</v>
      </c>
      <c r="C77" s="714">
        <f>+'ETCA II-04'!B74</f>
        <v>0</v>
      </c>
      <c r="D77" s="714">
        <f>+'ETCA II-04'!C74</f>
        <v>9999984</v>
      </c>
      <c r="E77" s="715">
        <f t="shared" si="3"/>
        <v>9999984</v>
      </c>
      <c r="F77" s="714">
        <f>+'ETCA II-04'!E74</f>
        <v>7499988</v>
      </c>
      <c r="G77" s="714">
        <f>+'ETCA II-04'!F74</f>
        <v>7499988</v>
      </c>
      <c r="H77" s="713">
        <f t="shared" si="5"/>
        <v>2499996</v>
      </c>
    </row>
    <row r="78" spans="1:8">
      <c r="A78" s="845"/>
      <c r="B78" s="750" t="s">
        <v>696</v>
      </c>
      <c r="C78" s="714">
        <f>+'ETCA II-04'!B75</f>
        <v>0</v>
      </c>
      <c r="D78" s="714">
        <f>+'ETCA II-04'!C75</f>
        <v>7772000</v>
      </c>
      <c r="E78" s="715">
        <f t="shared" ref="E78:E83" si="13">C78+D78</f>
        <v>7772000</v>
      </c>
      <c r="F78" s="714">
        <f>+'ETCA II-04'!E75</f>
        <v>4833694</v>
      </c>
      <c r="G78" s="714">
        <f>+'ETCA II-04'!F75</f>
        <v>4833694</v>
      </c>
      <c r="H78" s="713">
        <f t="shared" si="5"/>
        <v>2938306</v>
      </c>
    </row>
    <row r="79" spans="1:8">
      <c r="A79" s="845"/>
      <c r="B79" s="750" t="s">
        <v>697</v>
      </c>
      <c r="C79" s="714"/>
      <c r="D79" s="714"/>
      <c r="E79" s="715">
        <f t="shared" si="13"/>
        <v>0</v>
      </c>
      <c r="F79" s="714"/>
      <c r="G79" s="714"/>
      <c r="H79" s="713">
        <f t="shared" si="5"/>
        <v>0</v>
      </c>
    </row>
    <row r="80" spans="1:8">
      <c r="A80" s="845"/>
      <c r="B80" s="750" t="s">
        <v>698</v>
      </c>
      <c r="C80" s="714"/>
      <c r="D80" s="714"/>
      <c r="E80" s="715">
        <f t="shared" si="13"/>
        <v>0</v>
      </c>
      <c r="F80" s="714"/>
      <c r="G80" s="714"/>
      <c r="H80" s="713">
        <f t="shared" si="5"/>
        <v>0</v>
      </c>
    </row>
    <row r="81" spans="1:8">
      <c r="A81" s="845"/>
      <c r="B81" s="750" t="s">
        <v>699</v>
      </c>
      <c r="C81" s="714"/>
      <c r="D81" s="714"/>
      <c r="E81" s="715">
        <f t="shared" si="13"/>
        <v>0</v>
      </c>
      <c r="F81" s="714"/>
      <c r="G81" s="714"/>
      <c r="H81" s="713">
        <f t="shared" si="5"/>
        <v>0</v>
      </c>
    </row>
    <row r="82" spans="1:8">
      <c r="A82" s="845"/>
      <c r="B82" s="750" t="s">
        <v>700</v>
      </c>
      <c r="C82" s="714"/>
      <c r="D82" s="714"/>
      <c r="E82" s="715">
        <f t="shared" si="13"/>
        <v>0</v>
      </c>
      <c r="F82" s="714"/>
      <c r="G82" s="714"/>
      <c r="H82" s="713">
        <f t="shared" si="5"/>
        <v>0</v>
      </c>
    </row>
    <row r="83" spans="1:8">
      <c r="A83" s="845"/>
      <c r="B83" s="750" t="s">
        <v>701</v>
      </c>
      <c r="C83" s="714"/>
      <c r="D83" s="714"/>
      <c r="E83" s="715">
        <f t="shared" si="13"/>
        <v>0</v>
      </c>
      <c r="F83" s="714"/>
      <c r="G83" s="714"/>
      <c r="H83" s="713">
        <f t="shared" si="5"/>
        <v>0</v>
      </c>
    </row>
    <row r="84" spans="1:8">
      <c r="A84" s="1328" t="s">
        <v>702</v>
      </c>
      <c r="B84" s="1329"/>
      <c r="C84" s="711">
        <f t="shared" ref="C84:H84" si="14">+C85+C93+C103+C113+C123+C133+C137+C146+C150</f>
        <v>0</v>
      </c>
      <c r="D84" s="711">
        <f t="shared" si="14"/>
        <v>0</v>
      </c>
      <c r="E84" s="716">
        <f t="shared" si="14"/>
        <v>0</v>
      </c>
      <c r="F84" s="711">
        <f t="shared" si="14"/>
        <v>0</v>
      </c>
      <c r="G84" s="711">
        <f t="shared" si="14"/>
        <v>0</v>
      </c>
      <c r="H84" s="711">
        <f t="shared" si="14"/>
        <v>0</v>
      </c>
    </row>
    <row r="85" spans="1:8">
      <c r="A85" s="1328" t="s">
        <v>629</v>
      </c>
      <c r="B85" s="1329"/>
      <c r="C85" s="711">
        <f t="shared" ref="C85:H85" si="15">SUM(C86:C92)</f>
        <v>0</v>
      </c>
      <c r="D85" s="711">
        <f t="shared" si="15"/>
        <v>0</v>
      </c>
      <c r="E85" s="716">
        <f t="shared" si="15"/>
        <v>0</v>
      </c>
      <c r="F85" s="711">
        <f t="shared" si="15"/>
        <v>0</v>
      </c>
      <c r="G85" s="711">
        <f t="shared" si="15"/>
        <v>0</v>
      </c>
      <c r="H85" s="711">
        <f t="shared" si="15"/>
        <v>0</v>
      </c>
    </row>
    <row r="86" spans="1:8">
      <c r="A86" s="845"/>
      <c r="B86" s="750" t="s">
        <v>630</v>
      </c>
      <c r="C86" s="714"/>
      <c r="D86" s="714"/>
      <c r="E86" s="715">
        <f t="shared" ref="E86:E92" si="16">C86+D86</f>
        <v>0</v>
      </c>
      <c r="F86" s="714"/>
      <c r="G86" s="714"/>
      <c r="H86" s="713">
        <f t="shared" ref="H86:H149" si="17">+E86-F86</f>
        <v>0</v>
      </c>
    </row>
    <row r="87" spans="1:8">
      <c r="A87" s="845"/>
      <c r="B87" s="750" t="s">
        <v>631</v>
      </c>
      <c r="C87" s="714"/>
      <c r="D87" s="714"/>
      <c r="E87" s="715">
        <f t="shared" si="16"/>
        <v>0</v>
      </c>
      <c r="F87" s="714"/>
      <c r="G87" s="714"/>
      <c r="H87" s="713">
        <f t="shared" si="17"/>
        <v>0</v>
      </c>
    </row>
    <row r="88" spans="1:8">
      <c r="A88" s="845"/>
      <c r="B88" s="750" t="s">
        <v>632</v>
      </c>
      <c r="C88" s="714"/>
      <c r="D88" s="714"/>
      <c r="E88" s="715">
        <f t="shared" si="16"/>
        <v>0</v>
      </c>
      <c r="F88" s="714"/>
      <c r="G88" s="714"/>
      <c r="H88" s="713">
        <f t="shared" si="17"/>
        <v>0</v>
      </c>
    </row>
    <row r="89" spans="1:8">
      <c r="A89" s="845"/>
      <c r="B89" s="750" t="s">
        <v>633</v>
      </c>
      <c r="C89" s="714"/>
      <c r="D89" s="714"/>
      <c r="E89" s="715">
        <f t="shared" si="16"/>
        <v>0</v>
      </c>
      <c r="F89" s="714"/>
      <c r="G89" s="714"/>
      <c r="H89" s="713">
        <f t="shared" si="17"/>
        <v>0</v>
      </c>
    </row>
    <row r="90" spans="1:8">
      <c r="A90" s="845"/>
      <c r="B90" s="750" t="s">
        <v>634</v>
      </c>
      <c r="C90" s="714"/>
      <c r="D90" s="714"/>
      <c r="E90" s="715">
        <f t="shared" si="16"/>
        <v>0</v>
      </c>
      <c r="F90" s="714"/>
      <c r="G90" s="714"/>
      <c r="H90" s="713">
        <f t="shared" si="17"/>
        <v>0</v>
      </c>
    </row>
    <row r="91" spans="1:8">
      <c r="A91" s="845"/>
      <c r="B91" s="750" t="s">
        <v>635</v>
      </c>
      <c r="C91" s="714"/>
      <c r="D91" s="714"/>
      <c r="E91" s="715">
        <f t="shared" si="16"/>
        <v>0</v>
      </c>
      <c r="F91" s="714"/>
      <c r="G91" s="714"/>
      <c r="H91" s="713">
        <f t="shared" si="17"/>
        <v>0</v>
      </c>
    </row>
    <row r="92" spans="1:8">
      <c r="A92" s="845"/>
      <c r="B92" s="750" t="s">
        <v>636</v>
      </c>
      <c r="C92" s="714"/>
      <c r="D92" s="714"/>
      <c r="E92" s="715">
        <f t="shared" si="16"/>
        <v>0</v>
      </c>
      <c r="F92" s="714"/>
      <c r="G92" s="714"/>
      <c r="H92" s="713">
        <f t="shared" si="17"/>
        <v>0</v>
      </c>
    </row>
    <row r="93" spans="1:8">
      <c r="A93" s="1328" t="s">
        <v>637</v>
      </c>
      <c r="B93" s="1329"/>
      <c r="C93" s="711">
        <f t="shared" ref="C93:H93" si="18">SUM(C94:C102)</f>
        <v>0</v>
      </c>
      <c r="D93" s="711">
        <f t="shared" si="18"/>
        <v>0</v>
      </c>
      <c r="E93" s="716">
        <f t="shared" si="18"/>
        <v>0</v>
      </c>
      <c r="F93" s="711">
        <f t="shared" si="18"/>
        <v>0</v>
      </c>
      <c r="G93" s="711">
        <f t="shared" si="18"/>
        <v>0</v>
      </c>
      <c r="H93" s="711">
        <f t="shared" si="18"/>
        <v>0</v>
      </c>
    </row>
    <row r="94" spans="1:8">
      <c r="A94" s="845"/>
      <c r="B94" s="750" t="s">
        <v>638</v>
      </c>
      <c r="C94" s="714"/>
      <c r="D94" s="714"/>
      <c r="E94" s="715">
        <f t="shared" ref="E94:E102" si="19">C94+D94</f>
        <v>0</v>
      </c>
      <c r="F94" s="714"/>
      <c r="G94" s="714"/>
      <c r="H94" s="713">
        <f t="shared" si="17"/>
        <v>0</v>
      </c>
    </row>
    <row r="95" spans="1:8">
      <c r="A95" s="845"/>
      <c r="B95" s="750" t="s">
        <v>639</v>
      </c>
      <c r="C95" s="714"/>
      <c r="D95" s="714"/>
      <c r="E95" s="715">
        <f t="shared" si="19"/>
        <v>0</v>
      </c>
      <c r="F95" s="714"/>
      <c r="G95" s="714"/>
      <c r="H95" s="713">
        <f t="shared" si="17"/>
        <v>0</v>
      </c>
    </row>
    <row r="96" spans="1:8">
      <c r="A96" s="845"/>
      <c r="B96" s="750" t="s">
        <v>640</v>
      </c>
      <c r="C96" s="714"/>
      <c r="D96" s="714"/>
      <c r="E96" s="715">
        <f t="shared" si="19"/>
        <v>0</v>
      </c>
      <c r="F96" s="714"/>
      <c r="G96" s="714"/>
      <c r="H96" s="713">
        <f t="shared" si="17"/>
        <v>0</v>
      </c>
    </row>
    <row r="97" spans="1:8">
      <c r="A97" s="845"/>
      <c r="B97" s="750" t="s">
        <v>641</v>
      </c>
      <c r="C97" s="714"/>
      <c r="D97" s="714"/>
      <c r="E97" s="715">
        <f t="shared" si="19"/>
        <v>0</v>
      </c>
      <c r="F97" s="714"/>
      <c r="G97" s="714"/>
      <c r="H97" s="713">
        <f t="shared" si="17"/>
        <v>0</v>
      </c>
    </row>
    <row r="98" spans="1:8">
      <c r="A98" s="845"/>
      <c r="B98" s="750" t="s">
        <v>642</v>
      </c>
      <c r="C98" s="714"/>
      <c r="D98" s="714"/>
      <c r="E98" s="715">
        <f t="shared" si="19"/>
        <v>0</v>
      </c>
      <c r="F98" s="714"/>
      <c r="G98" s="714"/>
      <c r="H98" s="713">
        <f t="shared" si="17"/>
        <v>0</v>
      </c>
    </row>
    <row r="99" spans="1:8">
      <c r="A99" s="845"/>
      <c r="B99" s="750" t="s">
        <v>643</v>
      </c>
      <c r="C99" s="714"/>
      <c r="D99" s="714"/>
      <c r="E99" s="715">
        <f t="shared" si="19"/>
        <v>0</v>
      </c>
      <c r="F99" s="714"/>
      <c r="G99" s="714"/>
      <c r="H99" s="713">
        <f t="shared" si="17"/>
        <v>0</v>
      </c>
    </row>
    <row r="100" spans="1:8">
      <c r="A100" s="845"/>
      <c r="B100" s="750" t="s">
        <v>644</v>
      </c>
      <c r="C100" s="714"/>
      <c r="D100" s="714"/>
      <c r="E100" s="715">
        <f t="shared" si="19"/>
        <v>0</v>
      </c>
      <c r="F100" s="714"/>
      <c r="G100" s="714"/>
      <c r="H100" s="713">
        <f t="shared" si="17"/>
        <v>0</v>
      </c>
    </row>
    <row r="101" spans="1:8">
      <c r="A101" s="845"/>
      <c r="B101" s="750" t="s">
        <v>645</v>
      </c>
      <c r="C101" s="714"/>
      <c r="D101" s="714"/>
      <c r="E101" s="715">
        <f t="shared" si="19"/>
        <v>0</v>
      </c>
      <c r="F101" s="714"/>
      <c r="G101" s="714"/>
      <c r="H101" s="713">
        <f t="shared" si="17"/>
        <v>0</v>
      </c>
    </row>
    <row r="102" spans="1:8">
      <c r="A102" s="845"/>
      <c r="B102" s="750" t="s">
        <v>646</v>
      </c>
      <c r="C102" s="714"/>
      <c r="D102" s="714"/>
      <c r="E102" s="715">
        <f t="shared" si="19"/>
        <v>0</v>
      </c>
      <c r="F102" s="714"/>
      <c r="G102" s="714"/>
      <c r="H102" s="713">
        <f t="shared" si="17"/>
        <v>0</v>
      </c>
    </row>
    <row r="103" spans="1:8">
      <c r="A103" s="1328" t="s">
        <v>647</v>
      </c>
      <c r="B103" s="1329"/>
      <c r="C103" s="711">
        <f t="shared" ref="C103:H103" si="20">SUM(C104:C112)</f>
        <v>0</v>
      </c>
      <c r="D103" s="711">
        <f t="shared" si="20"/>
        <v>0</v>
      </c>
      <c r="E103" s="716">
        <f t="shared" si="20"/>
        <v>0</v>
      </c>
      <c r="F103" s="711">
        <f t="shared" si="20"/>
        <v>0</v>
      </c>
      <c r="G103" s="711">
        <f t="shared" si="20"/>
        <v>0</v>
      </c>
      <c r="H103" s="711">
        <f t="shared" si="20"/>
        <v>0</v>
      </c>
    </row>
    <row r="104" spans="1:8">
      <c r="A104" s="845"/>
      <c r="B104" s="750" t="s">
        <v>648</v>
      </c>
      <c r="C104" s="714"/>
      <c r="D104" s="714"/>
      <c r="E104" s="715">
        <f t="shared" ref="E104:E112" si="21">C104+D104</f>
        <v>0</v>
      </c>
      <c r="F104" s="714"/>
      <c r="G104" s="714"/>
      <c r="H104" s="713">
        <f t="shared" si="17"/>
        <v>0</v>
      </c>
    </row>
    <row r="105" spans="1:8">
      <c r="A105" s="845"/>
      <c r="B105" s="750" t="s">
        <v>649</v>
      </c>
      <c r="C105" s="714"/>
      <c r="D105" s="714"/>
      <c r="E105" s="715">
        <f t="shared" si="21"/>
        <v>0</v>
      </c>
      <c r="F105" s="714"/>
      <c r="G105" s="714"/>
      <c r="H105" s="713">
        <f t="shared" si="17"/>
        <v>0</v>
      </c>
    </row>
    <row r="106" spans="1:8">
      <c r="A106" s="845"/>
      <c r="B106" s="750" t="s">
        <v>650</v>
      </c>
      <c r="C106" s="714"/>
      <c r="D106" s="714"/>
      <c r="E106" s="715">
        <f t="shared" si="21"/>
        <v>0</v>
      </c>
      <c r="F106" s="714"/>
      <c r="G106" s="714"/>
      <c r="H106" s="713">
        <f t="shared" si="17"/>
        <v>0</v>
      </c>
    </row>
    <row r="107" spans="1:8">
      <c r="A107" s="845"/>
      <c r="B107" s="750" t="s">
        <v>651</v>
      </c>
      <c r="C107" s="714"/>
      <c r="D107" s="714"/>
      <c r="E107" s="715">
        <f t="shared" si="21"/>
        <v>0</v>
      </c>
      <c r="F107" s="714"/>
      <c r="G107" s="714"/>
      <c r="H107" s="713">
        <f t="shared" si="17"/>
        <v>0</v>
      </c>
    </row>
    <row r="108" spans="1:8" ht="15.75" thickBot="1">
      <c r="A108" s="749"/>
      <c r="B108" s="685" t="s">
        <v>652</v>
      </c>
      <c r="C108" s="728"/>
      <c r="D108" s="728"/>
      <c r="E108" s="729">
        <f t="shared" si="21"/>
        <v>0</v>
      </c>
      <c r="F108" s="728"/>
      <c r="G108" s="728"/>
      <c r="H108" s="730">
        <f t="shared" si="17"/>
        <v>0</v>
      </c>
    </row>
    <row r="109" spans="1:8">
      <c r="A109" s="845"/>
      <c r="B109" s="750" t="s">
        <v>653</v>
      </c>
      <c r="C109" s="714"/>
      <c r="D109" s="714"/>
      <c r="E109" s="715">
        <f t="shared" si="21"/>
        <v>0</v>
      </c>
      <c r="F109" s="714"/>
      <c r="G109" s="714"/>
      <c r="H109" s="713">
        <f t="shared" si="17"/>
        <v>0</v>
      </c>
    </row>
    <row r="110" spans="1:8">
      <c r="A110" s="845"/>
      <c r="B110" s="750" t="s">
        <v>654</v>
      </c>
      <c r="C110" s="714"/>
      <c r="D110" s="714"/>
      <c r="E110" s="715">
        <f t="shared" si="21"/>
        <v>0</v>
      </c>
      <c r="F110" s="714"/>
      <c r="G110" s="714"/>
      <c r="H110" s="713">
        <f t="shared" si="17"/>
        <v>0</v>
      </c>
    </row>
    <row r="111" spans="1:8">
      <c r="A111" s="845"/>
      <c r="B111" s="750" t="s">
        <v>655</v>
      </c>
      <c r="C111" s="714"/>
      <c r="D111" s="714"/>
      <c r="E111" s="715">
        <f t="shared" si="21"/>
        <v>0</v>
      </c>
      <c r="F111" s="714"/>
      <c r="G111" s="714"/>
      <c r="H111" s="713">
        <f t="shared" si="17"/>
        <v>0</v>
      </c>
    </row>
    <row r="112" spans="1:8">
      <c r="A112" s="845"/>
      <c r="B112" s="750" t="s">
        <v>656</v>
      </c>
      <c r="C112" s="714"/>
      <c r="D112" s="714"/>
      <c r="E112" s="715">
        <f t="shared" si="21"/>
        <v>0</v>
      </c>
      <c r="F112" s="714"/>
      <c r="G112" s="714"/>
      <c r="H112" s="713">
        <f t="shared" si="17"/>
        <v>0</v>
      </c>
    </row>
    <row r="113" spans="1:8">
      <c r="A113" s="1328" t="s">
        <v>657</v>
      </c>
      <c r="B113" s="1329"/>
      <c r="C113" s="711">
        <f t="shared" ref="C113:H113" si="22">SUM(C114:C122)</f>
        <v>0</v>
      </c>
      <c r="D113" s="711">
        <f t="shared" si="22"/>
        <v>0</v>
      </c>
      <c r="E113" s="716">
        <f t="shared" si="22"/>
        <v>0</v>
      </c>
      <c r="F113" s="711">
        <f t="shared" si="22"/>
        <v>0</v>
      </c>
      <c r="G113" s="711">
        <f t="shared" si="22"/>
        <v>0</v>
      </c>
      <c r="H113" s="711">
        <f t="shared" si="22"/>
        <v>0</v>
      </c>
    </row>
    <row r="114" spans="1:8">
      <c r="A114" s="845"/>
      <c r="B114" s="750" t="s">
        <v>658</v>
      </c>
      <c r="C114" s="714"/>
      <c r="D114" s="714"/>
      <c r="E114" s="715">
        <f t="shared" ref="E114:E122" si="23">C114+D114</f>
        <v>0</v>
      </c>
      <c r="F114" s="714"/>
      <c r="G114" s="714"/>
      <c r="H114" s="713">
        <f t="shared" si="17"/>
        <v>0</v>
      </c>
    </row>
    <row r="115" spans="1:8">
      <c r="A115" s="845"/>
      <c r="B115" s="750" t="s">
        <v>659</v>
      </c>
      <c r="C115" s="714"/>
      <c r="D115" s="714"/>
      <c r="E115" s="715">
        <f t="shared" si="23"/>
        <v>0</v>
      </c>
      <c r="F115" s="714"/>
      <c r="G115" s="714"/>
      <c r="H115" s="713">
        <f t="shared" si="17"/>
        <v>0</v>
      </c>
    </row>
    <row r="116" spans="1:8">
      <c r="A116" s="845"/>
      <c r="B116" s="750" t="s">
        <v>660</v>
      </c>
      <c r="C116" s="714"/>
      <c r="D116" s="714"/>
      <c r="E116" s="715">
        <f t="shared" si="23"/>
        <v>0</v>
      </c>
      <c r="F116" s="714"/>
      <c r="G116" s="714"/>
      <c r="H116" s="713">
        <f t="shared" si="17"/>
        <v>0</v>
      </c>
    </row>
    <row r="117" spans="1:8">
      <c r="A117" s="845"/>
      <c r="B117" s="750" t="s">
        <v>661</v>
      </c>
      <c r="C117" s="714"/>
      <c r="D117" s="714"/>
      <c r="E117" s="715">
        <f t="shared" si="23"/>
        <v>0</v>
      </c>
      <c r="F117" s="714"/>
      <c r="G117" s="714"/>
      <c r="H117" s="713">
        <f t="shared" si="17"/>
        <v>0</v>
      </c>
    </row>
    <row r="118" spans="1:8">
      <c r="A118" s="845"/>
      <c r="B118" s="750" t="s">
        <v>662</v>
      </c>
      <c r="C118" s="714"/>
      <c r="D118" s="714"/>
      <c r="E118" s="715">
        <f t="shared" si="23"/>
        <v>0</v>
      </c>
      <c r="F118" s="714"/>
      <c r="G118" s="714"/>
      <c r="H118" s="713">
        <f t="shared" si="17"/>
        <v>0</v>
      </c>
    </row>
    <row r="119" spans="1:8">
      <c r="A119" s="845"/>
      <c r="B119" s="750" t="s">
        <v>663</v>
      </c>
      <c r="C119" s="714"/>
      <c r="D119" s="714"/>
      <c r="E119" s="715">
        <f t="shared" si="23"/>
        <v>0</v>
      </c>
      <c r="F119" s="714"/>
      <c r="G119" s="714"/>
      <c r="H119" s="713">
        <f t="shared" si="17"/>
        <v>0</v>
      </c>
    </row>
    <row r="120" spans="1:8">
      <c r="A120" s="845"/>
      <c r="B120" s="750" t="s">
        <v>664</v>
      </c>
      <c r="C120" s="714"/>
      <c r="D120" s="714"/>
      <c r="E120" s="715">
        <f t="shared" si="23"/>
        <v>0</v>
      </c>
      <c r="F120" s="714"/>
      <c r="G120" s="714"/>
      <c r="H120" s="713">
        <f t="shared" si="17"/>
        <v>0</v>
      </c>
    </row>
    <row r="121" spans="1:8">
      <c r="A121" s="845"/>
      <c r="B121" s="750" t="s">
        <v>665</v>
      </c>
      <c r="C121" s="714"/>
      <c r="D121" s="714"/>
      <c r="E121" s="715">
        <f t="shared" si="23"/>
        <v>0</v>
      </c>
      <c r="F121" s="714"/>
      <c r="G121" s="714"/>
      <c r="H121" s="713">
        <f t="shared" si="17"/>
        <v>0</v>
      </c>
    </row>
    <row r="122" spans="1:8">
      <c r="A122" s="845"/>
      <c r="B122" s="750" t="s">
        <v>666</v>
      </c>
      <c r="C122" s="714"/>
      <c r="D122" s="714"/>
      <c r="E122" s="715">
        <f t="shared" si="23"/>
        <v>0</v>
      </c>
      <c r="F122" s="714"/>
      <c r="G122" s="714"/>
      <c r="H122" s="713">
        <f t="shared" si="17"/>
        <v>0</v>
      </c>
    </row>
    <row r="123" spans="1:8">
      <c r="A123" s="1328" t="s">
        <v>667</v>
      </c>
      <c r="B123" s="1329"/>
      <c r="C123" s="711">
        <f t="shared" ref="C123:H123" si="24">SUM(C124:C132)</f>
        <v>0</v>
      </c>
      <c r="D123" s="711">
        <f t="shared" si="24"/>
        <v>0</v>
      </c>
      <c r="E123" s="716">
        <f t="shared" si="24"/>
        <v>0</v>
      </c>
      <c r="F123" s="711">
        <f t="shared" si="24"/>
        <v>0</v>
      </c>
      <c r="G123" s="711">
        <f t="shared" si="24"/>
        <v>0</v>
      </c>
      <c r="H123" s="711">
        <f t="shared" si="24"/>
        <v>0</v>
      </c>
    </row>
    <row r="124" spans="1:8">
      <c r="A124" s="845"/>
      <c r="B124" s="750" t="s">
        <v>668</v>
      </c>
      <c r="C124" s="714">
        <v>0</v>
      </c>
      <c r="D124" s="714"/>
      <c r="E124" s="715">
        <f t="shared" ref="E124:E132" si="25">C124+D124</f>
        <v>0</v>
      </c>
      <c r="F124" s="714"/>
      <c r="G124" s="714"/>
      <c r="H124" s="713">
        <f t="shared" si="17"/>
        <v>0</v>
      </c>
    </row>
    <row r="125" spans="1:8">
      <c r="A125" s="845"/>
      <c r="B125" s="750" t="s">
        <v>669</v>
      </c>
      <c r="C125" s="714"/>
      <c r="D125" s="714"/>
      <c r="E125" s="715">
        <f t="shared" si="25"/>
        <v>0</v>
      </c>
      <c r="F125" s="714"/>
      <c r="G125" s="714"/>
      <c r="H125" s="713">
        <f t="shared" si="17"/>
        <v>0</v>
      </c>
    </row>
    <row r="126" spans="1:8">
      <c r="A126" s="845"/>
      <c r="B126" s="750" t="s">
        <v>670</v>
      </c>
      <c r="C126" s="714"/>
      <c r="D126" s="714"/>
      <c r="E126" s="715">
        <f t="shared" si="25"/>
        <v>0</v>
      </c>
      <c r="F126" s="714"/>
      <c r="G126" s="714"/>
      <c r="H126" s="713">
        <f t="shared" si="17"/>
        <v>0</v>
      </c>
    </row>
    <row r="127" spans="1:8">
      <c r="A127" s="845"/>
      <c r="B127" s="750" t="s">
        <v>671</v>
      </c>
      <c r="C127" s="714"/>
      <c r="D127" s="714"/>
      <c r="E127" s="715">
        <f t="shared" si="25"/>
        <v>0</v>
      </c>
      <c r="F127" s="714"/>
      <c r="G127" s="714"/>
      <c r="H127" s="713">
        <f t="shared" si="17"/>
        <v>0</v>
      </c>
    </row>
    <row r="128" spans="1:8">
      <c r="A128" s="845"/>
      <c r="B128" s="750" t="s">
        <v>672</v>
      </c>
      <c r="C128" s="714"/>
      <c r="D128" s="714"/>
      <c r="E128" s="715">
        <f t="shared" si="25"/>
        <v>0</v>
      </c>
      <c r="F128" s="714"/>
      <c r="G128" s="714"/>
      <c r="H128" s="713">
        <f t="shared" si="17"/>
        <v>0</v>
      </c>
    </row>
    <row r="129" spans="1:8">
      <c r="A129" s="845"/>
      <c r="B129" s="750" t="s">
        <v>673</v>
      </c>
      <c r="C129" s="714"/>
      <c r="D129" s="714"/>
      <c r="E129" s="715">
        <f t="shared" si="25"/>
        <v>0</v>
      </c>
      <c r="F129" s="714"/>
      <c r="G129" s="714"/>
      <c r="H129" s="713">
        <f t="shared" si="17"/>
        <v>0</v>
      </c>
    </row>
    <row r="130" spans="1:8">
      <c r="A130" s="845"/>
      <c r="B130" s="750" t="s">
        <v>674</v>
      </c>
      <c r="C130" s="714"/>
      <c r="D130" s="714"/>
      <c r="E130" s="715">
        <f t="shared" si="25"/>
        <v>0</v>
      </c>
      <c r="F130" s="714"/>
      <c r="G130" s="714"/>
      <c r="H130" s="713">
        <f t="shared" si="17"/>
        <v>0</v>
      </c>
    </row>
    <row r="131" spans="1:8">
      <c r="A131" s="845"/>
      <c r="B131" s="750" t="s">
        <v>675</v>
      </c>
      <c r="C131" s="714"/>
      <c r="D131" s="714"/>
      <c r="E131" s="715">
        <f t="shared" si="25"/>
        <v>0</v>
      </c>
      <c r="F131" s="714"/>
      <c r="G131" s="714"/>
      <c r="H131" s="713">
        <f t="shared" si="17"/>
        <v>0</v>
      </c>
    </row>
    <row r="132" spans="1:8">
      <c r="A132" s="845"/>
      <c r="B132" s="750" t="s">
        <v>676</v>
      </c>
      <c r="C132" s="714"/>
      <c r="D132" s="714"/>
      <c r="E132" s="715">
        <f t="shared" si="25"/>
        <v>0</v>
      </c>
      <c r="F132" s="714"/>
      <c r="G132" s="714"/>
      <c r="H132" s="713">
        <f t="shared" si="17"/>
        <v>0</v>
      </c>
    </row>
    <row r="133" spans="1:8">
      <c r="A133" s="1328" t="s">
        <v>677</v>
      </c>
      <c r="B133" s="1329"/>
      <c r="C133" s="711">
        <f t="shared" ref="C133:H133" si="26">SUM(C134:C136)</f>
        <v>0</v>
      </c>
      <c r="D133" s="711">
        <f t="shared" si="26"/>
        <v>0</v>
      </c>
      <c r="E133" s="716">
        <f t="shared" si="26"/>
        <v>0</v>
      </c>
      <c r="F133" s="711">
        <f t="shared" si="26"/>
        <v>0</v>
      </c>
      <c r="G133" s="711">
        <f t="shared" si="26"/>
        <v>0</v>
      </c>
      <c r="H133" s="711">
        <f t="shared" si="26"/>
        <v>0</v>
      </c>
    </row>
    <row r="134" spans="1:8">
      <c r="A134" s="845"/>
      <c r="B134" s="750" t="s">
        <v>678</v>
      </c>
      <c r="C134" s="714"/>
      <c r="D134" s="714"/>
      <c r="E134" s="715">
        <f>C134+D134</f>
        <v>0</v>
      </c>
      <c r="F134" s="714"/>
      <c r="G134" s="714"/>
      <c r="H134" s="713">
        <f t="shared" si="17"/>
        <v>0</v>
      </c>
    </row>
    <row r="135" spans="1:8">
      <c r="A135" s="845"/>
      <c r="B135" s="750" t="s">
        <v>679</v>
      </c>
      <c r="C135" s="714"/>
      <c r="D135" s="714"/>
      <c r="E135" s="715">
        <f>C135+D135</f>
        <v>0</v>
      </c>
      <c r="F135" s="714"/>
      <c r="G135" s="714"/>
      <c r="H135" s="713">
        <f t="shared" si="17"/>
        <v>0</v>
      </c>
    </row>
    <row r="136" spans="1:8">
      <c r="A136" s="845"/>
      <c r="B136" s="750" t="s">
        <v>680</v>
      </c>
      <c r="C136" s="714"/>
      <c r="D136" s="714"/>
      <c r="E136" s="715">
        <f>C136+D136</f>
        <v>0</v>
      </c>
      <c r="F136" s="714"/>
      <c r="G136" s="714"/>
      <c r="H136" s="713">
        <f t="shared" si="17"/>
        <v>0</v>
      </c>
    </row>
    <row r="137" spans="1:8">
      <c r="A137" s="1328" t="s">
        <v>681</v>
      </c>
      <c r="B137" s="1329"/>
      <c r="C137" s="711">
        <f t="shared" ref="C137:H137" si="27">SUM(C138:C145)</f>
        <v>0</v>
      </c>
      <c r="D137" s="711">
        <f t="shared" si="27"/>
        <v>0</v>
      </c>
      <c r="E137" s="716">
        <f t="shared" si="27"/>
        <v>0</v>
      </c>
      <c r="F137" s="711">
        <f t="shared" si="27"/>
        <v>0</v>
      </c>
      <c r="G137" s="711">
        <f t="shared" si="27"/>
        <v>0</v>
      </c>
      <c r="H137" s="711">
        <f t="shared" si="27"/>
        <v>0</v>
      </c>
    </row>
    <row r="138" spans="1:8">
      <c r="A138" s="845"/>
      <c r="B138" s="750" t="s">
        <v>682</v>
      </c>
      <c r="C138" s="714"/>
      <c r="D138" s="714"/>
      <c r="E138" s="715">
        <f t="shared" ref="E138:E145" si="28">C138+D138</f>
        <v>0</v>
      </c>
      <c r="F138" s="714"/>
      <c r="G138" s="714"/>
      <c r="H138" s="713">
        <f t="shared" si="17"/>
        <v>0</v>
      </c>
    </row>
    <row r="139" spans="1:8">
      <c r="A139" s="845"/>
      <c r="B139" s="750" t="s">
        <v>683</v>
      </c>
      <c r="C139" s="714"/>
      <c r="D139" s="714"/>
      <c r="E139" s="715">
        <f t="shared" si="28"/>
        <v>0</v>
      </c>
      <c r="F139" s="714"/>
      <c r="G139" s="714"/>
      <c r="H139" s="713">
        <f t="shared" si="17"/>
        <v>0</v>
      </c>
    </row>
    <row r="140" spans="1:8">
      <c r="A140" s="845"/>
      <c r="B140" s="750" t="s">
        <v>684</v>
      </c>
      <c r="C140" s="714"/>
      <c r="D140" s="714"/>
      <c r="E140" s="715">
        <f t="shared" si="28"/>
        <v>0</v>
      </c>
      <c r="F140" s="714"/>
      <c r="G140" s="714"/>
      <c r="H140" s="713">
        <f t="shared" si="17"/>
        <v>0</v>
      </c>
    </row>
    <row r="141" spans="1:8">
      <c r="A141" s="845"/>
      <c r="B141" s="750" t="s">
        <v>685</v>
      </c>
      <c r="C141" s="714"/>
      <c r="D141" s="714"/>
      <c r="E141" s="715">
        <f t="shared" si="28"/>
        <v>0</v>
      </c>
      <c r="F141" s="714"/>
      <c r="G141" s="714"/>
      <c r="H141" s="713">
        <f t="shared" si="17"/>
        <v>0</v>
      </c>
    </row>
    <row r="142" spans="1:8">
      <c r="A142" s="845"/>
      <c r="B142" s="750" t="s">
        <v>686</v>
      </c>
      <c r="C142" s="714"/>
      <c r="D142" s="714"/>
      <c r="E142" s="715">
        <f t="shared" si="28"/>
        <v>0</v>
      </c>
      <c r="F142" s="714"/>
      <c r="G142" s="714"/>
      <c r="H142" s="713">
        <f t="shared" si="17"/>
        <v>0</v>
      </c>
    </row>
    <row r="143" spans="1:8" ht="15.75" thickBot="1">
      <c r="A143" s="749"/>
      <c r="B143" s="685" t="s">
        <v>687</v>
      </c>
      <c r="C143" s="728"/>
      <c r="D143" s="728"/>
      <c r="E143" s="729">
        <f t="shared" si="28"/>
        <v>0</v>
      </c>
      <c r="F143" s="728"/>
      <c r="G143" s="728"/>
      <c r="H143" s="730">
        <f t="shared" si="17"/>
        <v>0</v>
      </c>
    </row>
    <row r="144" spans="1:8">
      <c r="A144" s="845"/>
      <c r="B144" s="750" t="s">
        <v>688</v>
      </c>
      <c r="C144" s="714"/>
      <c r="D144" s="714"/>
      <c r="E144" s="715">
        <f t="shared" si="28"/>
        <v>0</v>
      </c>
      <c r="F144" s="714"/>
      <c r="G144" s="714"/>
      <c r="H144" s="713">
        <f t="shared" si="17"/>
        <v>0</v>
      </c>
    </row>
    <row r="145" spans="1:9">
      <c r="A145" s="845"/>
      <c r="B145" s="750" t="s">
        <v>689</v>
      </c>
      <c r="C145" s="714"/>
      <c r="D145" s="714"/>
      <c r="E145" s="715">
        <f t="shared" si="28"/>
        <v>0</v>
      </c>
      <c r="F145" s="714"/>
      <c r="G145" s="714"/>
      <c r="H145" s="713">
        <f t="shared" si="17"/>
        <v>0</v>
      </c>
    </row>
    <row r="146" spans="1:9">
      <c r="A146" s="1328" t="s">
        <v>690</v>
      </c>
      <c r="B146" s="1329"/>
      <c r="C146" s="711">
        <f t="shared" ref="C146:H146" si="29">SUM(C147:C149)</f>
        <v>0</v>
      </c>
      <c r="D146" s="711">
        <f t="shared" si="29"/>
        <v>0</v>
      </c>
      <c r="E146" s="716">
        <f t="shared" si="29"/>
        <v>0</v>
      </c>
      <c r="F146" s="711">
        <f t="shared" si="29"/>
        <v>0</v>
      </c>
      <c r="G146" s="711">
        <f t="shared" si="29"/>
        <v>0</v>
      </c>
      <c r="H146" s="711">
        <f t="shared" si="29"/>
        <v>0</v>
      </c>
    </row>
    <row r="147" spans="1:9">
      <c r="A147" s="845"/>
      <c r="B147" s="750" t="s">
        <v>691</v>
      </c>
      <c r="C147" s="714"/>
      <c r="D147" s="714"/>
      <c r="E147" s="715">
        <f>C147+D147</f>
        <v>0</v>
      </c>
      <c r="F147" s="714"/>
      <c r="G147" s="714"/>
      <c r="H147" s="713">
        <f t="shared" si="17"/>
        <v>0</v>
      </c>
    </row>
    <row r="148" spans="1:9">
      <c r="A148" s="845"/>
      <c r="B148" s="750" t="s">
        <v>692</v>
      </c>
      <c r="C148" s="714"/>
      <c r="D148" s="714"/>
      <c r="E148" s="715">
        <f>C148+D148</f>
        <v>0</v>
      </c>
      <c r="F148" s="714"/>
      <c r="G148" s="714"/>
      <c r="H148" s="713">
        <f t="shared" si="17"/>
        <v>0</v>
      </c>
    </row>
    <row r="149" spans="1:9">
      <c r="A149" s="845"/>
      <c r="B149" s="750" t="s">
        <v>693</v>
      </c>
      <c r="C149" s="714"/>
      <c r="D149" s="714"/>
      <c r="E149" s="715">
        <f>C149+D149</f>
        <v>0</v>
      </c>
      <c r="F149" s="714"/>
      <c r="G149" s="714"/>
      <c r="H149" s="713">
        <f t="shared" si="17"/>
        <v>0</v>
      </c>
    </row>
    <row r="150" spans="1:9">
      <c r="A150" s="1328" t="s">
        <v>694</v>
      </c>
      <c r="B150" s="1329"/>
      <c r="C150" s="711">
        <f t="shared" ref="C150:H150" si="30">SUM(C151:C157)</f>
        <v>0</v>
      </c>
      <c r="D150" s="711">
        <f t="shared" si="30"/>
        <v>0</v>
      </c>
      <c r="E150" s="716">
        <f t="shared" si="30"/>
        <v>0</v>
      </c>
      <c r="F150" s="711">
        <f t="shared" si="30"/>
        <v>0</v>
      </c>
      <c r="G150" s="711">
        <f t="shared" si="30"/>
        <v>0</v>
      </c>
      <c r="H150" s="711">
        <f t="shared" si="30"/>
        <v>0</v>
      </c>
    </row>
    <row r="151" spans="1:9">
      <c r="A151" s="845"/>
      <c r="B151" s="750" t="s">
        <v>695</v>
      </c>
      <c r="C151" s="714"/>
      <c r="D151" s="714"/>
      <c r="E151" s="715">
        <f t="shared" ref="E151:E158" si="31">C151+D151</f>
        <v>0</v>
      </c>
      <c r="F151" s="714"/>
      <c r="G151" s="714"/>
      <c r="H151" s="713">
        <f t="shared" ref="H151:H157" si="32">+E151-F151</f>
        <v>0</v>
      </c>
    </row>
    <row r="152" spans="1:9">
      <c r="A152" s="845"/>
      <c r="B152" s="750" t="s">
        <v>696</v>
      </c>
      <c r="C152" s="714"/>
      <c r="D152" s="714"/>
      <c r="E152" s="715">
        <f t="shared" si="31"/>
        <v>0</v>
      </c>
      <c r="F152" s="714"/>
      <c r="G152" s="714"/>
      <c r="H152" s="713">
        <f t="shared" si="32"/>
        <v>0</v>
      </c>
    </row>
    <row r="153" spans="1:9">
      <c r="A153" s="845"/>
      <c r="B153" s="750" t="s">
        <v>697</v>
      </c>
      <c r="C153" s="714"/>
      <c r="D153" s="714"/>
      <c r="E153" s="715">
        <f t="shared" si="31"/>
        <v>0</v>
      </c>
      <c r="F153" s="714"/>
      <c r="G153" s="714"/>
      <c r="H153" s="713">
        <f t="shared" si="32"/>
        <v>0</v>
      </c>
    </row>
    <row r="154" spans="1:9">
      <c r="A154" s="845"/>
      <c r="B154" s="750" t="s">
        <v>698</v>
      </c>
      <c r="C154" s="714"/>
      <c r="D154" s="714"/>
      <c r="E154" s="715">
        <f t="shared" si="31"/>
        <v>0</v>
      </c>
      <c r="F154" s="714"/>
      <c r="G154" s="714"/>
      <c r="H154" s="713">
        <f t="shared" si="32"/>
        <v>0</v>
      </c>
    </row>
    <row r="155" spans="1:9">
      <c r="A155" s="845"/>
      <c r="B155" s="750" t="s">
        <v>699</v>
      </c>
      <c r="C155" s="714"/>
      <c r="D155" s="714"/>
      <c r="E155" s="715">
        <f t="shared" si="31"/>
        <v>0</v>
      </c>
      <c r="F155" s="714"/>
      <c r="G155" s="714"/>
      <c r="H155" s="713">
        <f t="shared" si="32"/>
        <v>0</v>
      </c>
      <c r="I155" s="525" t="str">
        <f>IF((C159-'ETCA II-04'!B81)&gt;0.9,"ERROR!!!!! EL MONTO NO COINCIDE CON LO REPORTADO EN EL FORMATO ETCA-II-04 EN EL TOTAL DEL GASTO","")</f>
        <v/>
      </c>
    </row>
    <row r="156" spans="1:9">
      <c r="A156" s="845"/>
      <c r="B156" s="750" t="s">
        <v>700</v>
      </c>
      <c r="C156" s="714"/>
      <c r="D156" s="714"/>
      <c r="E156" s="715">
        <f t="shared" si="31"/>
        <v>0</v>
      </c>
      <c r="F156" s="714"/>
      <c r="G156" s="714"/>
      <c r="H156" s="713">
        <f t="shared" si="32"/>
        <v>0</v>
      </c>
      <c r="I156" s="525" t="str">
        <f>IF((D159-'ETCA II-04'!C81)&gt;0.9,"ERROR!!!!! EL MONTO NO COINCIDE CON LO REPORTADO EN EL FORMATO ETCA-II-04 EN EL TOTAL DEL GASTO","")</f>
        <v/>
      </c>
    </row>
    <row r="157" spans="1:9">
      <c r="A157" s="845"/>
      <c r="B157" s="750" t="s">
        <v>701</v>
      </c>
      <c r="C157" s="714"/>
      <c r="D157" s="714"/>
      <c r="E157" s="715">
        <f t="shared" si="31"/>
        <v>0</v>
      </c>
      <c r="F157" s="714"/>
      <c r="G157" s="714"/>
      <c r="H157" s="713">
        <f t="shared" si="32"/>
        <v>0</v>
      </c>
      <c r="I157" s="525" t="str">
        <f>IF((E159-'ETCA II-04'!D81)&gt;0.9,"ERROR!!!!! EL MONTO NO COINCIDE CON LO REPORTADO EN EL FORMATO ETCA-II-04 EN EL TOTAL DEL GASTO","")</f>
        <v/>
      </c>
    </row>
    <row r="158" spans="1:9">
      <c r="A158" s="845"/>
      <c r="B158" s="750"/>
      <c r="C158" s="712"/>
      <c r="D158" s="712"/>
      <c r="E158" s="715">
        <f t="shared" si="31"/>
        <v>0</v>
      </c>
      <c r="F158" s="712"/>
      <c r="G158" s="712"/>
      <c r="H158" s="713"/>
      <c r="I158" s="525" t="str">
        <f>IF((H159-'ETCA II-04'!G81)&gt;0.9,"ERROR!!!!! EL MONTO NO COINCIDE CON LO REPORTADO EN EL FORMATO ETCA-II-04 EN EL TOTAL DEL GASTO","")</f>
        <v/>
      </c>
    </row>
    <row r="159" spans="1:9">
      <c r="A159" s="1328" t="s">
        <v>703</v>
      </c>
      <c r="B159" s="1329"/>
      <c r="C159" s="711">
        <f>+C10+C84</f>
        <v>115136460</v>
      </c>
      <c r="D159" s="711">
        <f>+D10+D84</f>
        <v>56707</v>
      </c>
      <c r="E159" s="716">
        <f>+E10+E84</f>
        <v>115193167</v>
      </c>
      <c r="F159" s="711">
        <f t="shared" ref="F159:G159" si="33">+F10+F84</f>
        <v>82444019</v>
      </c>
      <c r="G159" s="711">
        <f t="shared" si="33"/>
        <v>73560558</v>
      </c>
      <c r="H159" s="711">
        <f>+H10+H84</f>
        <v>32749149</v>
      </c>
      <c r="I159" s="525" t="str">
        <f>IF((F159-'ETCA II-04'!E81)&gt;0.9,"ERROR!!!!! EL MONTO NO COINCIDE CON LO REPORTADO EN EL FORMATO ETCA-II-04 EN EL TOTAL DEL GASTO","")</f>
        <v/>
      </c>
    </row>
    <row r="160" spans="1:9" ht="15.75" thickBot="1">
      <c r="A160" s="749"/>
      <c r="B160" s="685"/>
      <c r="C160" s="686"/>
      <c r="D160" s="686"/>
      <c r="E160" s="686"/>
      <c r="F160" s="686"/>
      <c r="G160" s="686"/>
      <c r="H160" s="687"/>
      <c r="I160" s="525" t="str">
        <f>IF((G159-'ETCA II-04'!F81)&gt;0.9,"ERROR!!!!! EL MONTO NO COINCIDE CON LO REPORTADO EN EL FORMATO ETCA-II-04 EN EL TOTAL DEL GASTO","")</f>
        <v/>
      </c>
    </row>
  </sheetData>
  <sheetProtection formatColumns="0" formatRows="0"/>
  <mergeCells count="30">
    <mergeCell ref="A29:B29"/>
    <mergeCell ref="A39:B39"/>
    <mergeCell ref="A49:B49"/>
    <mergeCell ref="A6:H6"/>
    <mergeCell ref="A1:H1"/>
    <mergeCell ref="A2:H2"/>
    <mergeCell ref="A3:H3"/>
    <mergeCell ref="A4:H4"/>
    <mergeCell ref="A5:H5"/>
    <mergeCell ref="A7:B8"/>
    <mergeCell ref="C7:G7"/>
    <mergeCell ref="H7:H8"/>
    <mergeCell ref="A10:B10"/>
    <mergeCell ref="A11:B11"/>
    <mergeCell ref="A19:B19"/>
    <mergeCell ref="A59:B59"/>
    <mergeCell ref="A63:B63"/>
    <mergeCell ref="A72:B72"/>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topLeftCell="A4" zoomScaleSheetLayoutView="100" workbookViewId="0">
      <selection activeCell="G16" sqref="G16"/>
    </sheetView>
  </sheetViews>
  <sheetFormatPr baseColWidth="10" defaultColWidth="11.28515625" defaultRowHeight="16.5"/>
  <cols>
    <col min="1" max="1" width="36.7109375" style="286" customWidth="1"/>
    <col min="2" max="2" width="13.7109375" style="286" customWidth="1"/>
    <col min="3" max="3" width="12" style="286" customWidth="1"/>
    <col min="4" max="4" width="13" style="286" customWidth="1"/>
    <col min="5" max="5" width="13.7109375" style="286" customWidth="1"/>
    <col min="6" max="6" width="15.7109375" style="286" customWidth="1"/>
    <col min="7" max="7" width="12.140625" style="286" customWidth="1"/>
    <col min="8" max="16384" width="11.28515625" style="286"/>
  </cols>
  <sheetData>
    <row r="1" spans="1:8">
      <c r="A1" s="1209" t="s">
        <v>23</v>
      </c>
      <c r="B1" s="1209"/>
      <c r="C1" s="1209"/>
      <c r="D1" s="1209"/>
      <c r="E1" s="1209"/>
      <c r="F1" s="1209"/>
      <c r="G1" s="1209"/>
    </row>
    <row r="2" spans="1:8" s="287" customFormat="1" ht="15.75">
      <c r="A2" s="1209" t="s">
        <v>559</v>
      </c>
      <c r="B2" s="1209"/>
      <c r="C2" s="1209"/>
      <c r="D2" s="1209"/>
      <c r="E2" s="1209"/>
      <c r="F2" s="1209"/>
      <c r="G2" s="1209"/>
    </row>
    <row r="3" spans="1:8" s="287" customFormat="1" ht="15.75">
      <c r="A3" s="1209" t="s">
        <v>704</v>
      </c>
      <c r="B3" s="1209"/>
      <c r="C3" s="1209"/>
      <c r="D3" s="1209"/>
      <c r="E3" s="1209"/>
      <c r="F3" s="1209"/>
      <c r="G3" s="1209"/>
    </row>
    <row r="4" spans="1:8" s="287" customFormat="1" ht="15.75">
      <c r="A4" s="1210" t="str">
        <f>'ETCA-I-01'!A3:G3</f>
        <v>TELEVISORA DE HERMOSILLO, S.A. DE C.V.</v>
      </c>
      <c r="B4" s="1210"/>
      <c r="C4" s="1210"/>
      <c r="D4" s="1210"/>
      <c r="E4" s="1210"/>
      <c r="F4" s="1210"/>
      <c r="G4" s="1210"/>
    </row>
    <row r="5" spans="1:8" s="287" customFormat="1">
      <c r="A5" s="1211" t="str">
        <f>'ETCA-I-03'!A4:D4</f>
        <v>Del 01 de Enero al 30 de Septiembre de 2018</v>
      </c>
      <c r="B5" s="1211"/>
      <c r="C5" s="1211"/>
      <c r="D5" s="1211"/>
      <c r="E5" s="1211"/>
      <c r="F5" s="1211"/>
      <c r="G5" s="1211"/>
    </row>
    <row r="6" spans="1:8" s="288" customFormat="1" ht="17.25" thickBot="1">
      <c r="A6" s="1327" t="s">
        <v>705</v>
      </c>
      <c r="B6" s="1327"/>
      <c r="C6" s="1327"/>
      <c r="D6" s="1327"/>
      <c r="E6" s="1327"/>
      <c r="F6" s="167"/>
      <c r="G6" s="783"/>
    </row>
    <row r="7" spans="1:8" s="289" customFormat="1" ht="38.25">
      <c r="A7" s="1270" t="s">
        <v>257</v>
      </c>
      <c r="B7" s="202" t="s">
        <v>563</v>
      </c>
      <c r="C7" s="202" t="s">
        <v>473</v>
      </c>
      <c r="D7" s="202" t="s">
        <v>564</v>
      </c>
      <c r="E7" s="203" t="s">
        <v>565</v>
      </c>
      <c r="F7" s="203" t="s">
        <v>566</v>
      </c>
      <c r="G7" s="204" t="s">
        <v>567</v>
      </c>
    </row>
    <row r="8" spans="1:8" s="290" customFormat="1" ht="15.75" customHeight="1" thickBot="1">
      <c r="A8" s="1272"/>
      <c r="B8" s="206" t="s">
        <v>438</v>
      </c>
      <c r="C8" s="206" t="s">
        <v>439</v>
      </c>
      <c r="D8" s="206" t="s">
        <v>568</v>
      </c>
      <c r="E8" s="206" t="s">
        <v>441</v>
      </c>
      <c r="F8" s="206" t="s">
        <v>442</v>
      </c>
      <c r="G8" s="208" t="s">
        <v>569</v>
      </c>
    </row>
    <row r="9" spans="1:8" ht="21.75" customHeight="1">
      <c r="A9" s="295" t="s">
        <v>706</v>
      </c>
      <c r="B9" s="473">
        <f>+'ETCA-II-13'!C10+'ETCA-II-13'!C49+'ETCA-II-13'!C70-3</f>
        <v>115136460</v>
      </c>
      <c r="C9" s="473">
        <f>+'ETCA-II-13'!D10+'ETCA-II-13'!D49+'ETCA-II-13'!D70</f>
        <v>-18193142</v>
      </c>
      <c r="D9" s="474">
        <f>C9+B9</f>
        <v>96943318</v>
      </c>
      <c r="E9" s="473">
        <f>+'ETCA-II-13'!F10+'ETCA-II-13'!F49+'ETCA-II-13'!F70</f>
        <v>69632474</v>
      </c>
      <c r="F9" s="473">
        <f>+'ETCA-II-13'!G10+'ETCA-II-13'!G49+'ETCA-II-13'!G70</f>
        <v>60749013</v>
      </c>
      <c r="G9" s="475">
        <f>D9-E9</f>
        <v>27310844</v>
      </c>
    </row>
    <row r="10" spans="1:8" ht="22.5" customHeight="1">
      <c r="A10" s="295" t="s">
        <v>707</v>
      </c>
      <c r="B10" s="473">
        <f>+'ETCA-II-13'!C119</f>
        <v>0</v>
      </c>
      <c r="C10" s="473">
        <f>+'ETCA-II-13'!D119</f>
        <v>477863</v>
      </c>
      <c r="D10" s="474">
        <f>C10+B10</f>
        <v>477863</v>
      </c>
      <c r="E10" s="473">
        <f>+'ETCA-II-13'!F119</f>
        <v>477863</v>
      </c>
      <c r="F10" s="473">
        <f>+'ETCA-II-13'!G119</f>
        <v>477863</v>
      </c>
      <c r="G10" s="475">
        <f>D10-E10</f>
        <v>0</v>
      </c>
    </row>
    <row r="11" spans="1:8" ht="22.5" customHeight="1">
      <c r="A11" s="295" t="s">
        <v>708</v>
      </c>
      <c r="B11" s="473">
        <f>+'ETCA-II-13'!C127</f>
        <v>0</v>
      </c>
      <c r="C11" s="473">
        <f>+'ETCA-II-13'!D127</f>
        <v>17771984</v>
      </c>
      <c r="D11" s="474">
        <f>C11+B11</f>
        <v>17771984</v>
      </c>
      <c r="E11" s="473">
        <f>+'ETCA-II-13'!F127</f>
        <v>12333682</v>
      </c>
      <c r="F11" s="473">
        <f>+'ETCA-II-13'!G127</f>
        <v>12333682</v>
      </c>
      <c r="G11" s="475">
        <f>D11-E11</f>
        <v>5438302</v>
      </c>
    </row>
    <row r="12" spans="1:8" ht="23.25" customHeight="1">
      <c r="A12" s="295" t="s">
        <v>229</v>
      </c>
      <c r="B12" s="473"/>
      <c r="C12" s="473"/>
      <c r="D12" s="474"/>
      <c r="E12" s="473"/>
      <c r="F12" s="473"/>
      <c r="G12" s="475">
        <f>D12-E12</f>
        <v>0</v>
      </c>
    </row>
    <row r="13" spans="1:8" ht="22.5" customHeight="1">
      <c r="A13" s="295" t="s">
        <v>235</v>
      </c>
      <c r="B13" s="473"/>
      <c r="C13" s="473"/>
      <c r="D13" s="474"/>
      <c r="E13" s="473"/>
      <c r="F13" s="473"/>
      <c r="G13" s="475">
        <f>D13-E13</f>
        <v>0</v>
      </c>
    </row>
    <row r="14" spans="1:8" ht="10.5" customHeight="1" thickBot="1">
      <c r="A14" s="296"/>
      <c r="B14" s="532"/>
      <c r="C14" s="532"/>
      <c r="D14" s="533"/>
      <c r="E14" s="532"/>
      <c r="F14" s="532"/>
      <c r="G14" s="534"/>
    </row>
    <row r="15" spans="1:8" ht="16.5" customHeight="1" thickBot="1">
      <c r="A15" s="796" t="s">
        <v>619</v>
      </c>
      <c r="B15" s="535">
        <f>SUM(B9:B14)</f>
        <v>115136460</v>
      </c>
      <c r="C15" s="535">
        <f>SUM(C9:C14)+2</f>
        <v>56707</v>
      </c>
      <c r="D15" s="536">
        <f>C15+B15</f>
        <v>115193167</v>
      </c>
      <c r="E15" s="535">
        <f>SUM(E9:E14)</f>
        <v>82444019</v>
      </c>
      <c r="F15" s="535">
        <f>SUM(F9:F14)</f>
        <v>73560558</v>
      </c>
      <c r="G15" s="537">
        <f>D15-E15+1</f>
        <v>32749149</v>
      </c>
      <c r="H15" s="525" t="str">
        <f>IF((B15-'ETCA II-04'!B81)&gt;0.9,"ERROR!!!!! EL MONTO NO COINCIDE CON LO REPORTADO EN EL FORMATO ETCA-II-04 EN EL TOTAL APROBADO ANUAL DEL ANALÍTICO DE EGRESOS","")</f>
        <v/>
      </c>
    </row>
    <row r="16" spans="1:8" ht="16.5" customHeight="1">
      <c r="A16" s="507"/>
      <c r="B16" s="596"/>
      <c r="C16" s="596"/>
      <c r="D16" s="597"/>
      <c r="E16" s="596"/>
      <c r="F16" s="596"/>
      <c r="G16" s="596"/>
      <c r="H16" s="525"/>
    </row>
    <row r="17" spans="1:8" ht="16.5" customHeight="1">
      <c r="A17" s="507"/>
      <c r="B17" s="596"/>
      <c r="C17" s="596"/>
      <c r="D17" s="597"/>
      <c r="E17" s="596"/>
      <c r="F17" s="596"/>
      <c r="G17" s="596"/>
      <c r="H17" s="525"/>
    </row>
    <row r="18" spans="1:8" ht="16.5" customHeight="1">
      <c r="A18" s="507"/>
      <c r="B18" s="596"/>
      <c r="C18" s="596"/>
      <c r="D18" s="597"/>
      <c r="E18" s="596"/>
      <c r="F18" s="596"/>
      <c r="G18" s="596"/>
      <c r="H18" s="525"/>
    </row>
    <row r="19" spans="1:8" ht="16.5" customHeight="1">
      <c r="A19" s="507"/>
      <c r="B19" s="596"/>
      <c r="C19" s="596"/>
      <c r="D19" s="597"/>
      <c r="E19" s="596"/>
      <c r="F19" s="596"/>
      <c r="G19" s="596"/>
      <c r="H19" s="525"/>
    </row>
    <row r="20" spans="1:8" ht="16.5" customHeight="1">
      <c r="A20" s="507"/>
      <c r="B20" s="596"/>
      <c r="C20" s="596"/>
      <c r="D20" s="597"/>
      <c r="E20" s="596"/>
      <c r="F20" s="596"/>
      <c r="G20" s="596"/>
      <c r="H20" s="525"/>
    </row>
    <row r="21" spans="1:8" ht="16.5" customHeight="1">
      <c r="A21" s="507"/>
      <c r="B21" s="596"/>
      <c r="C21" s="596"/>
      <c r="D21" s="597"/>
      <c r="E21" s="596"/>
      <c r="F21" s="596"/>
      <c r="G21" s="596"/>
      <c r="H21" s="525"/>
    </row>
    <row r="22" spans="1:8" ht="16.5" customHeight="1">
      <c r="A22" s="507"/>
      <c r="B22" s="596"/>
      <c r="C22" s="596"/>
      <c r="D22" s="597"/>
      <c r="E22" s="596"/>
      <c r="F22" s="596"/>
      <c r="G22" s="596"/>
      <c r="H22" s="525"/>
    </row>
    <row r="23" spans="1:8" ht="16.5" customHeight="1">
      <c r="A23" s="507"/>
      <c r="B23" s="596"/>
      <c r="C23" s="596"/>
      <c r="D23" s="597"/>
      <c r="E23" s="596"/>
      <c r="F23" s="596"/>
      <c r="G23" s="596"/>
      <c r="H23" s="525"/>
    </row>
    <row r="24" spans="1:8" ht="16.5" customHeight="1">
      <c r="A24" s="507"/>
      <c r="B24" s="596"/>
      <c r="C24" s="596"/>
      <c r="D24" s="597"/>
      <c r="E24" s="596"/>
      <c r="F24" s="596"/>
      <c r="G24" s="596"/>
      <c r="H24" s="525"/>
    </row>
    <row r="25" spans="1:8" ht="16.5" customHeight="1">
      <c r="A25" s="507"/>
      <c r="B25" s="596"/>
      <c r="C25" s="596"/>
      <c r="D25" s="597"/>
      <c r="E25" s="596"/>
      <c r="F25" s="596"/>
      <c r="G25" s="596"/>
      <c r="H25" s="525"/>
    </row>
    <row r="26" spans="1:8" ht="18.75" customHeight="1">
      <c r="H26" s="525" t="str">
        <f>IF(C15&lt;&gt;'ETCA II-04'!C81,"ERROR!!!!! EL MONTO NO COINCIDE CON LO REPORTADO EN EL FORMATO ETCA-II-11 EN EL TOTAL DE AMPLIACIONES/REDUCCIONES DEL ANALÍTICO DE EGRESOS","")</f>
        <v/>
      </c>
    </row>
    <row r="27" spans="1:8" s="292" customFormat="1" ht="15.75">
      <c r="A27" s="1353" t="s">
        <v>709</v>
      </c>
      <c r="B27" s="1353"/>
      <c r="C27" s="1353"/>
      <c r="D27" s="1353"/>
      <c r="E27" s="1353"/>
      <c r="F27" s="1353"/>
      <c r="G27" s="291"/>
      <c r="H27" s="525" t="str">
        <f>IF(D15&lt;&gt;'ETCA II-04'!D81,"ERROR!!!!! EL MONTO NO COINCIDE CON LO REPORTADO EN EL FORMATO ETCA-II-11 EN EL TOTAL MODIFICADO ANUAL DEL ANALÍTICO DE EGRESOS","")</f>
        <v/>
      </c>
    </row>
    <row r="28" spans="1:8" s="292" customFormat="1" ht="13.5">
      <c r="A28" s="293" t="s">
        <v>710</v>
      </c>
      <c r="B28" s="291"/>
      <c r="C28" s="291"/>
      <c r="D28" s="291"/>
      <c r="E28" s="291"/>
      <c r="F28" s="291"/>
      <c r="G28" s="291"/>
      <c r="H28" s="525"/>
    </row>
    <row r="29" spans="1:8" s="292" customFormat="1" ht="28.5" customHeight="1">
      <c r="A29" s="1352" t="s">
        <v>711</v>
      </c>
      <c r="B29" s="1352"/>
      <c r="C29" s="1352"/>
      <c r="D29" s="1352"/>
      <c r="E29" s="1352"/>
      <c r="F29" s="1352"/>
      <c r="G29" s="1352"/>
      <c r="H29" s="525" t="str">
        <f>IF(F15&lt;&gt;'ETCA II-04'!F81,"ERROR!!!!! EL MONTO NO COINCIDE CON LO REPORTADO EN EL FORMATO ETCA-II-11 EN EL TOTAL PAGADO ANUAL DEL ANALÍTICO DE EGRESOS","")</f>
        <v/>
      </c>
    </row>
    <row r="30" spans="1:8" s="292" customFormat="1" ht="13.5">
      <c r="A30" s="293" t="s">
        <v>712</v>
      </c>
      <c r="B30" s="291"/>
      <c r="C30" s="291"/>
      <c r="D30" s="291"/>
      <c r="E30" s="291"/>
      <c r="F30" s="291"/>
      <c r="G30" s="291"/>
      <c r="H30" s="525" t="str">
        <f>IF(G15&lt;&gt;'ETCA II-04'!G81,"ERROR!!!!! EL MONTO NO COINCIDE CON LO REPORTADO EN EL FORMATO ETCA-II-11 EN EL TOTAL DEL SUBEJERCICIO DEL ANALÍTICO DE EGRESOS","")</f>
        <v/>
      </c>
    </row>
    <row r="31" spans="1:8" s="292" customFormat="1" ht="25.5" customHeight="1">
      <c r="A31" s="1352" t="s">
        <v>713</v>
      </c>
      <c r="B31" s="1352"/>
      <c r="C31" s="1352"/>
      <c r="D31" s="1352"/>
      <c r="E31" s="1352"/>
      <c r="F31" s="1352"/>
      <c r="G31" s="1352"/>
    </row>
    <row r="32" spans="1:8" s="292" customFormat="1" ht="13.5">
      <c r="A32" s="1354" t="s">
        <v>714</v>
      </c>
      <c r="B32" s="1354"/>
      <c r="C32" s="1354"/>
      <c r="D32" s="1354"/>
      <c r="E32" s="291"/>
      <c r="F32" s="291"/>
      <c r="G32" s="291"/>
    </row>
    <row r="33" spans="1:7" s="292" customFormat="1" ht="13.5" customHeight="1">
      <c r="A33" s="1352" t="s">
        <v>715</v>
      </c>
      <c r="B33" s="1352"/>
      <c r="C33" s="1352"/>
      <c r="D33" s="1352"/>
      <c r="E33" s="1352"/>
      <c r="F33" s="1352"/>
      <c r="G33" s="1352"/>
    </row>
    <row r="34" spans="1:7" s="292" customFormat="1" ht="13.5">
      <c r="A34" s="293" t="s">
        <v>716</v>
      </c>
      <c r="B34" s="291"/>
      <c r="C34" s="291"/>
      <c r="D34" s="291"/>
      <c r="E34" s="291"/>
      <c r="F34" s="291"/>
      <c r="G34" s="291"/>
    </row>
    <row r="35" spans="1:7" s="292" customFormat="1" ht="13.5" customHeight="1">
      <c r="A35" s="1352" t="s">
        <v>717</v>
      </c>
      <c r="B35" s="1352"/>
      <c r="C35" s="1352"/>
      <c r="D35" s="1352"/>
      <c r="E35" s="1352"/>
      <c r="F35" s="1352"/>
      <c r="G35" s="1352"/>
    </row>
    <row r="36" spans="1:7" s="292" customFormat="1" ht="13.5">
      <c r="A36" s="294" t="s">
        <v>718</v>
      </c>
      <c r="B36" s="291"/>
      <c r="C36" s="291"/>
      <c r="D36" s="291"/>
      <c r="E36" s="291"/>
      <c r="F36" s="291"/>
      <c r="G36" s="291"/>
    </row>
    <row r="37" spans="1:7" s="292" customFormat="1" ht="13.5">
      <c r="A37" s="293" t="s">
        <v>719</v>
      </c>
      <c r="B37" s="291"/>
      <c r="C37" s="291"/>
      <c r="D37" s="291"/>
      <c r="E37" s="291"/>
      <c r="F37" s="291"/>
      <c r="G37" s="291"/>
    </row>
    <row r="38" spans="1:7" s="292" customFormat="1" ht="13.5" customHeight="1">
      <c r="A38" s="1352" t="s">
        <v>720</v>
      </c>
      <c r="B38" s="1352"/>
      <c r="C38" s="1352"/>
      <c r="D38" s="1352"/>
      <c r="E38" s="1352"/>
      <c r="F38" s="1352"/>
      <c r="G38" s="1352"/>
    </row>
    <row r="39" spans="1:7" s="292" customFormat="1" ht="13.5">
      <c r="A39" s="294" t="s">
        <v>718</v>
      </c>
      <c r="B39" s="291"/>
      <c r="C39" s="291"/>
      <c r="D39" s="291"/>
      <c r="E39" s="291"/>
      <c r="F39" s="291"/>
      <c r="G39" s="291"/>
    </row>
    <row r="40" spans="1:7" ht="8.25" customHeight="1"/>
  </sheetData>
  <sheetProtection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view="pageBreakPreview" topLeftCell="A16" zoomScaleSheetLayoutView="100" workbookViewId="0">
      <selection activeCell="F34" sqref="F34"/>
    </sheetView>
  </sheetViews>
  <sheetFormatPr baseColWidth="10" defaultColWidth="11.28515625" defaultRowHeight="16.5"/>
  <cols>
    <col min="1" max="1" width="51.140625" style="51" customWidth="1"/>
    <col min="2" max="2" width="16" style="51" customWidth="1"/>
    <col min="3" max="3" width="15.7109375" style="51" customWidth="1"/>
    <col min="4" max="4" width="38.7109375" style="51" customWidth="1"/>
    <col min="5" max="5" width="10.28515625" style="51" customWidth="1"/>
    <col min="6" max="6" width="15.28515625" style="51" bestFit="1" customWidth="1"/>
    <col min="7" max="7" width="15.7109375" style="51" customWidth="1"/>
    <col min="8" max="8" width="164.28515625" style="51" customWidth="1"/>
    <col min="9" max="16384" width="11.28515625" style="51"/>
  </cols>
  <sheetData>
    <row r="1" spans="1:7">
      <c r="A1" s="1182" t="s">
        <v>23</v>
      </c>
      <c r="B1" s="1182"/>
      <c r="C1" s="1182"/>
      <c r="D1" s="1182"/>
      <c r="E1" s="1182"/>
      <c r="F1" s="1182"/>
      <c r="G1" s="1182"/>
    </row>
    <row r="2" spans="1:7">
      <c r="A2" s="1183" t="s">
        <v>24</v>
      </c>
      <c r="B2" s="1183"/>
      <c r="C2" s="1183"/>
      <c r="D2" s="1183"/>
      <c r="E2" s="1183"/>
      <c r="F2" s="1183"/>
      <c r="G2" s="1183"/>
    </row>
    <row r="3" spans="1:7">
      <c r="A3" s="1183" t="s">
        <v>1105</v>
      </c>
      <c r="B3" s="1183"/>
      <c r="C3" s="1183"/>
      <c r="D3" s="1183"/>
      <c r="E3" s="1183"/>
      <c r="F3" s="1183"/>
      <c r="G3" s="1183"/>
    </row>
    <row r="4" spans="1:7">
      <c r="A4" s="1184" t="s">
        <v>1342</v>
      </c>
      <c r="B4" s="1184"/>
      <c r="C4" s="1184"/>
      <c r="D4" s="1184"/>
      <c r="E4" s="1184"/>
      <c r="F4" s="1184"/>
      <c r="G4" s="1184"/>
    </row>
    <row r="5" spans="1:7" ht="17.25" thickBot="1">
      <c r="A5" s="1186" t="s">
        <v>25</v>
      </c>
      <c r="B5" s="1186"/>
      <c r="C5" s="1186"/>
      <c r="D5" s="1186"/>
      <c r="E5" s="100"/>
      <c r="F5" s="1181"/>
      <c r="G5" s="1181"/>
    </row>
    <row r="6" spans="1:7" ht="24" customHeight="1" thickBot="1">
      <c r="A6" s="99" t="s">
        <v>26</v>
      </c>
      <c r="B6" s="853">
        <v>2018</v>
      </c>
      <c r="C6" s="853">
        <v>2017</v>
      </c>
      <c r="D6" s="122" t="s">
        <v>27</v>
      </c>
      <c r="E6" s="122"/>
      <c r="F6" s="853">
        <v>2018</v>
      </c>
      <c r="G6" s="854">
        <v>2017</v>
      </c>
    </row>
    <row r="7" spans="1:7" ht="17.25" thickTop="1">
      <c r="A7" s="56"/>
      <c r="B7" s="57"/>
      <c r="C7" s="57"/>
      <c r="D7" s="57"/>
      <c r="E7" s="57"/>
      <c r="F7" s="57"/>
      <c r="G7" s="58"/>
    </row>
    <row r="8" spans="1:7">
      <c r="A8" s="59" t="s">
        <v>28</v>
      </c>
      <c r="B8" s="60"/>
      <c r="C8" s="60"/>
      <c r="D8" s="62" t="s">
        <v>29</v>
      </c>
      <c r="E8" s="62"/>
      <c r="F8" s="60"/>
      <c r="G8" s="63"/>
    </row>
    <row r="9" spans="1:7">
      <c r="A9" s="64" t="s">
        <v>30</v>
      </c>
      <c r="B9" s="65">
        <v>1896281</v>
      </c>
      <c r="C9" s="65">
        <v>2827050</v>
      </c>
      <c r="D9" s="1185" t="s">
        <v>31</v>
      </c>
      <c r="E9" s="1185"/>
      <c r="F9" s="65">
        <v>29509651</v>
      </c>
      <c r="G9" s="67">
        <v>26159828</v>
      </c>
    </row>
    <row r="10" spans="1:7">
      <c r="A10" s="64" t="s">
        <v>32</v>
      </c>
      <c r="B10" s="65">
        <v>27501636</v>
      </c>
      <c r="C10" s="65">
        <v>32673106</v>
      </c>
      <c r="D10" s="1185" t="s">
        <v>33</v>
      </c>
      <c r="E10" s="1185"/>
      <c r="F10" s="65">
        <v>0</v>
      </c>
      <c r="G10" s="67">
        <v>0</v>
      </c>
    </row>
    <row r="11" spans="1:7">
      <c r="A11" s="64" t="s">
        <v>34</v>
      </c>
      <c r="B11" s="65">
        <v>109441</v>
      </c>
      <c r="C11" s="65">
        <v>69132</v>
      </c>
      <c r="D11" s="1185" t="s">
        <v>35</v>
      </c>
      <c r="E11" s="1185"/>
      <c r="F11" s="65">
        <v>9999984</v>
      </c>
      <c r="G11" s="67">
        <v>0</v>
      </c>
    </row>
    <row r="12" spans="1:7">
      <c r="A12" s="64" t="s">
        <v>36</v>
      </c>
      <c r="B12" s="65">
        <v>0</v>
      </c>
      <c r="C12" s="65">
        <v>0</v>
      </c>
      <c r="D12" s="1185" t="s">
        <v>37</v>
      </c>
      <c r="E12" s="1185"/>
      <c r="F12" s="65">
        <v>0</v>
      </c>
      <c r="G12" s="67">
        <v>0</v>
      </c>
    </row>
    <row r="13" spans="1:7">
      <c r="A13" s="64" t="s">
        <v>38</v>
      </c>
      <c r="B13" s="65">
        <v>0</v>
      </c>
      <c r="C13" s="65">
        <v>0</v>
      </c>
      <c r="D13" s="1185" t="s">
        <v>39</v>
      </c>
      <c r="E13" s="1185"/>
      <c r="F13" s="65">
        <v>0</v>
      </c>
      <c r="G13" s="67">
        <v>0</v>
      </c>
    </row>
    <row r="14" spans="1:7" ht="33" customHeight="1">
      <c r="A14" s="539" t="s">
        <v>40</v>
      </c>
      <c r="B14" s="65">
        <v>-148728</v>
      </c>
      <c r="C14" s="65">
        <v>-148728</v>
      </c>
      <c r="D14" s="1185" t="s">
        <v>41</v>
      </c>
      <c r="E14" s="1185"/>
      <c r="F14" s="65">
        <v>0</v>
      </c>
      <c r="G14" s="67">
        <v>0</v>
      </c>
    </row>
    <row r="15" spans="1:7">
      <c r="A15" s="64" t="s">
        <v>42</v>
      </c>
      <c r="B15" s="65">
        <v>0</v>
      </c>
      <c r="C15" s="65">
        <v>0</v>
      </c>
      <c r="D15" s="1185" t="s">
        <v>43</v>
      </c>
      <c r="E15" s="1185"/>
      <c r="F15" s="65">
        <v>0</v>
      </c>
      <c r="G15" s="67">
        <v>0</v>
      </c>
    </row>
    <row r="16" spans="1:7">
      <c r="A16" s="69"/>
      <c r="B16" s="65"/>
      <c r="C16" s="65"/>
      <c r="D16" s="1185" t="s">
        <v>44</v>
      </c>
      <c r="E16" s="1185"/>
      <c r="F16" s="65">
        <v>0</v>
      </c>
      <c r="G16" s="67">
        <v>0</v>
      </c>
    </row>
    <row r="17" spans="1:7">
      <c r="A17" s="69"/>
      <c r="B17" s="70"/>
      <c r="C17" s="70"/>
      <c r="D17" s="61"/>
      <c r="E17" s="61"/>
      <c r="F17" s="65"/>
      <c r="G17" s="67"/>
    </row>
    <row r="18" spans="1:7">
      <c r="A18" s="103" t="s">
        <v>45</v>
      </c>
      <c r="B18" s="49">
        <f>SUM(B9:B17)</f>
        <v>29358630</v>
      </c>
      <c r="C18" s="49">
        <f>SUM(C9:C17)</f>
        <v>35420560</v>
      </c>
      <c r="D18" s="104" t="s">
        <v>46</v>
      </c>
      <c r="E18" s="104"/>
      <c r="F18" s="49">
        <f>SUM(F9:F17)</f>
        <v>39509635</v>
      </c>
      <c r="G18" s="92">
        <f>SUM(G9:G17)</f>
        <v>26159828</v>
      </c>
    </row>
    <row r="19" spans="1:7">
      <c r="A19" s="69"/>
      <c r="B19" s="71"/>
      <c r="C19" s="71"/>
      <c r="D19" s="72"/>
      <c r="E19" s="72"/>
      <c r="F19" s="71"/>
      <c r="G19" s="73"/>
    </row>
    <row r="20" spans="1:7">
      <c r="A20" s="59" t="s">
        <v>47</v>
      </c>
      <c r="B20" s="65"/>
      <c r="C20" s="65"/>
      <c r="D20" s="62" t="s">
        <v>48</v>
      </c>
      <c r="E20" s="62"/>
      <c r="F20" s="74"/>
      <c r="G20" s="75"/>
    </row>
    <row r="21" spans="1:7">
      <c r="A21" s="64" t="s">
        <v>49</v>
      </c>
      <c r="B21" s="65">
        <v>0</v>
      </c>
      <c r="C21" s="65">
        <v>0</v>
      </c>
      <c r="D21" s="66" t="s">
        <v>50</v>
      </c>
      <c r="E21" s="66"/>
      <c r="F21" s="65">
        <v>0</v>
      </c>
      <c r="G21" s="67">
        <v>0</v>
      </c>
    </row>
    <row r="22" spans="1:7">
      <c r="A22" s="68" t="s">
        <v>51</v>
      </c>
      <c r="B22" s="65">
        <v>0</v>
      </c>
      <c r="C22" s="65">
        <v>0</v>
      </c>
      <c r="D22" s="784" t="s">
        <v>52</v>
      </c>
      <c r="E22" s="784"/>
      <c r="F22" s="65">
        <v>0</v>
      </c>
      <c r="G22" s="67">
        <v>72627815</v>
      </c>
    </row>
    <row r="23" spans="1:7" ht="16.5" customHeight="1">
      <c r="A23" s="538" t="s">
        <v>53</v>
      </c>
      <c r="B23" s="65">
        <v>21655591</v>
      </c>
      <c r="C23" s="65">
        <v>21655591</v>
      </c>
      <c r="D23" s="66" t="s">
        <v>54</v>
      </c>
      <c r="E23" s="66"/>
      <c r="F23" s="65">
        <v>55000056</v>
      </c>
      <c r="G23" s="67">
        <v>0</v>
      </c>
    </row>
    <row r="24" spans="1:7" ht="16.5" customHeight="1">
      <c r="A24" s="64" t="s">
        <v>55</v>
      </c>
      <c r="B24" s="65">
        <v>108756197</v>
      </c>
      <c r="C24" s="65">
        <v>109992034</v>
      </c>
      <c r="D24" s="66" t="s">
        <v>56</v>
      </c>
      <c r="E24" s="66"/>
      <c r="F24" s="65">
        <v>0</v>
      </c>
      <c r="G24" s="67">
        <v>0</v>
      </c>
    </row>
    <row r="25" spans="1:7" ht="33" customHeight="1">
      <c r="A25" s="540" t="s">
        <v>57</v>
      </c>
      <c r="B25" s="65">
        <v>247385</v>
      </c>
      <c r="C25" s="65">
        <v>247385</v>
      </c>
      <c r="D25" s="1185" t="s">
        <v>58</v>
      </c>
      <c r="E25" s="1185"/>
      <c r="F25" s="65">
        <v>0</v>
      </c>
      <c r="G25" s="67">
        <v>0</v>
      </c>
    </row>
    <row r="26" spans="1:7">
      <c r="A26" s="68" t="s">
        <v>59</v>
      </c>
      <c r="B26" s="65">
        <v>-62281459</v>
      </c>
      <c r="C26" s="65">
        <v>-48242539</v>
      </c>
      <c r="D26" s="66" t="s">
        <v>60</v>
      </c>
      <c r="E26" s="66"/>
      <c r="F26" s="65">
        <v>585944</v>
      </c>
      <c r="G26" s="67">
        <v>3050206</v>
      </c>
    </row>
    <row r="27" spans="1:7">
      <c r="A27" s="64" t="s">
        <v>61</v>
      </c>
      <c r="B27" s="65">
        <v>12906352</v>
      </c>
      <c r="C27" s="65">
        <v>13254489</v>
      </c>
      <c r="D27" s="66"/>
      <c r="E27" s="66"/>
      <c r="F27" s="65"/>
      <c r="G27" s="67"/>
    </row>
    <row r="28" spans="1:7">
      <c r="A28" s="68" t="s">
        <v>62</v>
      </c>
      <c r="B28" s="65">
        <v>0</v>
      </c>
      <c r="C28" s="65">
        <v>0</v>
      </c>
      <c r="D28" s="76"/>
      <c r="E28" s="76"/>
      <c r="F28" s="65"/>
      <c r="G28" s="67"/>
    </row>
    <row r="29" spans="1:7">
      <c r="A29" s="64" t="s">
        <v>63</v>
      </c>
      <c r="B29" s="65">
        <v>13624403</v>
      </c>
      <c r="C29" s="65">
        <v>8004337</v>
      </c>
      <c r="D29" s="76"/>
      <c r="E29" s="76"/>
      <c r="F29" s="74"/>
      <c r="G29" s="75"/>
    </row>
    <row r="30" spans="1:7">
      <c r="A30" s="77"/>
      <c r="B30" s="65"/>
      <c r="C30" s="65"/>
      <c r="D30" s="76"/>
      <c r="E30" s="76"/>
      <c r="F30" s="74"/>
      <c r="G30" s="75"/>
    </row>
    <row r="31" spans="1:7">
      <c r="A31" s="103" t="s">
        <v>64</v>
      </c>
      <c r="B31" s="49">
        <f>SUM(B21:B29)</f>
        <v>94908469</v>
      </c>
      <c r="C31" s="49">
        <f>SUM(C21:C29)</f>
        <v>104911297</v>
      </c>
      <c r="D31" s="105" t="s">
        <v>65</v>
      </c>
      <c r="E31" s="105"/>
      <c r="F31" s="49">
        <f>SUM(F21:F29)</f>
        <v>55586000</v>
      </c>
      <c r="G31" s="92">
        <f>SUM(G21:G29)</f>
        <v>75678021</v>
      </c>
    </row>
    <row r="32" spans="1:7">
      <c r="A32" s="77"/>
      <c r="B32" s="65"/>
      <c r="C32" s="65"/>
      <c r="D32" s="76"/>
      <c r="E32" s="76"/>
      <c r="F32" s="70"/>
      <c r="G32" s="78"/>
    </row>
    <row r="33" spans="1:7">
      <c r="A33" s="103" t="s">
        <v>66</v>
      </c>
      <c r="B33" s="49">
        <f>B31+B18</f>
        <v>124267099</v>
      </c>
      <c r="C33" s="49">
        <f>C31+C18</f>
        <v>140331857</v>
      </c>
      <c r="D33" s="105" t="s">
        <v>67</v>
      </c>
      <c r="E33" s="105"/>
      <c r="F33" s="49">
        <f>F31+F18-1</f>
        <v>95095634</v>
      </c>
      <c r="G33" s="92">
        <f>G31+G18</f>
        <v>101837849</v>
      </c>
    </row>
    <row r="34" spans="1:7">
      <c r="A34" s="69"/>
      <c r="B34" s="79"/>
      <c r="C34" s="79"/>
      <c r="D34" s="76"/>
      <c r="E34" s="76"/>
      <c r="F34" s="74"/>
      <c r="G34" s="75"/>
    </row>
    <row r="35" spans="1:7">
      <c r="A35" s="69"/>
      <c r="B35" s="65"/>
      <c r="C35" s="65"/>
      <c r="D35" s="80" t="s">
        <v>68</v>
      </c>
      <c r="E35" s="80"/>
      <c r="F35" s="70"/>
      <c r="G35" s="78"/>
    </row>
    <row r="36" spans="1:7">
      <c r="A36" s="69"/>
      <c r="B36" s="70"/>
      <c r="C36" s="70"/>
      <c r="D36" s="105" t="s">
        <v>69</v>
      </c>
      <c r="E36" s="105"/>
      <c r="F36" s="93">
        <f>SUM(F37:F39)</f>
        <v>90494826</v>
      </c>
      <c r="G36" s="94">
        <f>SUM(G37:G39)</f>
        <v>90494826</v>
      </c>
    </row>
    <row r="37" spans="1:7">
      <c r="A37" s="69"/>
      <c r="B37" s="70"/>
      <c r="C37" s="70"/>
      <c r="D37" s="66" t="s">
        <v>70</v>
      </c>
      <c r="E37" s="66"/>
      <c r="F37" s="65">
        <v>90494826</v>
      </c>
      <c r="G37" s="67">
        <v>90494826</v>
      </c>
    </row>
    <row r="38" spans="1:7">
      <c r="A38" s="69"/>
      <c r="B38" s="70"/>
      <c r="C38" s="70"/>
      <c r="D38" s="66" t="s">
        <v>71</v>
      </c>
      <c r="E38" s="66"/>
      <c r="F38" s="65">
        <v>0</v>
      </c>
      <c r="G38" s="67"/>
    </row>
    <row r="39" spans="1:7" ht="33">
      <c r="A39" s="69"/>
      <c r="B39" s="70"/>
      <c r="C39" s="70"/>
      <c r="D39" s="66" t="s">
        <v>72</v>
      </c>
      <c r="E39" s="66"/>
      <c r="F39" s="65"/>
      <c r="G39" s="67">
        <v>0</v>
      </c>
    </row>
    <row r="40" spans="1:7">
      <c r="A40" s="77"/>
      <c r="B40" s="71"/>
      <c r="C40" s="71"/>
      <c r="D40" s="105" t="s">
        <v>73</v>
      </c>
      <c r="E40" s="105"/>
      <c r="F40" s="93">
        <f>SUM(F41:F45)</f>
        <v>-66399661</v>
      </c>
      <c r="G40" s="94">
        <f>SUM(G41:G45)</f>
        <v>-57077118</v>
      </c>
    </row>
    <row r="41" spans="1:7">
      <c r="A41" s="77"/>
      <c r="B41" s="71"/>
      <c r="C41" s="71"/>
      <c r="D41" s="66" t="s">
        <v>74</v>
      </c>
      <c r="E41" s="66"/>
      <c r="F41" s="65">
        <v>-10797531</v>
      </c>
      <c r="G41" s="67">
        <v>-5189005</v>
      </c>
    </row>
    <row r="42" spans="1:7">
      <c r="A42" s="77"/>
      <c r="B42" s="71"/>
      <c r="C42" s="71"/>
      <c r="D42" s="66" t="s">
        <v>75</v>
      </c>
      <c r="E42" s="66"/>
      <c r="F42" s="65">
        <f>-83901449+1474988</f>
        <v>-82426461</v>
      </c>
      <c r="G42" s="67">
        <v>-80180316</v>
      </c>
    </row>
    <row r="43" spans="1:7">
      <c r="A43" s="69"/>
      <c r="B43" s="70"/>
      <c r="C43" s="70"/>
      <c r="D43" s="66" t="s">
        <v>76</v>
      </c>
      <c r="E43" s="66"/>
      <c r="F43" s="65">
        <v>28299319</v>
      </c>
      <c r="G43" s="67">
        <v>28299319</v>
      </c>
    </row>
    <row r="44" spans="1:7">
      <c r="A44" s="69"/>
      <c r="B44" s="70"/>
      <c r="C44" s="70"/>
      <c r="D44" s="66" t="s">
        <v>77</v>
      </c>
      <c r="E44" s="66"/>
      <c r="F44" s="65">
        <v>0</v>
      </c>
      <c r="G44" s="67">
        <v>0</v>
      </c>
    </row>
    <row r="45" spans="1:7" ht="33">
      <c r="A45" s="69"/>
      <c r="B45" s="70"/>
      <c r="C45" s="70"/>
      <c r="D45" s="66" t="s">
        <v>78</v>
      </c>
      <c r="E45" s="66"/>
      <c r="F45" s="65">
        <v>-1474988</v>
      </c>
      <c r="G45" s="67">
        <v>-7116</v>
      </c>
    </row>
    <row r="46" spans="1:7" ht="33">
      <c r="A46" s="69"/>
      <c r="B46" s="70"/>
      <c r="C46" s="70"/>
      <c r="D46" s="106" t="s">
        <v>79</v>
      </c>
      <c r="E46" s="106"/>
      <c r="F46" s="95">
        <f>SUM(F47:F48)</f>
        <v>5076300</v>
      </c>
      <c r="G46" s="96">
        <f>SUM(G47:G48)</f>
        <v>5076300</v>
      </c>
    </row>
    <row r="47" spans="1:7">
      <c r="A47" s="64"/>
      <c r="B47" s="70"/>
      <c r="C47" s="70"/>
      <c r="D47" s="66" t="s">
        <v>80</v>
      </c>
      <c r="E47" s="66"/>
      <c r="F47" s="65"/>
      <c r="G47" s="67">
        <v>0</v>
      </c>
    </row>
    <row r="48" spans="1:7" ht="33">
      <c r="A48" s="81"/>
      <c r="B48" s="82"/>
      <c r="C48" s="82"/>
      <c r="D48" s="66" t="s">
        <v>81</v>
      </c>
      <c r="E48" s="66"/>
      <c r="F48" s="65">
        <v>5076300</v>
      </c>
      <c r="G48" s="67">
        <v>5076300</v>
      </c>
    </row>
    <row r="49" spans="1:8">
      <c r="A49" s="69"/>
      <c r="B49" s="82"/>
      <c r="C49" s="82"/>
      <c r="D49" s="83"/>
      <c r="E49" s="83"/>
      <c r="F49" s="82"/>
      <c r="G49" s="84"/>
    </row>
    <row r="50" spans="1:8">
      <c r="A50" s="64"/>
      <c r="B50" s="82"/>
      <c r="C50" s="82"/>
      <c r="D50" s="105" t="s">
        <v>82</v>
      </c>
      <c r="E50" s="105"/>
      <c r="F50" s="97">
        <f>F46+F40+F36</f>
        <v>29171465</v>
      </c>
      <c r="G50" s="98">
        <f>G46+G40+G36</f>
        <v>38494008</v>
      </c>
    </row>
    <row r="51" spans="1:8">
      <c r="A51" s="81"/>
      <c r="B51" s="82"/>
      <c r="C51" s="82"/>
      <c r="D51" s="72"/>
      <c r="E51" s="72"/>
      <c r="F51" s="85"/>
      <c r="G51" s="86"/>
    </row>
    <row r="52" spans="1:8" ht="33">
      <c r="A52" s="69"/>
      <c r="D52" s="105" t="s">
        <v>83</v>
      </c>
      <c r="E52" s="105"/>
      <c r="F52" s="97">
        <f>F50+F33</f>
        <v>124267099</v>
      </c>
      <c r="G52" s="98">
        <f>G50+G33</f>
        <v>140331857</v>
      </c>
      <c r="H52" s="752" t="str">
        <f>IF($B$33=$F$52,"","VALOR INCORRECTO EJERCICIO 2017, TOTAL DE ACTIVOS TIENE QUE SER IGUAL AL TOTAL DE LA SUMA DE PASIVO Y HCIENDA")</f>
        <v/>
      </c>
    </row>
    <row r="53" spans="1:8" ht="17.25" thickBot="1">
      <c r="A53" s="87"/>
      <c r="B53" s="88"/>
      <c r="C53" s="88"/>
      <c r="D53" s="89"/>
      <c r="E53" s="89"/>
      <c r="F53" s="90"/>
      <c r="G53" s="91"/>
      <c r="H53" s="752" t="str">
        <f>IF($C$33=$G$52,"","VALOR INCORRECTO EJERCICIO 2016, TOTAL DE ACTIVOS TIENE QUE SER IGUAL AL TOTAL DE LA SUMA DE PASIVO Y HCIENDA")</f>
        <v/>
      </c>
    </row>
    <row r="54" spans="1:8">
      <c r="A54" s="51" t="s">
        <v>84</v>
      </c>
      <c r="B54" s="502"/>
      <c r="C54" s="502"/>
      <c r="D54" s="53"/>
      <c r="E54" s="53"/>
      <c r="F54" s="503"/>
      <c r="G54" s="503"/>
      <c r="H54" s="752"/>
    </row>
    <row r="55" spans="1:8">
      <c r="B55" s="502"/>
      <c r="C55" s="502"/>
      <c r="D55" s="53"/>
      <c r="E55" s="53"/>
      <c r="F55" s="503"/>
      <c r="G55" s="503"/>
      <c r="H55" s="752"/>
    </row>
    <row r="56" spans="1:8">
      <c r="A56" s="53"/>
      <c r="B56" s="502"/>
      <c r="C56" s="502"/>
      <c r="D56" s="53"/>
      <c r="E56" s="53"/>
      <c r="F56" s="503"/>
      <c r="G56" s="503"/>
      <c r="H56" s="752"/>
    </row>
    <row r="57" spans="1:8">
      <c r="A57" s="53"/>
      <c r="B57" s="502"/>
      <c r="C57" s="502"/>
      <c r="D57" s="53"/>
      <c r="E57" s="53"/>
      <c r="F57" s="503"/>
      <c r="G57" s="503"/>
      <c r="H57" s="752"/>
    </row>
    <row r="58" spans="1:8">
      <c r="A58" s="53"/>
      <c r="B58" s="502"/>
      <c r="C58" s="502"/>
      <c r="D58" s="53"/>
      <c r="E58" s="53"/>
      <c r="F58" s="503"/>
      <c r="G58" s="503"/>
      <c r="H58" s="752"/>
    </row>
    <row r="61" spans="1:8">
      <c r="B61" s="101"/>
      <c r="C61" s="102" t="s">
        <v>85</v>
      </c>
    </row>
  </sheetData>
  <sheetProtection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7"/>
  <sheetViews>
    <sheetView view="pageBreakPreview" topLeftCell="A21" zoomScale="115" zoomScaleSheetLayoutView="115" workbookViewId="0">
      <selection activeCell="G34" sqref="G34"/>
    </sheetView>
  </sheetViews>
  <sheetFormatPr baseColWidth="10" defaultColWidth="11.28515625" defaultRowHeight="16.5"/>
  <cols>
    <col min="1" max="1" width="39.85546875" style="286" customWidth="1"/>
    <col min="2" max="7" width="13.7109375" style="286" customWidth="1"/>
    <col min="8" max="16384" width="11.28515625" style="286"/>
  </cols>
  <sheetData>
    <row r="1" spans="1:7">
      <c r="A1" s="1209" t="s">
        <v>23</v>
      </c>
      <c r="B1" s="1209"/>
      <c r="C1" s="1209"/>
      <c r="D1" s="1209"/>
      <c r="E1" s="1209"/>
      <c r="F1" s="1209"/>
      <c r="G1" s="1209"/>
    </row>
    <row r="2" spans="1:7" s="288" customFormat="1">
      <c r="A2" s="1209" t="s">
        <v>559</v>
      </c>
      <c r="B2" s="1209"/>
      <c r="C2" s="1209"/>
      <c r="D2" s="1209"/>
      <c r="E2" s="1209"/>
      <c r="F2" s="1209"/>
      <c r="G2" s="1209"/>
    </row>
    <row r="3" spans="1:7" s="288" customFormat="1">
      <c r="A3" s="1209" t="s">
        <v>721</v>
      </c>
      <c r="B3" s="1209"/>
      <c r="C3" s="1209"/>
      <c r="D3" s="1209"/>
      <c r="E3" s="1209"/>
      <c r="F3" s="1209"/>
      <c r="G3" s="1209"/>
    </row>
    <row r="4" spans="1:7" s="288" customFormat="1">
      <c r="A4" s="1210" t="str">
        <f>'ETCA-I-01'!A3:G3</f>
        <v>TELEVISORA DE HERMOSILLO, S.A. DE C.V.</v>
      </c>
      <c r="B4" s="1210"/>
      <c r="C4" s="1210"/>
      <c r="D4" s="1210"/>
      <c r="E4" s="1210"/>
      <c r="F4" s="1210"/>
      <c r="G4" s="1210"/>
    </row>
    <row r="5" spans="1:7" s="288" customFormat="1">
      <c r="A5" s="1211" t="str">
        <f>'ETCA-I-03'!A4:D4</f>
        <v>Del 01 de Enero al 30 de Septiembre de 2018</v>
      </c>
      <c r="B5" s="1211"/>
      <c r="C5" s="1211"/>
      <c r="D5" s="1211"/>
      <c r="E5" s="1211"/>
      <c r="F5" s="1211"/>
      <c r="G5" s="1211"/>
    </row>
    <row r="6" spans="1:7" s="288" customFormat="1" ht="17.25" thickBot="1">
      <c r="A6" s="1327" t="s">
        <v>722</v>
      </c>
      <c r="B6" s="1327"/>
      <c r="C6" s="1327"/>
      <c r="D6" s="1327"/>
      <c r="E6" s="1327"/>
      <c r="F6" s="167"/>
      <c r="G6" s="783"/>
    </row>
    <row r="7" spans="1:7" s="299" customFormat="1" ht="38.25">
      <c r="A7" s="1355" t="s">
        <v>721</v>
      </c>
      <c r="B7" s="202" t="s">
        <v>563</v>
      </c>
      <c r="C7" s="202" t="s">
        <v>473</v>
      </c>
      <c r="D7" s="202" t="s">
        <v>564</v>
      </c>
      <c r="E7" s="203" t="s">
        <v>565</v>
      </c>
      <c r="F7" s="203" t="s">
        <v>566</v>
      </c>
      <c r="G7" s="204" t="s">
        <v>567</v>
      </c>
    </row>
    <row r="8" spans="1:7" s="302" customFormat="1" ht="17.25" thickBot="1">
      <c r="A8" s="1356"/>
      <c r="B8" s="300" t="s">
        <v>438</v>
      </c>
      <c r="C8" s="300" t="s">
        <v>439</v>
      </c>
      <c r="D8" s="300" t="s">
        <v>568</v>
      </c>
      <c r="E8" s="300" t="s">
        <v>441</v>
      </c>
      <c r="F8" s="300" t="s">
        <v>442</v>
      </c>
      <c r="G8" s="301" t="s">
        <v>569</v>
      </c>
    </row>
    <row r="9" spans="1:7" ht="21" customHeight="1">
      <c r="A9" s="981" t="s">
        <v>1273</v>
      </c>
      <c r="B9" s="982">
        <v>16493067</v>
      </c>
      <c r="C9" s="984">
        <v>-933127</v>
      </c>
      <c r="D9" s="473">
        <f>IF($A9="","",B9+C9)</f>
        <v>15559940</v>
      </c>
      <c r="E9" s="473">
        <v>10704756</v>
      </c>
      <c r="F9" s="473">
        <v>9468755</v>
      </c>
      <c r="G9" s="528">
        <f>IF($A9="","",D9-E9)</f>
        <v>4855184</v>
      </c>
    </row>
    <row r="10" spans="1:7" ht="21" customHeight="1">
      <c r="A10" s="981" t="s">
        <v>1274</v>
      </c>
      <c r="B10" s="982">
        <v>25598792</v>
      </c>
      <c r="C10" s="984">
        <v>-3114193</v>
      </c>
      <c r="D10" s="473">
        <f t="shared" ref="D10:D31" si="0">IF($A10="","",B10+C10)</f>
        <v>22484599</v>
      </c>
      <c r="E10" s="473">
        <v>16147751</v>
      </c>
      <c r="F10" s="473">
        <v>14584061</v>
      </c>
      <c r="G10" s="528">
        <f t="shared" ref="G10:G31" si="1">IF($A10="","",D10-E10)</f>
        <v>6336848</v>
      </c>
    </row>
    <row r="11" spans="1:7" ht="21" customHeight="1">
      <c r="A11" s="981" t="s">
        <v>1275</v>
      </c>
      <c r="B11" s="982">
        <v>4786416</v>
      </c>
      <c r="C11" s="984">
        <v>-163904</v>
      </c>
      <c r="D11" s="473">
        <f t="shared" si="0"/>
        <v>4622512</v>
      </c>
      <c r="E11" s="473">
        <v>3460320</v>
      </c>
      <c r="F11" s="473">
        <v>3196629</v>
      </c>
      <c r="G11" s="528">
        <f t="shared" si="1"/>
        <v>1162192</v>
      </c>
    </row>
    <row r="12" spans="1:7" ht="21" customHeight="1">
      <c r="A12" s="981" t="s">
        <v>1276</v>
      </c>
      <c r="B12" s="982">
        <v>26523608</v>
      </c>
      <c r="C12" s="984">
        <v>8412257</v>
      </c>
      <c r="D12" s="473">
        <f t="shared" si="0"/>
        <v>34935865</v>
      </c>
      <c r="E12" s="473">
        <v>25051735</v>
      </c>
      <c r="F12" s="473">
        <v>21913442</v>
      </c>
      <c r="G12" s="528">
        <f t="shared" si="1"/>
        <v>9884130</v>
      </c>
    </row>
    <row r="13" spans="1:7" ht="21" customHeight="1">
      <c r="A13" s="981" t="s">
        <v>1277</v>
      </c>
      <c r="B13" s="982">
        <v>32364370</v>
      </c>
      <c r="C13" s="984">
        <v>-3137805</v>
      </c>
      <c r="D13" s="473">
        <f t="shared" si="0"/>
        <v>29226565</v>
      </c>
      <c r="E13" s="473">
        <v>21147725</v>
      </c>
      <c r="F13" s="473">
        <v>19280465</v>
      </c>
      <c r="G13" s="528">
        <f t="shared" si="1"/>
        <v>8078840</v>
      </c>
    </row>
    <row r="14" spans="1:7" ht="21" customHeight="1">
      <c r="A14" s="981" t="s">
        <v>1278</v>
      </c>
      <c r="B14" s="982">
        <v>7414096</v>
      </c>
      <c r="C14" s="984">
        <v>-784516</v>
      </c>
      <c r="D14" s="473">
        <f t="shared" si="0"/>
        <v>6629580</v>
      </c>
      <c r="E14" s="473">
        <v>4698449</v>
      </c>
      <c r="F14" s="473">
        <v>4062077</v>
      </c>
      <c r="G14" s="528">
        <f t="shared" si="1"/>
        <v>1931131</v>
      </c>
    </row>
    <row r="15" spans="1:7" ht="21" customHeight="1">
      <c r="A15" s="981" t="s">
        <v>1279</v>
      </c>
      <c r="B15" s="982">
        <v>1956111</v>
      </c>
      <c r="C15" s="984">
        <v>-222006</v>
      </c>
      <c r="D15" s="473">
        <f t="shared" si="0"/>
        <v>1734105</v>
      </c>
      <c r="E15" s="473">
        <v>1233283</v>
      </c>
      <c r="F15" s="473">
        <v>1055129</v>
      </c>
      <c r="G15" s="528">
        <f t="shared" si="1"/>
        <v>500822</v>
      </c>
    </row>
    <row r="16" spans="1:7" ht="21" customHeight="1">
      <c r="A16" s="303"/>
      <c r="B16" s="473"/>
      <c r="C16" s="473"/>
      <c r="D16" s="473" t="str">
        <f t="shared" si="0"/>
        <v/>
      </c>
      <c r="E16" s="473"/>
      <c r="F16" s="473"/>
      <c r="G16" s="528" t="str">
        <f t="shared" si="1"/>
        <v/>
      </c>
    </row>
    <row r="17" spans="1:8" ht="21" customHeight="1">
      <c r="A17" s="303"/>
      <c r="B17" s="473"/>
      <c r="C17" s="473"/>
      <c r="D17" s="473" t="str">
        <f t="shared" si="0"/>
        <v/>
      </c>
      <c r="E17" s="473"/>
      <c r="F17" s="473"/>
      <c r="G17" s="528" t="str">
        <f t="shared" si="1"/>
        <v/>
      </c>
    </row>
    <row r="18" spans="1:8" ht="21" customHeight="1">
      <c r="A18" s="303"/>
      <c r="B18" s="473"/>
      <c r="C18" s="473"/>
      <c r="D18" s="473" t="str">
        <f t="shared" si="0"/>
        <v/>
      </c>
      <c r="E18" s="473"/>
      <c r="F18" s="473"/>
      <c r="G18" s="528" t="str">
        <f t="shared" si="1"/>
        <v/>
      </c>
    </row>
    <row r="19" spans="1:8" ht="21" customHeight="1">
      <c r="A19" s="303"/>
      <c r="B19" s="473"/>
      <c r="C19" s="473"/>
      <c r="D19" s="473" t="str">
        <f t="shared" si="0"/>
        <v/>
      </c>
      <c r="E19" s="473"/>
      <c r="F19" s="473"/>
      <c r="G19" s="528" t="str">
        <f t="shared" si="1"/>
        <v/>
      </c>
    </row>
    <row r="20" spans="1:8" ht="21" customHeight="1">
      <c r="A20" s="303"/>
      <c r="B20" s="473"/>
      <c r="C20" s="473"/>
      <c r="D20" s="473" t="str">
        <f t="shared" si="0"/>
        <v/>
      </c>
      <c r="E20" s="473"/>
      <c r="F20" s="473"/>
      <c r="G20" s="528" t="str">
        <f t="shared" si="1"/>
        <v/>
      </c>
    </row>
    <row r="21" spans="1:8" ht="21" customHeight="1">
      <c r="A21" s="303"/>
      <c r="B21" s="473"/>
      <c r="C21" s="473"/>
      <c r="D21" s="473" t="str">
        <f t="shared" si="0"/>
        <v/>
      </c>
      <c r="E21" s="473"/>
      <c r="F21" s="473"/>
      <c r="G21" s="528" t="str">
        <f t="shared" si="1"/>
        <v/>
      </c>
    </row>
    <row r="22" spans="1:8" ht="21" customHeight="1">
      <c r="A22" s="303"/>
      <c r="B22" s="473"/>
      <c r="C22" s="473"/>
      <c r="D22" s="473" t="str">
        <f t="shared" si="0"/>
        <v/>
      </c>
      <c r="E22" s="473"/>
      <c r="F22" s="473"/>
      <c r="G22" s="528" t="str">
        <f t="shared" si="1"/>
        <v/>
      </c>
    </row>
    <row r="23" spans="1:8" ht="21" customHeight="1">
      <c r="A23" s="303"/>
      <c r="B23" s="473"/>
      <c r="C23" s="473"/>
      <c r="D23" s="473" t="str">
        <f t="shared" si="0"/>
        <v/>
      </c>
      <c r="E23" s="473"/>
      <c r="F23" s="473"/>
      <c r="G23" s="528" t="str">
        <f t="shared" si="1"/>
        <v/>
      </c>
    </row>
    <row r="24" spans="1:8" ht="21" customHeight="1">
      <c r="A24" s="303"/>
      <c r="B24" s="473"/>
      <c r="C24" s="473"/>
      <c r="D24" s="473" t="str">
        <f t="shared" si="0"/>
        <v/>
      </c>
      <c r="E24" s="473"/>
      <c r="F24" s="473"/>
      <c r="G24" s="528" t="str">
        <f t="shared" si="1"/>
        <v/>
      </c>
    </row>
    <row r="25" spans="1:8" ht="21" customHeight="1">
      <c r="A25" s="303"/>
      <c r="B25" s="473"/>
      <c r="C25" s="473"/>
      <c r="D25" s="473" t="str">
        <f t="shared" si="0"/>
        <v/>
      </c>
      <c r="E25" s="473"/>
      <c r="F25" s="473"/>
      <c r="G25" s="528" t="str">
        <f t="shared" si="1"/>
        <v/>
      </c>
    </row>
    <row r="26" spans="1:8" ht="21" customHeight="1">
      <c r="A26" s="303"/>
      <c r="B26" s="473"/>
      <c r="C26" s="473"/>
      <c r="D26" s="473" t="str">
        <f t="shared" si="0"/>
        <v/>
      </c>
      <c r="E26" s="473"/>
      <c r="F26" s="473"/>
      <c r="G26" s="528" t="str">
        <f t="shared" si="1"/>
        <v/>
      </c>
    </row>
    <row r="27" spans="1:8" ht="21" customHeight="1">
      <c r="A27" s="303"/>
      <c r="B27" s="473"/>
      <c r="C27" s="473"/>
      <c r="D27" s="473" t="str">
        <f t="shared" si="0"/>
        <v/>
      </c>
      <c r="E27" s="473"/>
      <c r="F27" s="473"/>
      <c r="G27" s="528" t="str">
        <f t="shared" si="1"/>
        <v/>
      </c>
    </row>
    <row r="28" spans="1:8" ht="21" customHeight="1">
      <c r="A28" s="303"/>
      <c r="B28" s="473"/>
      <c r="C28" s="473"/>
      <c r="D28" s="473" t="str">
        <f t="shared" si="0"/>
        <v/>
      </c>
      <c r="E28" s="473"/>
      <c r="F28" s="473"/>
      <c r="G28" s="528" t="str">
        <f t="shared" si="1"/>
        <v/>
      </c>
    </row>
    <row r="29" spans="1:8" ht="21" customHeight="1">
      <c r="A29" s="303"/>
      <c r="B29" s="473"/>
      <c r="C29" s="473"/>
      <c r="D29" s="473" t="str">
        <f t="shared" si="0"/>
        <v/>
      </c>
      <c r="E29" s="473"/>
      <c r="F29" s="473"/>
      <c r="G29" s="528" t="str">
        <f t="shared" si="1"/>
        <v/>
      </c>
    </row>
    <row r="30" spans="1:8" ht="21" customHeight="1">
      <c r="A30" s="303"/>
      <c r="B30" s="473"/>
      <c r="C30" s="473"/>
      <c r="D30" s="473" t="str">
        <f t="shared" si="0"/>
        <v/>
      </c>
      <c r="E30" s="473"/>
      <c r="F30" s="473"/>
      <c r="G30" s="528" t="str">
        <f t="shared" si="1"/>
        <v/>
      </c>
    </row>
    <row r="31" spans="1:8" ht="21" customHeight="1" thickBot="1">
      <c r="A31" s="303"/>
      <c r="B31" s="473"/>
      <c r="C31" s="473"/>
      <c r="D31" s="473" t="str">
        <f t="shared" si="0"/>
        <v/>
      </c>
      <c r="E31" s="473"/>
      <c r="F31" s="473"/>
      <c r="G31" s="528" t="str">
        <f t="shared" si="1"/>
        <v/>
      </c>
    </row>
    <row r="32" spans="1:8" ht="21" customHeight="1" thickBot="1">
      <c r="A32" s="304" t="s">
        <v>619</v>
      </c>
      <c r="B32" s="467">
        <f>SUM(B9:B31)</f>
        <v>115136460</v>
      </c>
      <c r="C32" s="467">
        <f>SUM(C9:C31)+1</f>
        <v>56707</v>
      </c>
      <c r="D32" s="467">
        <f>IF($A32="","",B32+C32)</f>
        <v>115193167</v>
      </c>
      <c r="E32" s="467">
        <f>SUM(E9:E31)</f>
        <v>82444019</v>
      </c>
      <c r="F32" s="467">
        <f>SUM(F9:F31)</f>
        <v>73560558</v>
      </c>
      <c r="G32" s="468">
        <f>IF($A32="","",D32-E32)+1</f>
        <v>32749149</v>
      </c>
      <c r="H32" s="289" t="str">
        <f>IF(($B$32-'ETCA II-04'!B81)&gt;0.9,"ERROR!!!!! EL MONTO NO COINCIDE CON LO REPORTADO EN EL FORMATO ETCA-II-04 EN EL TOTAL APROBADO ANUAL DEL ANALÍTICO DE EGRESOS","")</f>
        <v/>
      </c>
    </row>
    <row r="33" spans="8:8">
      <c r="H33" s="289" t="str">
        <f>IF(($C$32-'ETCA II-04'!C81)&gt;0.9,"ERROR!!!!! EL MONTO NO COINCIDE CON LO REPORTADO EN EL FORMATO ETCA-II-04 EN EL TOTAL APROBADO ANUAL DEL ANALÍTICO DE EGRESOS","")</f>
        <v/>
      </c>
    </row>
    <row r="34" spans="8:8">
      <c r="H34" s="289" t="str">
        <f>IF(($D$32-'ETCA II-04'!D81)&gt;0.9,"ERROR!!!!! EL MONTO NO COINCIDE CON LO REPORTADO EN EL FORMATO ETCA-II-04 EN EL TOTAL APROBADO ANUAL DEL ANALÍTICO DE EGRESOS","")</f>
        <v/>
      </c>
    </row>
    <row r="35" spans="8:8">
      <c r="H35" s="289" t="str">
        <f>IF(($E$32-'ETCA II-04'!E81)&gt;0.9,"ERROR!!!!! EL MONTO NO COINCIDE CON LO REPORTADO EN EL FORMATO ETCA-II-04 EN EL TOTAL APROBADO ANUAL DEL ANALÍTICO DE EGRESOS","")</f>
        <v/>
      </c>
    </row>
    <row r="36" spans="8:8">
      <c r="H36" s="289" t="str">
        <f>IF(($F$32-'ETCA II-04'!F81)&gt;0.9,"ERROR!!!!! EL MONTO NO COINCIDE CON LO REPORTADO EN EL FORMATO ETCA-II-04 EN EL TOTAL APROBADO ANUAL DEL ANALÍTICO DE EGRESOS","")</f>
        <v/>
      </c>
    </row>
    <row r="37" spans="8:8">
      <c r="H37" s="289"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6"/>
  <sheetViews>
    <sheetView view="pageBreakPreview" topLeftCell="A8" zoomScaleSheetLayoutView="100" workbookViewId="0">
      <selection activeCell="G32" sqref="G32"/>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32" customFormat="1" ht="15.75">
      <c r="A1" s="1362" t="s">
        <v>23</v>
      </c>
      <c r="B1" s="1363"/>
      <c r="C1" s="1363"/>
      <c r="D1" s="1363"/>
      <c r="E1" s="1363"/>
      <c r="F1" s="1363"/>
      <c r="G1" s="1364"/>
    </row>
    <row r="2" spans="1:7" s="732" customFormat="1" ht="15.75">
      <c r="A2" s="1371" t="str">
        <f>'ETCA-I-01'!A3:G3</f>
        <v>TELEVISORA DE HERMOSILLO, S.A. DE C.V.</v>
      </c>
      <c r="B2" s="1372"/>
      <c r="C2" s="1372"/>
      <c r="D2" s="1372"/>
      <c r="E2" s="1372"/>
      <c r="F2" s="1372"/>
      <c r="G2" s="1373"/>
    </row>
    <row r="3" spans="1:7" s="732" customFormat="1" ht="12.75">
      <c r="A3" s="1365" t="s">
        <v>620</v>
      </c>
      <c r="B3" s="1366"/>
      <c r="C3" s="1366"/>
      <c r="D3" s="1366"/>
      <c r="E3" s="1366"/>
      <c r="F3" s="1366"/>
      <c r="G3" s="1367"/>
    </row>
    <row r="4" spans="1:7" s="732" customFormat="1" ht="12.75">
      <c r="A4" s="1365" t="s">
        <v>723</v>
      </c>
      <c r="B4" s="1366"/>
      <c r="C4" s="1366"/>
      <c r="D4" s="1366"/>
      <c r="E4" s="1366"/>
      <c r="F4" s="1366"/>
      <c r="G4" s="1367"/>
    </row>
    <row r="5" spans="1:7" s="732" customFormat="1" ht="12.75">
      <c r="A5" s="1365" t="str">
        <f>'ETCA-I-03'!A4:D4</f>
        <v>Del 01 de Enero al 30 de Septiembre de 2018</v>
      </c>
      <c r="B5" s="1366"/>
      <c r="C5" s="1366"/>
      <c r="D5" s="1366"/>
      <c r="E5" s="1366"/>
      <c r="F5" s="1366"/>
      <c r="G5" s="1367"/>
    </row>
    <row r="6" spans="1:7" s="732" customFormat="1" ht="20.25" customHeight="1" thickBot="1">
      <c r="A6" s="1368" t="s">
        <v>87</v>
      </c>
      <c r="B6" s="1369"/>
      <c r="C6" s="1369"/>
      <c r="D6" s="1369"/>
      <c r="E6" s="1369"/>
      <c r="F6" s="1369"/>
      <c r="G6" s="1370"/>
    </row>
    <row r="7" spans="1:7" s="732" customFormat="1" ht="13.5" thickBot="1">
      <c r="A7" s="1357" t="s">
        <v>88</v>
      </c>
      <c r="B7" s="1359" t="s">
        <v>622</v>
      </c>
      <c r="C7" s="1360"/>
      <c r="D7" s="1360"/>
      <c r="E7" s="1360"/>
      <c r="F7" s="1361"/>
      <c r="G7" s="1357" t="s">
        <v>623</v>
      </c>
    </row>
    <row r="8" spans="1:7" s="732" customFormat="1" ht="26.25" thickBot="1">
      <c r="A8" s="1358"/>
      <c r="B8" s="797" t="s">
        <v>624</v>
      </c>
      <c r="C8" s="797" t="s">
        <v>473</v>
      </c>
      <c r="D8" s="797" t="s">
        <v>474</v>
      </c>
      <c r="E8" s="797" t="s">
        <v>475</v>
      </c>
      <c r="F8" s="797" t="s">
        <v>724</v>
      </c>
      <c r="G8" s="1358"/>
    </row>
    <row r="9" spans="1:7" s="531" customFormat="1" ht="12.75">
      <c r="A9" s="615" t="s">
        <v>725</v>
      </c>
      <c r="B9" s="731"/>
      <c r="C9" s="731"/>
      <c r="D9" s="731"/>
      <c r="E9" s="731"/>
      <c r="F9" s="731"/>
      <c r="G9" s="731"/>
    </row>
    <row r="10" spans="1:7" s="531" customFormat="1" ht="12.75">
      <c r="A10" s="615" t="s">
        <v>726</v>
      </c>
      <c r="B10" s="705">
        <f>SUM(B11:B18)</f>
        <v>115136460</v>
      </c>
      <c r="C10" s="705">
        <f>SUM(C11:C18)+1</f>
        <v>56707</v>
      </c>
      <c r="D10" s="705">
        <f>SUM(D11:D18)+1</f>
        <v>115193167</v>
      </c>
      <c r="E10" s="705">
        <f t="shared" ref="E10:F10" si="0">SUM(E11:E18)</f>
        <v>82444018</v>
      </c>
      <c r="F10" s="705">
        <f t="shared" si="0"/>
        <v>73560557</v>
      </c>
      <c r="G10" s="705">
        <f>SUM(G11:G18)-2</f>
        <v>32749149</v>
      </c>
    </row>
    <row r="11" spans="1:7" s="531" customFormat="1" ht="12.75">
      <c r="A11" s="616" t="str">
        <f>+'ETCA-II-07'!A9</f>
        <v>TECNICOS Y REPETIDORAS</v>
      </c>
      <c r="B11" s="983">
        <f>+'ETCA-II-07'!B9</f>
        <v>16493067</v>
      </c>
      <c r="C11" s="983">
        <f>+'ETCA-II-07'!C9</f>
        <v>-933127</v>
      </c>
      <c r="D11" s="705">
        <f>B11+C11</f>
        <v>15559940</v>
      </c>
      <c r="E11" s="983">
        <f>+'ETCA-II-07'!E9-1</f>
        <v>10704755</v>
      </c>
      <c r="F11" s="983">
        <f>+'ETCA-II-07'!F9-1</f>
        <v>9468754</v>
      </c>
      <c r="G11" s="705">
        <f>+D11-E11+1</f>
        <v>4855186</v>
      </c>
    </row>
    <row r="12" spans="1:7" s="531" customFormat="1" ht="12.75">
      <c r="A12" s="616" t="str">
        <f>+'ETCA-II-07'!A10</f>
        <v>NOTICIAS</v>
      </c>
      <c r="B12" s="983">
        <f>+'ETCA-II-07'!B10</f>
        <v>25598792</v>
      </c>
      <c r="C12" s="983">
        <f>+'ETCA-II-07'!C10</f>
        <v>-3114193</v>
      </c>
      <c r="D12" s="705">
        <f t="shared" ref="D12:D18" si="1">B12+C12</f>
        <v>22484599</v>
      </c>
      <c r="E12" s="983">
        <f>+'ETCA-II-07'!E10</f>
        <v>16147751</v>
      </c>
      <c r="F12" s="983">
        <f>+'ETCA-II-07'!F10</f>
        <v>14584061</v>
      </c>
      <c r="G12" s="705">
        <f>+D12-E12+1</f>
        <v>6336849</v>
      </c>
    </row>
    <row r="13" spans="1:7" s="531" customFormat="1" ht="12.75">
      <c r="A13" s="616" t="str">
        <f>+'ETCA-II-07'!A11</f>
        <v>VENTAS</v>
      </c>
      <c r="B13" s="983">
        <f>+'ETCA-II-07'!B11</f>
        <v>4786416</v>
      </c>
      <c r="C13" s="983">
        <f>+'ETCA-II-07'!C11</f>
        <v>-163904</v>
      </c>
      <c r="D13" s="705">
        <f t="shared" si="1"/>
        <v>4622512</v>
      </c>
      <c r="E13" s="983">
        <f>+'ETCA-II-07'!E11</f>
        <v>3460320</v>
      </c>
      <c r="F13" s="983">
        <f>+'ETCA-II-07'!F11</f>
        <v>3196629</v>
      </c>
      <c r="G13" s="705">
        <f>+D13-E13+1</f>
        <v>1162193</v>
      </c>
    </row>
    <row r="14" spans="1:7" s="531" customFormat="1" ht="12.75">
      <c r="A14" s="616" t="str">
        <f>+'ETCA-II-07'!A12</f>
        <v>ADMINISTRACION</v>
      </c>
      <c r="B14" s="983">
        <f>+'ETCA-II-07'!B12</f>
        <v>26523608</v>
      </c>
      <c r="C14" s="983">
        <f>+'ETCA-II-07'!C12</f>
        <v>8412257</v>
      </c>
      <c r="D14" s="705">
        <f t="shared" si="1"/>
        <v>34935865</v>
      </c>
      <c r="E14" s="983">
        <f>+'ETCA-II-07'!E12</f>
        <v>25051735</v>
      </c>
      <c r="F14" s="983">
        <f>+'ETCA-II-07'!F12</f>
        <v>21913442</v>
      </c>
      <c r="G14" s="705">
        <f t="shared" ref="G14:G18" si="2">+D14-E14</f>
        <v>9884130</v>
      </c>
    </row>
    <row r="15" spans="1:7" s="531" customFormat="1" ht="12.75">
      <c r="A15" s="616" t="str">
        <f>+'ETCA-II-07'!A13</f>
        <v>OPERACIONES</v>
      </c>
      <c r="B15" s="983">
        <f>+'ETCA-II-07'!B13</f>
        <v>32364370</v>
      </c>
      <c r="C15" s="983">
        <f>+'ETCA-II-07'!C13</f>
        <v>-3137805</v>
      </c>
      <c r="D15" s="705">
        <f t="shared" si="1"/>
        <v>29226565</v>
      </c>
      <c r="E15" s="983">
        <f>+'ETCA-II-07'!E13</f>
        <v>21147725</v>
      </c>
      <c r="F15" s="983">
        <f>+'ETCA-II-07'!F13</f>
        <v>19280465</v>
      </c>
      <c r="G15" s="705">
        <f t="shared" si="2"/>
        <v>8078840</v>
      </c>
    </row>
    <row r="16" spans="1:7" s="531" customFormat="1" ht="12.75">
      <c r="A16" s="616" t="str">
        <f>+'ETCA-II-07'!A14</f>
        <v>DIRECCION</v>
      </c>
      <c r="B16" s="983">
        <f>+'ETCA-II-07'!B14</f>
        <v>7414096</v>
      </c>
      <c r="C16" s="983">
        <f>+'ETCA-II-07'!C14</f>
        <v>-784516</v>
      </c>
      <c r="D16" s="705">
        <f t="shared" si="1"/>
        <v>6629580</v>
      </c>
      <c r="E16" s="983">
        <f>+'ETCA-II-07'!E14</f>
        <v>4698449</v>
      </c>
      <c r="F16" s="983">
        <f>+'ETCA-II-07'!F14</f>
        <v>4062077</v>
      </c>
      <c r="G16" s="705">
        <f t="shared" si="2"/>
        <v>1931131</v>
      </c>
    </row>
    <row r="17" spans="1:8" s="531" customFormat="1" ht="12.75">
      <c r="A17" s="616" t="str">
        <f>+'ETCA-II-07'!A15</f>
        <v>AUDITORIAS</v>
      </c>
      <c r="B17" s="983">
        <f>+'ETCA-II-07'!B15</f>
        <v>1956111</v>
      </c>
      <c r="C17" s="983">
        <f>+'ETCA-II-07'!C15</f>
        <v>-222006</v>
      </c>
      <c r="D17" s="705">
        <f t="shared" si="1"/>
        <v>1734105</v>
      </c>
      <c r="E17" s="983">
        <f>+'ETCA-II-07'!E15</f>
        <v>1233283</v>
      </c>
      <c r="F17" s="983">
        <f>+'ETCA-II-07'!F15</f>
        <v>1055129</v>
      </c>
      <c r="G17" s="705">
        <f t="shared" si="2"/>
        <v>500822</v>
      </c>
    </row>
    <row r="18" spans="1:8" s="531" customFormat="1" ht="12.75">
      <c r="A18" s="616"/>
      <c r="B18" s="705"/>
      <c r="C18" s="705"/>
      <c r="D18" s="705">
        <f t="shared" si="1"/>
        <v>0</v>
      </c>
      <c r="E18" s="705"/>
      <c r="F18" s="705"/>
      <c r="G18" s="705">
        <f t="shared" si="2"/>
        <v>0</v>
      </c>
    </row>
    <row r="19" spans="1:8" s="531" customFormat="1" ht="12.75">
      <c r="A19" s="616"/>
      <c r="B19" s="705"/>
      <c r="C19" s="705"/>
      <c r="D19" s="705"/>
      <c r="E19" s="705"/>
      <c r="F19" s="705"/>
      <c r="G19" s="705"/>
    </row>
    <row r="20" spans="1:8" s="531" customFormat="1" ht="12.75">
      <c r="A20" s="624" t="s">
        <v>727</v>
      </c>
      <c r="B20" s="705"/>
      <c r="C20" s="705"/>
      <c r="D20" s="705"/>
      <c r="E20" s="705"/>
      <c r="F20" s="705"/>
      <c r="G20" s="705"/>
    </row>
    <row r="21" spans="1:8" s="531" customFormat="1" ht="12.75">
      <c r="A21" s="624" t="s">
        <v>728</v>
      </c>
      <c r="B21" s="705">
        <f t="shared" ref="B21:G21" si="3">SUM(B22:B29)</f>
        <v>0</v>
      </c>
      <c r="C21" s="705">
        <f t="shared" si="3"/>
        <v>0</v>
      </c>
      <c r="D21" s="705">
        <f t="shared" si="3"/>
        <v>0</v>
      </c>
      <c r="E21" s="705">
        <f t="shared" si="3"/>
        <v>0</v>
      </c>
      <c r="F21" s="705">
        <f t="shared" si="3"/>
        <v>0</v>
      </c>
      <c r="G21" s="705">
        <f t="shared" si="3"/>
        <v>0</v>
      </c>
    </row>
    <row r="22" spans="1:8" s="531" customFormat="1" ht="12.75">
      <c r="A22" s="616" t="s">
        <v>1273</v>
      </c>
      <c r="B22" s="705"/>
      <c r="C22" s="705"/>
      <c r="D22" s="705">
        <f t="shared" ref="D22:D29" si="4">B22+C22</f>
        <v>0</v>
      </c>
      <c r="E22" s="705"/>
      <c r="F22" s="705"/>
      <c r="G22" s="705">
        <f>+D22-E22</f>
        <v>0</v>
      </c>
    </row>
    <row r="23" spans="1:8" s="531" customFormat="1" ht="12.75">
      <c r="A23" s="616" t="s">
        <v>1274</v>
      </c>
      <c r="B23" s="705"/>
      <c r="C23" s="705"/>
      <c r="D23" s="705">
        <f t="shared" si="4"/>
        <v>0</v>
      </c>
      <c r="E23" s="705"/>
      <c r="F23" s="705"/>
      <c r="G23" s="705">
        <f t="shared" ref="G23:G29" si="5">+D23-E23</f>
        <v>0</v>
      </c>
    </row>
    <row r="24" spans="1:8" s="531" customFormat="1" ht="12.75">
      <c r="A24" s="616" t="s">
        <v>1275</v>
      </c>
      <c r="B24" s="705"/>
      <c r="C24" s="705"/>
      <c r="D24" s="705">
        <f t="shared" si="4"/>
        <v>0</v>
      </c>
      <c r="E24" s="705"/>
      <c r="F24" s="705"/>
      <c r="G24" s="705">
        <f t="shared" si="5"/>
        <v>0</v>
      </c>
    </row>
    <row r="25" spans="1:8" s="531" customFormat="1" ht="12.75">
      <c r="A25" s="616" t="s">
        <v>1276</v>
      </c>
      <c r="B25" s="705"/>
      <c r="C25" s="705"/>
      <c r="D25" s="705">
        <f t="shared" si="4"/>
        <v>0</v>
      </c>
      <c r="E25" s="705"/>
      <c r="F25" s="705"/>
      <c r="G25" s="705">
        <f t="shared" si="5"/>
        <v>0</v>
      </c>
    </row>
    <row r="26" spans="1:8" s="531" customFormat="1" ht="12.75">
      <c r="A26" s="616" t="s">
        <v>1277</v>
      </c>
      <c r="B26" s="705"/>
      <c r="C26" s="705"/>
      <c r="D26" s="705">
        <f t="shared" si="4"/>
        <v>0</v>
      </c>
      <c r="E26" s="705"/>
      <c r="F26" s="705"/>
      <c r="G26" s="705">
        <f t="shared" si="5"/>
        <v>0</v>
      </c>
    </row>
    <row r="27" spans="1:8" s="531" customFormat="1" ht="12.75">
      <c r="A27" s="616" t="s">
        <v>1278</v>
      </c>
      <c r="B27" s="705"/>
      <c r="C27" s="705"/>
      <c r="D27" s="705">
        <f t="shared" si="4"/>
        <v>0</v>
      </c>
      <c r="E27" s="705"/>
      <c r="F27" s="705"/>
      <c r="G27" s="705">
        <f t="shared" si="5"/>
        <v>0</v>
      </c>
    </row>
    <row r="28" spans="1:8" s="531" customFormat="1" ht="12.75">
      <c r="A28" s="616" t="s">
        <v>1279</v>
      </c>
      <c r="B28" s="705"/>
      <c r="C28" s="705"/>
      <c r="D28" s="705">
        <f t="shared" si="4"/>
        <v>0</v>
      </c>
      <c r="E28" s="705"/>
      <c r="F28" s="705"/>
      <c r="G28" s="705">
        <f t="shared" si="5"/>
        <v>0</v>
      </c>
    </row>
    <row r="29" spans="1:8" s="531" customFormat="1" ht="12.75">
      <c r="A29" s="616"/>
      <c r="B29" s="705"/>
      <c r="C29" s="705"/>
      <c r="D29" s="705">
        <f t="shared" si="4"/>
        <v>0</v>
      </c>
      <c r="E29" s="705"/>
      <c r="F29" s="705"/>
      <c r="G29" s="705">
        <f t="shared" si="5"/>
        <v>0</v>
      </c>
    </row>
    <row r="30" spans="1:8" s="531" customFormat="1" ht="12.75">
      <c r="A30" s="704"/>
      <c r="B30" s="705"/>
      <c r="C30" s="705"/>
      <c r="D30" s="705"/>
      <c r="E30" s="705"/>
      <c r="F30" s="705"/>
      <c r="G30" s="705"/>
    </row>
    <row r="31" spans="1:8" s="531" customFormat="1" ht="12.75">
      <c r="A31" s="615" t="s">
        <v>703</v>
      </c>
      <c r="B31" s="705">
        <f>+B10+B21</f>
        <v>115136460</v>
      </c>
      <c r="C31" s="705">
        <f>+C10+C21</f>
        <v>56707</v>
      </c>
      <c r="D31" s="705">
        <f>+D10+D21</f>
        <v>115193167</v>
      </c>
      <c r="E31" s="705">
        <f>+E10+E21+1</f>
        <v>82444019</v>
      </c>
      <c r="F31" s="705">
        <f>+F10+F21+1</f>
        <v>73560558</v>
      </c>
      <c r="G31" s="705">
        <f>+G10+G21</f>
        <v>32749149</v>
      </c>
      <c r="H31" s="1049"/>
    </row>
    <row r="32" spans="1:8" ht="15.75" thickBot="1">
      <c r="A32" s="688"/>
      <c r="B32" s="690"/>
      <c r="C32" s="690"/>
      <c r="D32" s="690"/>
      <c r="E32" s="690"/>
      <c r="F32" s="690"/>
      <c r="G32" s="690"/>
      <c r="H32" s="525" t="str">
        <f>IF((C31-'ETCA-II-07'!C32)&gt;0.9,"ERROR!!!!! EL MONTO NO COINCIDE CON LO REPORTADO EN EL FORMATO ETCA-II-07 EN EL TOTAL DEL GASTO","")</f>
        <v/>
      </c>
    </row>
    <row r="33" spans="8:8">
      <c r="H33" s="525" t="str">
        <f>IF((D31-'ETCA-II-07'!D32)&gt;0.9,"ERROR!!!!! EL MONTO NO COINCIDE CON LO REPORTADO EN EL FORMATO ETCA-II-07 EN EL TOTAL DEL GASTO","")</f>
        <v/>
      </c>
    </row>
    <row r="34" spans="8:8">
      <c r="H34" s="525" t="str">
        <f>IF((D31-'ETCA-II-07'!D32)&gt;0.9,"ERROR!!!!! EL MONTO NO COINCIDE CON LO REPORTADO EN EL FORMATO ETCA-II-07 EN EL TOTAL DEL GASTO","")</f>
        <v/>
      </c>
    </row>
    <row r="35" spans="8:8">
      <c r="H35" s="525" t="str">
        <f>IF((F31-'ETCA-II-07'!F32)&gt;0.9,"ERROR!!!!! EL MONTO NO COINCIDE CON LO REPORTADO EN EL FORMATO ETCA-II-07 EN EL TOTAL DEL GASTO","")</f>
        <v/>
      </c>
    </row>
    <row r="36" spans="8:8">
      <c r="H36" s="525"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topLeftCell="A6" zoomScaleSheetLayoutView="100" workbookViewId="0">
      <selection activeCell="G15" sqref="G15"/>
    </sheetView>
  </sheetViews>
  <sheetFormatPr baseColWidth="10" defaultColWidth="11.28515625" defaultRowHeight="16.5"/>
  <cols>
    <col min="1" max="1" width="39.85546875" style="286" customWidth="1"/>
    <col min="2" max="7" width="13.7109375" style="286" customWidth="1"/>
    <col min="8" max="16384" width="11.28515625" style="286"/>
  </cols>
  <sheetData>
    <row r="1" spans="1:8">
      <c r="A1" s="1209" t="s">
        <v>23</v>
      </c>
      <c r="B1" s="1209"/>
      <c r="C1" s="1209"/>
      <c r="D1" s="1209"/>
      <c r="E1" s="1209"/>
      <c r="F1" s="1209"/>
      <c r="G1" s="1209"/>
    </row>
    <row r="2" spans="1:8" s="288" customFormat="1">
      <c r="A2" s="1209" t="s">
        <v>559</v>
      </c>
      <c r="B2" s="1209"/>
      <c r="C2" s="1209"/>
      <c r="D2" s="1209"/>
      <c r="E2" s="1209"/>
      <c r="F2" s="1209"/>
      <c r="G2" s="1209"/>
    </row>
    <row r="3" spans="1:8" s="288" customFormat="1">
      <c r="A3" s="1376" t="s">
        <v>729</v>
      </c>
      <c r="B3" s="1376"/>
      <c r="C3" s="1376"/>
      <c r="D3" s="1376"/>
      <c r="E3" s="1376"/>
      <c r="F3" s="1376"/>
      <c r="G3" s="1376"/>
    </row>
    <row r="4" spans="1:8" s="288" customFormat="1">
      <c r="A4" s="1210" t="str">
        <f>'ETCA-I-01'!A3:G3</f>
        <v>TELEVISORA DE HERMOSILLO, S.A. DE C.V.</v>
      </c>
      <c r="B4" s="1210"/>
      <c r="C4" s="1210"/>
      <c r="D4" s="1210"/>
      <c r="E4" s="1210"/>
      <c r="F4" s="1210"/>
      <c r="G4" s="1210"/>
    </row>
    <row r="5" spans="1:8" s="288" customFormat="1">
      <c r="A5" s="1211" t="str">
        <f>'ETCA-I-03'!A4:D4</f>
        <v>Del 01 de Enero al 30 de Septiembre de 2018</v>
      </c>
      <c r="B5" s="1211"/>
      <c r="C5" s="1211"/>
      <c r="D5" s="1211"/>
      <c r="E5" s="1211"/>
      <c r="F5" s="1211"/>
      <c r="G5" s="1211"/>
    </row>
    <row r="6" spans="1:8" s="288" customFormat="1" ht="17.25" thickBot="1">
      <c r="A6" s="1327" t="s">
        <v>730</v>
      </c>
      <c r="B6" s="1327"/>
      <c r="C6" s="1327"/>
      <c r="D6" s="1327"/>
      <c r="E6" s="1327"/>
      <c r="F6" s="52"/>
      <c r="G6" s="440"/>
    </row>
    <row r="7" spans="1:8" s="299" customFormat="1" ht="53.25" customHeight="1">
      <c r="A7" s="1374" t="s">
        <v>729</v>
      </c>
      <c r="B7" s="306" t="s">
        <v>563</v>
      </c>
      <c r="C7" s="306" t="s">
        <v>473</v>
      </c>
      <c r="D7" s="306" t="s">
        <v>564</v>
      </c>
      <c r="E7" s="306" t="s">
        <v>565</v>
      </c>
      <c r="F7" s="306" t="s">
        <v>566</v>
      </c>
      <c r="G7" s="307" t="s">
        <v>567</v>
      </c>
    </row>
    <row r="8" spans="1:8" s="305" customFormat="1" ht="15.75" customHeight="1" thickBot="1">
      <c r="A8" s="1375"/>
      <c r="B8" s="300" t="s">
        <v>438</v>
      </c>
      <c r="C8" s="300" t="s">
        <v>439</v>
      </c>
      <c r="D8" s="300" t="s">
        <v>568</v>
      </c>
      <c r="E8" s="300" t="s">
        <v>441</v>
      </c>
      <c r="F8" s="300" t="s">
        <v>442</v>
      </c>
      <c r="G8" s="301" t="s">
        <v>569</v>
      </c>
    </row>
    <row r="9" spans="1:8" ht="30" customHeight="1">
      <c r="A9" s="530"/>
      <c r="B9" s="309"/>
      <c r="C9" s="309"/>
      <c r="D9" s="309"/>
      <c r="E9" s="309"/>
      <c r="F9" s="309"/>
      <c r="G9" s="310"/>
    </row>
    <row r="10" spans="1:8" ht="30" customHeight="1">
      <c r="A10" s="295" t="s">
        <v>731</v>
      </c>
      <c r="B10" s="461">
        <f>+'ETCA-II-13'!C131</f>
        <v>115136460</v>
      </c>
      <c r="C10" s="461">
        <f>+'ETCA-II-13'!D131</f>
        <v>56707</v>
      </c>
      <c r="D10" s="462">
        <f>B10+C10</f>
        <v>115193167</v>
      </c>
      <c r="E10" s="461">
        <f>+'ETCA-II-13'!F131</f>
        <v>82444019</v>
      </c>
      <c r="F10" s="461">
        <f>+'ETCA-II-13'!G131</f>
        <v>73560558</v>
      </c>
      <c r="G10" s="463">
        <f>D10-E10+1</f>
        <v>32749149</v>
      </c>
    </row>
    <row r="11" spans="1:8" ht="30" customHeight="1">
      <c r="A11" s="295" t="s">
        <v>732</v>
      </c>
      <c r="B11" s="461"/>
      <c r="C11" s="461"/>
      <c r="D11" s="462">
        <f>B11+C11</f>
        <v>0</v>
      </c>
      <c r="E11" s="461"/>
      <c r="F11" s="461"/>
      <c r="G11" s="463">
        <f>D11-E11</f>
        <v>0</v>
      </c>
    </row>
    <row r="12" spans="1:8" ht="30" customHeight="1">
      <c r="A12" s="295" t="s">
        <v>733</v>
      </c>
      <c r="B12" s="461"/>
      <c r="C12" s="461"/>
      <c r="D12" s="462">
        <f>B12+C12</f>
        <v>0</v>
      </c>
      <c r="E12" s="461"/>
      <c r="F12" s="461"/>
      <c r="G12" s="463">
        <f>D12-E12</f>
        <v>0</v>
      </c>
    </row>
    <row r="13" spans="1:8" ht="30" customHeight="1">
      <c r="A13" s="295" t="s">
        <v>734</v>
      </c>
      <c r="B13" s="461"/>
      <c r="C13" s="461"/>
      <c r="D13" s="462">
        <f>B13+C13</f>
        <v>0</v>
      </c>
      <c r="E13" s="461"/>
      <c r="F13" s="461"/>
      <c r="G13" s="463">
        <f>D13-E13</f>
        <v>0</v>
      </c>
    </row>
    <row r="14" spans="1:8" ht="30" customHeight="1" thickBot="1">
      <c r="A14" s="529"/>
      <c r="B14" s="469"/>
      <c r="C14" s="469"/>
      <c r="D14" s="469"/>
      <c r="E14" s="469"/>
      <c r="F14" s="469"/>
      <c r="G14" s="470"/>
    </row>
    <row r="15" spans="1:8" s="299" customFormat="1" ht="30" customHeight="1" thickBot="1">
      <c r="A15" s="796" t="s">
        <v>619</v>
      </c>
      <c r="B15" s="471">
        <f>SUM(B10:B13)</f>
        <v>115136460</v>
      </c>
      <c r="C15" s="471">
        <f>SUM(C10:C13)</f>
        <v>56707</v>
      </c>
      <c r="D15" s="471">
        <f>B15+C15</f>
        <v>115193167</v>
      </c>
      <c r="E15" s="471">
        <f>SUM(E10:E13)</f>
        <v>82444019</v>
      </c>
      <c r="F15" s="471">
        <f>SUM(F10:F13)</f>
        <v>73560558</v>
      </c>
      <c r="G15" s="472">
        <f>D15-E15+1</f>
        <v>32749149</v>
      </c>
      <c r="H15" s="525" t="str">
        <f>IF((B15-'ETCA II-04'!B81)&gt;0.9,"ERROR!!!!! EL MONTO NO COINCIDE CON LO REPORTADO EN EL FORMATO ETCA-II-04 EN EL TOTAL APROBADO ANUAL DEL ANALÍTICO DE EGRESOS","")</f>
        <v/>
      </c>
    </row>
    <row r="16" spans="1:8" s="299" customFormat="1" ht="30" customHeight="1">
      <c r="A16" s="507"/>
      <c r="B16" s="508"/>
      <c r="C16" s="508"/>
      <c r="D16" s="508"/>
      <c r="E16" s="508"/>
      <c r="F16" s="508"/>
      <c r="G16" s="508"/>
      <c r="H16" s="525" t="str">
        <f>IF((C15-'ETCA II-04'!C81)&gt;0.9,"ERROR!!!!! EL MONTO NO COINCIDE CON LO REPORTADO EN EL FORMATO ETCA-II-04 EN EL TOTAL APROBADO ANUAL DEL ANALÍTICO DE EGRESOS","")</f>
        <v/>
      </c>
    </row>
    <row r="17" spans="1:8" s="299" customFormat="1" ht="30" customHeight="1">
      <c r="A17" s="507"/>
      <c r="B17" s="508"/>
      <c r="C17" s="508"/>
      <c r="D17" s="508"/>
      <c r="E17" s="508"/>
      <c r="F17" s="508"/>
      <c r="G17" s="508"/>
      <c r="H17" s="525" t="str">
        <f>IF((D15-'ETCA II-04'!D81)&gt;0.9,"ERROR!!!!! EL MONTO NO COINCIDE CON LO REPORTADO EN EL FORMATO ETCA-II-04 EN EL TOTAL APROBADO ANUAL DEL ANALÍTICO DE EGRESOS","")</f>
        <v/>
      </c>
    </row>
    <row r="18" spans="1:8" s="299" customFormat="1" ht="18" customHeight="1">
      <c r="A18" s="507"/>
      <c r="B18" s="508"/>
      <c r="C18" s="508"/>
      <c r="D18" s="508"/>
      <c r="E18" s="508"/>
      <c r="F18" s="508"/>
      <c r="G18" s="508"/>
      <c r="H18" s="525" t="str">
        <f>IF((E15-'ETCA II-04'!E81)&gt;0.9,"ERROR!!!!! EL MONTO NO COINCIDE CON LO REPORTADO EN EL FORMATO ETCA-II-04 EN EL TOTAL APROBADO ANUAL DEL ANALÍTICO DE EGRESOS","")</f>
        <v/>
      </c>
    </row>
    <row r="19" spans="1:8" s="299" customFormat="1" ht="18" customHeight="1">
      <c r="A19" s="507"/>
      <c r="B19" s="508"/>
      <c r="C19" s="508"/>
      <c r="D19" s="508"/>
      <c r="E19" s="508"/>
      <c r="F19" s="508"/>
      <c r="G19" s="508"/>
      <c r="H19" s="525" t="str">
        <f>IF((F15-'ETCA II-04'!F81)&gt;0.9,"ERROR!!!!! EL MONTO NO COINCIDE CON LO REPORTADO EN EL FORMATO ETCA-II-04 EN EL TOTAL APROBADO ANUAL DEL ANALÍTICO DE EGRESOS","")</f>
        <v/>
      </c>
    </row>
    <row r="20" spans="1:8">
      <c r="H20" s="525" t="str">
        <f>IF((G15-'ETCA II-04'!G81)&gt;0.9,"ERROR!!!!! EL MONTO NO COINCIDE CON LO REPORTADO EN EL FORMATO ETCA-II-04 EN EL TOTAL APROBADO ANUAL DEL ANALÍTICO DE EGRESOS","")</f>
        <v/>
      </c>
    </row>
    <row r="21" spans="1:8">
      <c r="H21" s="525" t="str">
        <f>IF((B21-'ETCA II-04'!B87)&gt;0.9,"ERROR!!!!! EL MONTO NO COINCIDE CON LO REPORTADO EN EL FORMATO ETCA-II-04 EN EL TOTAL APROBADO ANUAL DEL ANALÍTICO DE EGRESOS","")</f>
        <v/>
      </c>
    </row>
    <row r="22" spans="1:8">
      <c r="H22" s="525" t="str">
        <f>IF(G15&lt;&gt;'ETCA II-04'!G81,"ERROR!!!!! EL MONTO NO COINCIDE CON LO REPORTADO EN EL FORMATO ETCA-II-04 EN EL TOTAL SUBEJERCICIO PRESENTADO EN EL ANALÍTICO DE EGRESOS","")</f>
        <v/>
      </c>
    </row>
  </sheetData>
  <sheetProtection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topLeftCell="A7" zoomScaleSheetLayoutView="100" workbookViewId="0">
      <selection activeCell="G24" sqref="G24"/>
    </sheetView>
  </sheetViews>
  <sheetFormatPr baseColWidth="10" defaultColWidth="11.28515625" defaultRowHeight="16.5"/>
  <cols>
    <col min="1" max="1" width="39.85546875" style="286" customWidth="1"/>
    <col min="2" max="7" width="13.7109375" style="286" customWidth="1"/>
    <col min="8" max="16384" width="11.28515625" style="286"/>
  </cols>
  <sheetData>
    <row r="1" spans="1:7">
      <c r="A1" s="1376" t="s">
        <v>23</v>
      </c>
      <c r="B1" s="1376"/>
      <c r="C1" s="1376"/>
      <c r="D1" s="1376"/>
      <c r="E1" s="1376"/>
      <c r="F1" s="1376"/>
      <c r="G1" s="1376"/>
    </row>
    <row r="2" spans="1:7">
      <c r="A2" s="1376" t="s">
        <v>559</v>
      </c>
      <c r="B2" s="1376"/>
      <c r="C2" s="1376"/>
      <c r="D2" s="1376"/>
      <c r="E2" s="1376"/>
      <c r="F2" s="1376"/>
      <c r="G2" s="1376"/>
    </row>
    <row r="3" spans="1:7">
      <c r="A3" s="1376" t="s">
        <v>735</v>
      </c>
      <c r="B3" s="1376"/>
      <c r="C3" s="1376"/>
      <c r="D3" s="1376"/>
      <c r="E3" s="1376"/>
      <c r="F3" s="1376"/>
      <c r="G3" s="1376"/>
    </row>
    <row r="4" spans="1:7">
      <c r="A4" s="1210" t="str">
        <f>'ETCA-I-01'!A3:G3</f>
        <v>TELEVISORA DE HERMOSILLO, S.A. DE C.V.</v>
      </c>
      <c r="B4" s="1210"/>
      <c r="C4" s="1210"/>
      <c r="D4" s="1210"/>
      <c r="E4" s="1210"/>
      <c r="F4" s="1210"/>
      <c r="G4" s="1210"/>
    </row>
    <row r="5" spans="1:7">
      <c r="A5" s="1211" t="str">
        <f>'ETCA-I-03'!A4:D4</f>
        <v>Del 01 de Enero al 30 de Septiembre de 2018</v>
      </c>
      <c r="B5" s="1211"/>
      <c r="C5" s="1211"/>
      <c r="D5" s="1211"/>
      <c r="E5" s="1211"/>
      <c r="F5" s="1211"/>
      <c r="G5" s="1211"/>
    </row>
    <row r="6" spans="1:7" ht="17.25" thickBot="1">
      <c r="A6" s="1327" t="s">
        <v>736</v>
      </c>
      <c r="B6" s="1327"/>
      <c r="C6" s="1327"/>
      <c r="D6" s="1327"/>
      <c r="E6" s="1327"/>
      <c r="F6" s="52"/>
      <c r="G6" s="440"/>
    </row>
    <row r="7" spans="1:7" s="292" customFormat="1" ht="40.5">
      <c r="A7" s="1377" t="s">
        <v>257</v>
      </c>
      <c r="B7" s="313" t="s">
        <v>563</v>
      </c>
      <c r="C7" s="313" t="s">
        <v>473</v>
      </c>
      <c r="D7" s="313" t="s">
        <v>564</v>
      </c>
      <c r="E7" s="313" t="s">
        <v>565</v>
      </c>
      <c r="F7" s="313" t="s">
        <v>566</v>
      </c>
      <c r="G7" s="314" t="s">
        <v>567</v>
      </c>
    </row>
    <row r="8" spans="1:7" s="292" customFormat="1" ht="15.75" customHeight="1" thickBot="1">
      <c r="A8" s="1378"/>
      <c r="B8" s="300" t="s">
        <v>438</v>
      </c>
      <c r="C8" s="300" t="s">
        <v>439</v>
      </c>
      <c r="D8" s="300" t="s">
        <v>568</v>
      </c>
      <c r="E8" s="300" t="s">
        <v>441</v>
      </c>
      <c r="F8" s="300" t="s">
        <v>442</v>
      </c>
      <c r="G8" s="301" t="s">
        <v>569</v>
      </c>
    </row>
    <row r="9" spans="1:7">
      <c r="A9" s="308"/>
      <c r="B9" s="311"/>
      <c r="C9" s="311"/>
      <c r="D9" s="312"/>
      <c r="E9" s="311"/>
      <c r="F9" s="311"/>
      <c r="G9" s="315"/>
    </row>
    <row r="10" spans="1:7" ht="25.5">
      <c r="A10" s="316" t="s">
        <v>737</v>
      </c>
      <c r="B10" s="461"/>
      <c r="C10" s="461"/>
      <c r="D10" s="462">
        <f>IF(A10="","",B10+C10)</f>
        <v>0</v>
      </c>
      <c r="E10" s="461"/>
      <c r="F10" s="461"/>
      <c r="G10" s="463">
        <f>IF(A10="","",D10-E10)</f>
        <v>0</v>
      </c>
    </row>
    <row r="11" spans="1:7" ht="8.25" customHeight="1">
      <c r="A11" s="316"/>
      <c r="B11" s="461"/>
      <c r="C11" s="461"/>
      <c r="D11" s="462" t="str">
        <f t="shared" ref="D11:D22" si="0">IF(A11="","",B11+C11)</f>
        <v/>
      </c>
      <c r="E11" s="461"/>
      <c r="F11" s="461"/>
      <c r="G11" s="463" t="str">
        <f t="shared" ref="G11:G22" si="1">IF(A11="","",D11-E11)</f>
        <v/>
      </c>
    </row>
    <row r="12" spans="1:7">
      <c r="A12" s="316" t="s">
        <v>738</v>
      </c>
      <c r="B12" s="461"/>
      <c r="C12" s="461"/>
      <c r="D12" s="462">
        <f t="shared" si="0"/>
        <v>0</v>
      </c>
      <c r="E12" s="461"/>
      <c r="F12" s="461"/>
      <c r="G12" s="463">
        <f t="shared" si="1"/>
        <v>0</v>
      </c>
    </row>
    <row r="13" spans="1:7" ht="8.25" customHeight="1">
      <c r="A13" s="316"/>
      <c r="B13" s="461"/>
      <c r="C13" s="461"/>
      <c r="D13" s="462" t="str">
        <f t="shared" si="0"/>
        <v/>
      </c>
      <c r="E13" s="461"/>
      <c r="F13" s="461"/>
      <c r="G13" s="463" t="str">
        <f t="shared" si="1"/>
        <v/>
      </c>
    </row>
    <row r="14" spans="1:7" ht="25.5">
      <c r="A14" s="316" t="s">
        <v>739</v>
      </c>
      <c r="B14" s="461">
        <f>+'ETCA-II-13'!C131</f>
        <v>115136460</v>
      </c>
      <c r="C14" s="461">
        <f>+'ETCA-II-13'!D131</f>
        <v>56707</v>
      </c>
      <c r="D14" s="462">
        <f t="shared" si="0"/>
        <v>115193167</v>
      </c>
      <c r="E14" s="461">
        <f>+'ETCA-II-13'!F131</f>
        <v>82444019</v>
      </c>
      <c r="F14" s="461">
        <f>+'ETCA-II-13'!G131</f>
        <v>73560558</v>
      </c>
      <c r="G14" s="463">
        <f>IF(A14="","",D14-E14)+1</f>
        <v>32749149</v>
      </c>
    </row>
    <row r="15" spans="1:7" ht="8.25" customHeight="1">
      <c r="A15" s="316"/>
      <c r="B15" s="461"/>
      <c r="C15" s="461"/>
      <c r="D15" s="462" t="str">
        <f t="shared" si="0"/>
        <v/>
      </c>
      <c r="E15" s="461"/>
      <c r="F15" s="461"/>
      <c r="G15" s="463" t="str">
        <f t="shared" si="1"/>
        <v/>
      </c>
    </row>
    <row r="16" spans="1:7" ht="25.5">
      <c r="A16" s="316" t="s">
        <v>740</v>
      </c>
      <c r="B16" s="461"/>
      <c r="C16" s="461"/>
      <c r="D16" s="462">
        <f t="shared" si="0"/>
        <v>0</v>
      </c>
      <c r="E16" s="461"/>
      <c r="F16" s="461"/>
      <c r="G16" s="463">
        <f t="shared" si="1"/>
        <v>0</v>
      </c>
    </row>
    <row r="17" spans="1:8" ht="8.25" customHeight="1">
      <c r="A17" s="316"/>
      <c r="B17" s="461"/>
      <c r="C17" s="461"/>
      <c r="D17" s="462" t="str">
        <f t="shared" si="0"/>
        <v/>
      </c>
      <c r="E17" s="461"/>
      <c r="F17" s="461"/>
      <c r="G17" s="463" t="str">
        <f t="shared" si="1"/>
        <v/>
      </c>
    </row>
    <row r="18" spans="1:8" ht="25.5">
      <c r="A18" s="316" t="s">
        <v>741</v>
      </c>
      <c r="B18" s="461"/>
      <c r="C18" s="461"/>
      <c r="D18" s="462">
        <f t="shared" si="0"/>
        <v>0</v>
      </c>
      <c r="E18" s="461"/>
      <c r="F18" s="461"/>
      <c r="G18" s="463">
        <f t="shared" si="1"/>
        <v>0</v>
      </c>
    </row>
    <row r="19" spans="1:8" ht="8.25" customHeight="1">
      <c r="A19" s="316"/>
      <c r="B19" s="461"/>
      <c r="C19" s="461"/>
      <c r="D19" s="462" t="str">
        <f t="shared" si="0"/>
        <v/>
      </c>
      <c r="E19" s="461"/>
      <c r="F19" s="461"/>
      <c r="G19" s="463" t="str">
        <f t="shared" si="1"/>
        <v/>
      </c>
    </row>
    <row r="20" spans="1:8" ht="25.5">
      <c r="A20" s="316" t="s">
        <v>742</v>
      </c>
      <c r="B20" s="461"/>
      <c r="C20" s="461"/>
      <c r="D20" s="462">
        <f t="shared" si="0"/>
        <v>0</v>
      </c>
      <c r="E20" s="461"/>
      <c r="F20" s="461"/>
      <c r="G20" s="463">
        <f t="shared" si="1"/>
        <v>0</v>
      </c>
    </row>
    <row r="21" spans="1:8" ht="8.25" customHeight="1">
      <c r="A21" s="316"/>
      <c r="B21" s="461"/>
      <c r="C21" s="461"/>
      <c r="D21" s="462" t="str">
        <f t="shared" si="0"/>
        <v/>
      </c>
      <c r="E21" s="461"/>
      <c r="F21" s="461"/>
      <c r="G21" s="463" t="str">
        <f t="shared" si="1"/>
        <v/>
      </c>
    </row>
    <row r="22" spans="1:8" ht="26.25" thickBot="1">
      <c r="A22" s="316" t="s">
        <v>743</v>
      </c>
      <c r="B22" s="461"/>
      <c r="C22" s="461"/>
      <c r="D22" s="462">
        <f t="shared" si="0"/>
        <v>0</v>
      </c>
      <c r="E22" s="461"/>
      <c r="F22" s="461"/>
      <c r="G22" s="463">
        <f t="shared" si="1"/>
        <v>0</v>
      </c>
    </row>
    <row r="23" spans="1:8" ht="24.95" customHeight="1" thickBot="1">
      <c r="A23" s="304" t="s">
        <v>619</v>
      </c>
      <c r="B23" s="467">
        <f>SUM(B10:B22)</f>
        <v>115136460</v>
      </c>
      <c r="C23" s="467">
        <f>SUM(C10:C22)</f>
        <v>56707</v>
      </c>
      <c r="D23" s="467">
        <f>IF(A23="","",B23+C23)</f>
        <v>115193167</v>
      </c>
      <c r="E23" s="467">
        <f>SUM(E10:E22)</f>
        <v>82444019</v>
      </c>
      <c r="F23" s="467">
        <f>SUM(F10:F22)</f>
        <v>73560558</v>
      </c>
      <c r="G23" s="468">
        <f>IF(A23="","",D23-E23)+1</f>
        <v>32749149</v>
      </c>
      <c r="H23" s="525" t="str">
        <f>IF((B23-'ETCA II-04'!B81)&gt;0.9,"ERROR!!!!! EL MONTO NO COINCIDE CON LO REPORTADO EN EL FORMATO ETCA-II-04 EN EL TOTAL APROBADO ANUAL DEL ANALÍTICO DE EGRESOS","")</f>
        <v/>
      </c>
    </row>
    <row r="24" spans="1:8" ht="24.95" customHeight="1">
      <c r="A24" s="542"/>
      <c r="B24" s="543"/>
      <c r="C24" s="543"/>
      <c r="D24" s="543"/>
      <c r="E24" s="543"/>
      <c r="F24" s="543"/>
      <c r="G24" s="543"/>
      <c r="H24" s="525" t="str">
        <f>IF((C23-'ETCA II-04'!C81)&gt;0.9,"ERROR!!!!! EL MONTO NO COINCIDE CON LO REPORTADO EN EL FORMATO ETCA-II-04 EN EL TOTAL APROBADO ANUAL DEL ANALÍTICO DE EGRESOS","")</f>
        <v/>
      </c>
    </row>
    <row r="25" spans="1:8" ht="24.95" customHeight="1">
      <c r="A25" s="509"/>
      <c r="B25" s="508"/>
      <c r="C25" s="508"/>
      <c r="D25" s="508"/>
      <c r="E25" s="508"/>
      <c r="F25" s="508"/>
      <c r="G25" s="508"/>
      <c r="H25" s="525" t="str">
        <f>IF((D23-'ETCA II-04'!D81)&gt;0.9,"ERROR!!!!! EL MONTO NO COINCIDE CON LO REPORTADO EN EL FORMATO ETCA-II-04 EN EL TOTAL APROBADO ANUAL DEL ANALÍTICO DE EGRESOS","")</f>
        <v/>
      </c>
    </row>
    <row r="26" spans="1:8" ht="24.95" customHeight="1">
      <c r="A26" s="544"/>
      <c r="B26" s="511"/>
      <c r="C26" s="511"/>
      <c r="D26" s="512"/>
      <c r="E26" s="511"/>
      <c r="F26" s="511"/>
      <c r="G26" s="512"/>
      <c r="H26" s="525" t="str">
        <f>IF((E23-'ETCA II-04'!E81)&gt;0.9,"ERROR!!!!! EL MONTO NO COINCIDE CON LO REPORTADO EN EL FORMATO ETCA-II-04 EN EL TOTAL APROBADO ANUAL DEL ANALÍTICO DE EGRESOS","")</f>
        <v/>
      </c>
    </row>
    <row r="27" spans="1:8" ht="24.95" customHeight="1">
      <c r="A27" s="544"/>
      <c r="B27" s="511"/>
      <c r="C27" s="511"/>
      <c r="D27" s="512"/>
      <c r="E27" s="511"/>
      <c r="F27" s="511"/>
      <c r="G27" s="512"/>
      <c r="H27" s="525" t="str">
        <f>IF((F23-'ETCA II-04'!F81)&gt;0.9,"ERROR!!!!! EL MONTO NO COINCIDE CON LO REPORTADO EN EL FORMATO ETCA-II-04 EN EL TOTAL APROBADO ANUAL DEL ANALÍTICO DE EGRESOS","")</f>
        <v/>
      </c>
    </row>
    <row r="28" spans="1:8" ht="25.5" customHeight="1">
      <c r="A28" s="509"/>
      <c r="B28" s="508"/>
      <c r="C28" s="508"/>
      <c r="D28" s="508"/>
      <c r="E28" s="508"/>
      <c r="F28" s="508"/>
      <c r="G28" s="508"/>
      <c r="H28" s="525" t="str">
        <f>IF((G23-'ETCA II-04'!G81)&gt;0.9,"ERROR!!!!! EL MONTO NO COINCIDE CON LO REPORTADO EN EL FORMATO ETCA-II-04 EN EL TOTAL APROBADO ANUAL DEL ANALÍTICO DE EGRESOS","")</f>
        <v/>
      </c>
    </row>
    <row r="30" spans="1:8">
      <c r="F30" s="299"/>
    </row>
    <row r="31" spans="1:8">
      <c r="F31" s="299"/>
    </row>
  </sheetData>
  <sheetProtection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7" zoomScaleSheetLayoutView="100" workbookViewId="0">
      <selection activeCell="G21" sqref="G21"/>
    </sheetView>
  </sheetViews>
  <sheetFormatPr baseColWidth="10" defaultRowHeight="15"/>
  <cols>
    <col min="1" max="1" width="35.7109375" customWidth="1"/>
    <col min="2" max="5" width="11.28515625" customWidth="1"/>
    <col min="6" max="6" width="11.85546875" customWidth="1"/>
  </cols>
  <sheetData>
    <row r="1" spans="1:7" ht="16.5">
      <c r="A1" s="1376" t="s">
        <v>23</v>
      </c>
      <c r="B1" s="1376"/>
      <c r="C1" s="1376"/>
      <c r="D1" s="1376"/>
      <c r="E1" s="1376"/>
      <c r="F1" s="1376"/>
      <c r="G1" s="1376"/>
    </row>
    <row r="2" spans="1:7" ht="16.5">
      <c r="A2" s="1376" t="s">
        <v>559</v>
      </c>
      <c r="B2" s="1376"/>
      <c r="C2" s="1376"/>
      <c r="D2" s="1376"/>
      <c r="E2" s="1376"/>
      <c r="F2" s="1376"/>
      <c r="G2" s="1376"/>
    </row>
    <row r="3" spans="1:7" ht="16.5">
      <c r="A3" s="1376" t="s">
        <v>744</v>
      </c>
      <c r="B3" s="1376"/>
      <c r="C3" s="1376"/>
      <c r="D3" s="1376"/>
      <c r="E3" s="1376"/>
      <c r="F3" s="1376"/>
      <c r="G3" s="1376"/>
    </row>
    <row r="4" spans="1:7" ht="15.75">
      <c r="A4" s="1210" t="str">
        <f>'ETCA-I-01'!A3:G3</f>
        <v>TELEVISORA DE HERMOSILLO, S.A. DE C.V.</v>
      </c>
      <c r="B4" s="1210"/>
      <c r="C4" s="1210"/>
      <c r="D4" s="1210"/>
      <c r="E4" s="1210"/>
      <c r="F4" s="1210"/>
      <c r="G4" s="1210"/>
    </row>
    <row r="5" spans="1:7" ht="16.5">
      <c r="A5" s="1211" t="str">
        <f>'ETCA-I-03'!A4:D4</f>
        <v>Del 01 de Enero al 30 de Septiembre de 2018</v>
      </c>
      <c r="B5" s="1211"/>
      <c r="C5" s="1211"/>
      <c r="D5" s="1211"/>
      <c r="E5" s="1211"/>
      <c r="F5" s="1211"/>
      <c r="G5" s="1211"/>
    </row>
    <row r="6" spans="1:7" ht="17.25" thickBot="1">
      <c r="A6" s="167"/>
      <c r="B6" s="1379"/>
      <c r="C6" s="1379"/>
      <c r="D6" s="1379"/>
      <c r="E6" s="1379"/>
      <c r="F6" s="317"/>
      <c r="G6" s="441"/>
    </row>
    <row r="7" spans="1:7" ht="40.5">
      <c r="A7" s="1377" t="s">
        <v>257</v>
      </c>
      <c r="B7" s="318" t="s">
        <v>563</v>
      </c>
      <c r="C7" s="318" t="s">
        <v>473</v>
      </c>
      <c r="D7" s="318" t="s">
        <v>564</v>
      </c>
      <c r="E7" s="318" t="s">
        <v>565</v>
      </c>
      <c r="F7" s="318" t="s">
        <v>566</v>
      </c>
      <c r="G7" s="319" t="s">
        <v>567</v>
      </c>
    </row>
    <row r="8" spans="1:7" ht="15.75" thickBot="1">
      <c r="A8" s="1378"/>
      <c r="B8" s="320" t="s">
        <v>438</v>
      </c>
      <c r="C8" s="320" t="s">
        <v>439</v>
      </c>
      <c r="D8" s="320" t="s">
        <v>568</v>
      </c>
      <c r="E8" s="320" t="s">
        <v>441</v>
      </c>
      <c r="F8" s="320" t="s">
        <v>442</v>
      </c>
      <c r="G8" s="321" t="s">
        <v>569</v>
      </c>
    </row>
    <row r="9" spans="1:7" ht="16.5">
      <c r="A9" s="322"/>
      <c r="B9" s="323"/>
      <c r="C9" s="323"/>
      <c r="D9" s="323"/>
      <c r="E9" s="323"/>
      <c r="F9" s="323"/>
      <c r="G9" s="324"/>
    </row>
    <row r="10" spans="1:7">
      <c r="A10" s="458" t="s">
        <v>745</v>
      </c>
      <c r="B10" s="459">
        <f>SUM(B11:B18)</f>
        <v>0</v>
      </c>
      <c r="C10" s="459">
        <f>SUM(C11:C18)</f>
        <v>0</v>
      </c>
      <c r="D10" s="459">
        <f>IF(A10="","",B10+C10)</f>
        <v>0</v>
      </c>
      <c r="E10" s="459">
        <f>SUM(E11:E18)</f>
        <v>0</v>
      </c>
      <c r="F10" s="459">
        <f>SUM(F11:F18)</f>
        <v>0</v>
      </c>
      <c r="G10" s="460">
        <f>IF(A10="","",D10-E10)</f>
        <v>0</v>
      </c>
    </row>
    <row r="11" spans="1:7">
      <c r="A11" s="295" t="s">
        <v>746</v>
      </c>
      <c r="B11" s="461"/>
      <c r="C11" s="461"/>
      <c r="D11" s="462">
        <f t="shared" ref="D11:D44" si="0">IF(A11="","",B11+C11)</f>
        <v>0</v>
      </c>
      <c r="E11" s="461"/>
      <c r="F11" s="461"/>
      <c r="G11" s="463">
        <f t="shared" ref="G11:G44" si="1">IF(A11="","",D11-E11)</f>
        <v>0</v>
      </c>
    </row>
    <row r="12" spans="1:7">
      <c r="A12" s="295" t="s">
        <v>747</v>
      </c>
      <c r="B12" s="461"/>
      <c r="C12" s="461"/>
      <c r="D12" s="462">
        <f t="shared" si="0"/>
        <v>0</v>
      </c>
      <c r="E12" s="461"/>
      <c r="F12" s="461"/>
      <c r="G12" s="463">
        <f t="shared" si="1"/>
        <v>0</v>
      </c>
    </row>
    <row r="13" spans="1:7">
      <c r="A13" s="295" t="s">
        <v>748</v>
      </c>
      <c r="B13" s="461"/>
      <c r="C13" s="461"/>
      <c r="D13" s="462">
        <f t="shared" si="0"/>
        <v>0</v>
      </c>
      <c r="E13" s="461"/>
      <c r="F13" s="461"/>
      <c r="G13" s="463">
        <f t="shared" si="1"/>
        <v>0</v>
      </c>
    </row>
    <row r="14" spans="1:7">
      <c r="A14" s="295" t="s">
        <v>749</v>
      </c>
      <c r="B14" s="461"/>
      <c r="C14" s="461"/>
      <c r="D14" s="462">
        <f t="shared" si="0"/>
        <v>0</v>
      </c>
      <c r="E14" s="461"/>
      <c r="F14" s="461"/>
      <c r="G14" s="463">
        <f t="shared" si="1"/>
        <v>0</v>
      </c>
    </row>
    <row r="15" spans="1:7">
      <c r="A15" s="295" t="s">
        <v>750</v>
      </c>
      <c r="B15" s="461"/>
      <c r="C15" s="461"/>
      <c r="D15" s="462">
        <f t="shared" si="0"/>
        <v>0</v>
      </c>
      <c r="E15" s="461"/>
      <c r="F15" s="461"/>
      <c r="G15" s="463">
        <f t="shared" si="1"/>
        <v>0</v>
      </c>
    </row>
    <row r="16" spans="1:7">
      <c r="A16" s="295" t="s">
        <v>751</v>
      </c>
      <c r="B16" s="461"/>
      <c r="C16" s="461"/>
      <c r="D16" s="462">
        <f t="shared" si="0"/>
        <v>0</v>
      </c>
      <c r="E16" s="461"/>
      <c r="F16" s="461"/>
      <c r="G16" s="463">
        <f t="shared" si="1"/>
        <v>0</v>
      </c>
    </row>
    <row r="17" spans="1:7">
      <c r="A17" s="295" t="s">
        <v>752</v>
      </c>
      <c r="B17" s="461"/>
      <c r="C17" s="461"/>
      <c r="D17" s="462">
        <f t="shared" si="0"/>
        <v>0</v>
      </c>
      <c r="E17" s="461"/>
      <c r="F17" s="461"/>
      <c r="G17" s="463">
        <f t="shared" si="1"/>
        <v>0</v>
      </c>
    </row>
    <row r="18" spans="1:7">
      <c r="A18" s="295" t="s">
        <v>594</v>
      </c>
      <c r="B18" s="461"/>
      <c r="C18" s="461"/>
      <c r="D18" s="462">
        <f t="shared" si="0"/>
        <v>0</v>
      </c>
      <c r="E18" s="461"/>
      <c r="F18" s="461"/>
      <c r="G18" s="463">
        <f t="shared" si="1"/>
        <v>0</v>
      </c>
    </row>
    <row r="19" spans="1:7">
      <c r="A19" s="308"/>
      <c r="B19" s="461"/>
      <c r="C19" s="461"/>
      <c r="D19" s="462" t="str">
        <f t="shared" si="0"/>
        <v/>
      </c>
      <c r="E19" s="461"/>
      <c r="F19" s="461"/>
      <c r="G19" s="463" t="str">
        <f t="shared" si="1"/>
        <v/>
      </c>
    </row>
    <row r="20" spans="1:7">
      <c r="A20" s="458" t="s">
        <v>753</v>
      </c>
      <c r="B20" s="459">
        <f>SUM(B21:B27)</f>
        <v>115136460</v>
      </c>
      <c r="C20" s="459">
        <f>SUM(C21:C27)</f>
        <v>56707</v>
      </c>
      <c r="D20" s="459">
        <f t="shared" si="0"/>
        <v>115193167</v>
      </c>
      <c r="E20" s="459">
        <f>SUM(E21:E27)</f>
        <v>82444019</v>
      </c>
      <c r="F20" s="459">
        <f>SUM(F21:F27)</f>
        <v>73560558</v>
      </c>
      <c r="G20" s="460">
        <f>IF(A20="","",D20-E20)+1</f>
        <v>32749149</v>
      </c>
    </row>
    <row r="21" spans="1:7">
      <c r="A21" s="295" t="s">
        <v>754</v>
      </c>
      <c r="B21" s="461"/>
      <c r="C21" s="461"/>
      <c r="D21" s="462">
        <f t="shared" si="0"/>
        <v>0</v>
      </c>
      <c r="E21" s="461"/>
      <c r="F21" s="461"/>
      <c r="G21" s="463">
        <f t="shared" si="1"/>
        <v>0</v>
      </c>
    </row>
    <row r="22" spans="1:7">
      <c r="A22" s="295" t="s">
        <v>755</v>
      </c>
      <c r="B22" s="461"/>
      <c r="C22" s="461"/>
      <c r="D22" s="462">
        <f t="shared" si="0"/>
        <v>0</v>
      </c>
      <c r="E22" s="461"/>
      <c r="F22" s="461"/>
      <c r="G22" s="463">
        <f t="shared" si="1"/>
        <v>0</v>
      </c>
    </row>
    <row r="23" spans="1:7">
      <c r="A23" s="295" t="s">
        <v>756</v>
      </c>
      <c r="B23" s="461"/>
      <c r="C23" s="461"/>
      <c r="D23" s="462">
        <f t="shared" si="0"/>
        <v>0</v>
      </c>
      <c r="E23" s="461"/>
      <c r="F23" s="461"/>
      <c r="G23" s="463">
        <f t="shared" si="1"/>
        <v>0</v>
      </c>
    </row>
    <row r="24" spans="1:7" ht="25.5">
      <c r="A24" s="295" t="s">
        <v>757</v>
      </c>
      <c r="B24" s="461"/>
      <c r="C24" s="461"/>
      <c r="D24" s="462">
        <f t="shared" si="0"/>
        <v>0</v>
      </c>
      <c r="E24" s="461"/>
      <c r="F24" s="461"/>
      <c r="G24" s="463">
        <f t="shared" si="1"/>
        <v>0</v>
      </c>
    </row>
    <row r="25" spans="1:7">
      <c r="A25" s="295" t="s">
        <v>758</v>
      </c>
      <c r="B25" s="461">
        <f>+'ETCA-II-13'!C131</f>
        <v>115136460</v>
      </c>
      <c r="C25" s="461">
        <f>+'ETCA-II-13'!D131</f>
        <v>56707</v>
      </c>
      <c r="D25" s="462">
        <f t="shared" si="0"/>
        <v>115193167</v>
      </c>
      <c r="E25" s="461">
        <f>+'ETCA-II-13'!F131</f>
        <v>82444019</v>
      </c>
      <c r="F25" s="461">
        <f>+'ETCA-II-13'!G131</f>
        <v>73560558</v>
      </c>
      <c r="G25" s="463">
        <f>IF(A25="","",D25-E25)+1</f>
        <v>32749149</v>
      </c>
    </row>
    <row r="26" spans="1:7">
      <c r="A26" s="295" t="s">
        <v>759</v>
      </c>
      <c r="B26" s="461"/>
      <c r="C26" s="461"/>
      <c r="D26" s="462">
        <f t="shared" si="0"/>
        <v>0</v>
      </c>
      <c r="E26" s="461"/>
      <c r="F26" s="461"/>
      <c r="G26" s="463">
        <f t="shared" si="1"/>
        <v>0</v>
      </c>
    </row>
    <row r="27" spans="1:7">
      <c r="A27" s="295" t="s">
        <v>760</v>
      </c>
      <c r="B27" s="461"/>
      <c r="C27" s="461"/>
      <c r="D27" s="462">
        <f t="shared" si="0"/>
        <v>0</v>
      </c>
      <c r="E27" s="461"/>
      <c r="F27" s="461"/>
      <c r="G27" s="463">
        <f t="shared" si="1"/>
        <v>0</v>
      </c>
    </row>
    <row r="28" spans="1:7">
      <c r="A28" s="308"/>
      <c r="B28" s="461"/>
      <c r="C28" s="461"/>
      <c r="D28" s="462" t="str">
        <f t="shared" si="0"/>
        <v/>
      </c>
      <c r="E28" s="461"/>
      <c r="F28" s="461"/>
      <c r="G28" s="463" t="str">
        <f t="shared" si="1"/>
        <v/>
      </c>
    </row>
    <row r="29" spans="1:7">
      <c r="A29" s="458" t="s">
        <v>761</v>
      </c>
      <c r="B29" s="459">
        <f>SUM(B30:B38)</f>
        <v>0</v>
      </c>
      <c r="C29" s="459">
        <f>SUM(C30:C38)</f>
        <v>0</v>
      </c>
      <c r="D29" s="459">
        <f t="shared" si="0"/>
        <v>0</v>
      </c>
      <c r="E29" s="459">
        <f>SUM(E30:E38)</f>
        <v>0</v>
      </c>
      <c r="F29" s="459">
        <f>SUM(F30:F38)</f>
        <v>0</v>
      </c>
      <c r="G29" s="460">
        <f t="shared" si="1"/>
        <v>0</v>
      </c>
    </row>
    <row r="30" spans="1:7" ht="25.5">
      <c r="A30" s="295" t="s">
        <v>762</v>
      </c>
      <c r="B30" s="461"/>
      <c r="C30" s="461"/>
      <c r="D30" s="462">
        <f t="shared" si="0"/>
        <v>0</v>
      </c>
      <c r="E30" s="461"/>
      <c r="F30" s="461"/>
      <c r="G30" s="463">
        <f t="shared" si="1"/>
        <v>0</v>
      </c>
    </row>
    <row r="31" spans="1:7">
      <c r="A31" s="295" t="s">
        <v>763</v>
      </c>
      <c r="B31" s="461"/>
      <c r="C31" s="461"/>
      <c r="D31" s="462">
        <f t="shared" si="0"/>
        <v>0</v>
      </c>
      <c r="E31" s="461"/>
      <c r="F31" s="461"/>
      <c r="G31" s="463">
        <f t="shared" si="1"/>
        <v>0</v>
      </c>
    </row>
    <row r="32" spans="1:7">
      <c r="A32" s="295" t="s">
        <v>764</v>
      </c>
      <c r="B32" s="461"/>
      <c r="C32" s="461"/>
      <c r="D32" s="462">
        <f t="shared" si="0"/>
        <v>0</v>
      </c>
      <c r="E32" s="461"/>
      <c r="F32" s="461"/>
      <c r="G32" s="463">
        <f t="shared" si="1"/>
        <v>0</v>
      </c>
    </row>
    <row r="33" spans="1:8">
      <c r="A33" s="295" t="s">
        <v>765</v>
      </c>
      <c r="B33" s="461"/>
      <c r="C33" s="461"/>
      <c r="D33" s="462">
        <f t="shared" si="0"/>
        <v>0</v>
      </c>
      <c r="E33" s="461"/>
      <c r="F33" s="461"/>
      <c r="G33" s="463">
        <f t="shared" si="1"/>
        <v>0</v>
      </c>
    </row>
    <row r="34" spans="1:8">
      <c r="A34" s="295" t="s">
        <v>766</v>
      </c>
      <c r="B34" s="461"/>
      <c r="C34" s="461"/>
      <c r="D34" s="462">
        <f t="shared" si="0"/>
        <v>0</v>
      </c>
      <c r="E34" s="461"/>
      <c r="F34" s="461"/>
      <c r="G34" s="463">
        <f t="shared" si="1"/>
        <v>0</v>
      </c>
    </row>
    <row r="35" spans="1:8">
      <c r="A35" s="295" t="s">
        <v>767</v>
      </c>
      <c r="B35" s="461"/>
      <c r="C35" s="461"/>
      <c r="D35" s="462">
        <f t="shared" si="0"/>
        <v>0</v>
      </c>
      <c r="E35" s="461"/>
      <c r="F35" s="461"/>
      <c r="G35" s="463">
        <f t="shared" si="1"/>
        <v>0</v>
      </c>
    </row>
    <row r="36" spans="1:8">
      <c r="A36" s="295" t="s">
        <v>768</v>
      </c>
      <c r="B36" s="461"/>
      <c r="C36" s="461"/>
      <c r="D36" s="462">
        <f t="shared" si="0"/>
        <v>0</v>
      </c>
      <c r="E36" s="461"/>
      <c r="F36" s="461"/>
      <c r="G36" s="463">
        <f t="shared" si="1"/>
        <v>0</v>
      </c>
    </row>
    <row r="37" spans="1:8">
      <c r="A37" s="295" t="s">
        <v>769</v>
      </c>
      <c r="B37" s="461"/>
      <c r="C37" s="461"/>
      <c r="D37" s="462">
        <f t="shared" si="0"/>
        <v>0</v>
      </c>
      <c r="E37" s="461"/>
      <c r="F37" s="461"/>
      <c r="G37" s="463">
        <f t="shared" si="1"/>
        <v>0</v>
      </c>
    </row>
    <row r="38" spans="1:8">
      <c r="A38" s="295" t="s">
        <v>770</v>
      </c>
      <c r="B38" s="461"/>
      <c r="C38" s="461"/>
      <c r="D38" s="462">
        <f t="shared" si="0"/>
        <v>0</v>
      </c>
      <c r="E38" s="461"/>
      <c r="F38" s="461"/>
      <c r="G38" s="463">
        <f t="shared" si="1"/>
        <v>0</v>
      </c>
    </row>
    <row r="39" spans="1:8">
      <c r="A39" s="308"/>
      <c r="B39" s="461"/>
      <c r="C39" s="461"/>
      <c r="D39" s="462" t="str">
        <f t="shared" si="0"/>
        <v/>
      </c>
      <c r="E39" s="461"/>
      <c r="F39" s="461"/>
      <c r="G39" s="463" t="str">
        <f t="shared" si="1"/>
        <v/>
      </c>
    </row>
    <row r="40" spans="1:8" ht="25.5">
      <c r="A40" s="458" t="s">
        <v>771</v>
      </c>
      <c r="B40" s="459">
        <f>SUM(B41:B44)</f>
        <v>0</v>
      </c>
      <c r="C40" s="459">
        <f>SUM(C41:C44)</f>
        <v>0</v>
      </c>
      <c r="D40" s="459">
        <f t="shared" si="0"/>
        <v>0</v>
      </c>
      <c r="E40" s="459">
        <f>SUM(E41:E44)</f>
        <v>0</v>
      </c>
      <c r="F40" s="459">
        <f>SUM(F41:F44)</f>
        <v>0</v>
      </c>
      <c r="G40" s="460">
        <f t="shared" si="1"/>
        <v>0</v>
      </c>
    </row>
    <row r="41" spans="1:8" ht="25.5">
      <c r="A41" s="464" t="s">
        <v>772</v>
      </c>
      <c r="B41" s="461">
        <v>0</v>
      </c>
      <c r="C41" s="461">
        <v>0</v>
      </c>
      <c r="D41" s="462">
        <f t="shared" si="0"/>
        <v>0</v>
      </c>
      <c r="E41" s="461">
        <v>0</v>
      </c>
      <c r="F41" s="461">
        <v>0</v>
      </c>
      <c r="G41" s="463">
        <f t="shared" si="1"/>
        <v>0</v>
      </c>
    </row>
    <row r="42" spans="1:8" ht="38.25">
      <c r="A42" s="464" t="s">
        <v>773</v>
      </c>
      <c r="B42" s="461"/>
      <c r="C42" s="461"/>
      <c r="D42" s="462">
        <f t="shared" si="0"/>
        <v>0</v>
      </c>
      <c r="E42" s="461"/>
      <c r="F42" s="461"/>
      <c r="G42" s="463">
        <f t="shared" si="1"/>
        <v>0</v>
      </c>
    </row>
    <row r="43" spans="1:8">
      <c r="A43" s="295" t="s">
        <v>774</v>
      </c>
      <c r="B43" s="461"/>
      <c r="C43" s="461"/>
      <c r="D43" s="462">
        <f t="shared" si="0"/>
        <v>0</v>
      </c>
      <c r="E43" s="461"/>
      <c r="F43" s="461"/>
      <c r="G43" s="463">
        <f t="shared" si="1"/>
        <v>0</v>
      </c>
    </row>
    <row r="44" spans="1:8" ht="15.75" thickBot="1">
      <c r="A44" s="295" t="s">
        <v>775</v>
      </c>
      <c r="B44" s="461"/>
      <c r="C44" s="461"/>
      <c r="D44" s="462">
        <f t="shared" si="0"/>
        <v>0</v>
      </c>
      <c r="E44" s="461"/>
      <c r="F44" s="461"/>
      <c r="G44" s="463">
        <f t="shared" si="1"/>
        <v>0</v>
      </c>
    </row>
    <row r="45" spans="1:8" ht="15.75" thickBot="1">
      <c r="A45" s="304" t="s">
        <v>619</v>
      </c>
      <c r="B45" s="465">
        <f>SUM(B10,B20,B29,B40)</f>
        <v>115136460</v>
      </c>
      <c r="C45" s="465">
        <f>SUM(C10,C20,C29,C40)</f>
        <v>56707</v>
      </c>
      <c r="D45" s="465">
        <f>IF(A45="","",B45+C45)</f>
        <v>115193167</v>
      </c>
      <c r="E45" s="465">
        <f>SUM(E10,E20,E29,E40)</f>
        <v>82444019</v>
      </c>
      <c r="F45" s="465">
        <f>SUM(F10,F20,F29,F40)</f>
        <v>73560558</v>
      </c>
      <c r="G45" s="466">
        <f>IF(A45="","",D45-E45)+1</f>
        <v>32749149</v>
      </c>
      <c r="H45" s="525" t="str">
        <f>IF((B45-'ETCA II-04'!B81)&gt;0.9,"ERROR!!!!! EL MONTO NO COINCIDE CON LO REPORTADO EN EL FORMATO ETCA-II-04 EN EL TOTAL APROBADO ANUAL DEL ANALÍTICO DE EGRESOS","")</f>
        <v/>
      </c>
    </row>
    <row r="46" spans="1:8" ht="9" customHeight="1">
      <c r="A46" s="509"/>
      <c r="B46" s="512"/>
      <c r="C46" s="512"/>
      <c r="D46" s="512"/>
      <c r="E46" s="512"/>
      <c r="F46" s="512"/>
      <c r="G46" s="512"/>
      <c r="H46" s="525" t="str">
        <f>IF((C45-'ETCA II-04'!C81)&gt;0.9,"ERROR!!!!! EL MONTO NO COINCIDE CON LO REPORTADO EN EL FORMATO ETCA-II-04 EN EL TOTAL DE AMPLIACIONES/REDUCCIONES PRESENTADO EN EL ANALÍTICO DE EGRESOS","")</f>
        <v/>
      </c>
    </row>
    <row r="47" spans="1:8">
      <c r="A47" s="510"/>
      <c r="B47" s="511"/>
      <c r="C47" s="511"/>
      <c r="D47" s="512"/>
      <c r="E47" s="511"/>
      <c r="F47" s="511"/>
      <c r="G47" s="512"/>
      <c r="H47" s="525" t="str">
        <f>IF((E45-'ETCA II-04'!E81)&gt;0.9,"ERROR!!!!! EL MONTO NO COINCIDE CON LO REPORTADO EN EL FORMATO ETCA-II-04 EN EL TOTAL DEVENGADO ANUAL PRESENTADO EN EL ANALÍTICO DE EGRESOS","")</f>
        <v/>
      </c>
    </row>
    <row r="48" spans="1:8">
      <c r="A48" s="509"/>
      <c r="B48" s="512"/>
      <c r="C48" s="512"/>
      <c r="D48" s="512"/>
      <c r="E48" s="512"/>
      <c r="F48" s="512"/>
      <c r="G48" s="512"/>
      <c r="H48" s="525" t="str">
        <f>IF((F45-'ETCA II-04'!F81)&gt;0.9,"ERROR!!!!! EL MONTO NO COINCIDE CON LO REPORTADO EN EL FORMATO ETCA-II-04 EN EL TOTAL PAGADO ANUAL PRESENTADO EN EL ANALÍTICO DE EGRESOS","")</f>
        <v/>
      </c>
    </row>
    <row r="49" spans="8:8">
      <c r="H49" s="525"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6"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89"/>
  <sheetViews>
    <sheetView view="pageBreakPreview" zoomScale="90" zoomScaleSheetLayoutView="90" workbookViewId="0">
      <selection activeCell="H7" sqref="H7:H8"/>
    </sheetView>
  </sheetViews>
  <sheetFormatPr baseColWidth="10" defaultColWidth="11.42578125" defaultRowHeight="15"/>
  <cols>
    <col min="1" max="1" width="4.42578125" customWidth="1"/>
    <col min="2" max="2" width="49.140625" customWidth="1"/>
    <col min="3" max="3" width="14.140625" customWidth="1"/>
    <col min="5" max="5" width="14" customWidth="1"/>
    <col min="6" max="6" width="13.42578125" customWidth="1"/>
    <col min="7" max="7" width="13.7109375" customWidth="1"/>
    <col min="8" max="8" width="13.28515625" customWidth="1"/>
  </cols>
  <sheetData>
    <row r="1" spans="1:8" s="684" customFormat="1" ht="15.75">
      <c r="A1" s="1335" t="s">
        <v>23</v>
      </c>
      <c r="B1" s="1336"/>
      <c r="C1" s="1336"/>
      <c r="D1" s="1336"/>
      <c r="E1" s="1336"/>
      <c r="F1" s="1336"/>
      <c r="G1" s="1336"/>
      <c r="H1" s="1337"/>
    </row>
    <row r="2" spans="1:8" s="684" customFormat="1" ht="12" customHeight="1">
      <c r="A2" s="1338" t="str">
        <f>'ETCA-I-01'!A3:G3</f>
        <v>TELEVISORA DE HERMOSILLO, S.A. DE C.V.</v>
      </c>
      <c r="B2" s="1339"/>
      <c r="C2" s="1339"/>
      <c r="D2" s="1339"/>
      <c r="E2" s="1339"/>
      <c r="F2" s="1339"/>
      <c r="G2" s="1339"/>
      <c r="H2" s="1340"/>
    </row>
    <row r="3" spans="1:8" s="684" customFormat="1">
      <c r="A3" s="1386" t="s">
        <v>620</v>
      </c>
      <c r="B3" s="1387"/>
      <c r="C3" s="1387"/>
      <c r="D3" s="1387"/>
      <c r="E3" s="1387"/>
      <c r="F3" s="1387"/>
      <c r="G3" s="1387"/>
      <c r="H3" s="1388"/>
    </row>
    <row r="4" spans="1:8" s="684" customFormat="1" ht="11.25" customHeight="1">
      <c r="A4" s="1386" t="s">
        <v>744</v>
      </c>
      <c r="B4" s="1387"/>
      <c r="C4" s="1387"/>
      <c r="D4" s="1387"/>
      <c r="E4" s="1387"/>
      <c r="F4" s="1387"/>
      <c r="G4" s="1387"/>
      <c r="H4" s="1388"/>
    </row>
    <row r="5" spans="1:8" s="684" customFormat="1" ht="11.25" customHeight="1">
      <c r="A5" s="1386" t="str">
        <f>'ETCA-I-03'!A4:D4</f>
        <v>Del 01 de Enero al 30 de Septiembre de 2018</v>
      </c>
      <c r="B5" s="1387"/>
      <c r="C5" s="1387"/>
      <c r="D5" s="1387"/>
      <c r="E5" s="1387"/>
      <c r="F5" s="1387"/>
      <c r="G5" s="1387"/>
      <c r="H5" s="1388"/>
    </row>
    <row r="6" spans="1:8" s="684" customFormat="1" ht="12.75" customHeight="1" thickBot="1">
      <c r="A6" s="1389" t="s">
        <v>87</v>
      </c>
      <c r="B6" s="1390"/>
      <c r="C6" s="1390"/>
      <c r="D6" s="1390"/>
      <c r="E6" s="1390"/>
      <c r="F6" s="1390"/>
      <c r="G6" s="1390"/>
      <c r="H6" s="1391"/>
    </row>
    <row r="7" spans="1:8" s="684" customFormat="1" ht="15.75" thickBot="1">
      <c r="A7" s="1392" t="s">
        <v>88</v>
      </c>
      <c r="B7" s="1393"/>
      <c r="C7" s="1359" t="s">
        <v>622</v>
      </c>
      <c r="D7" s="1360"/>
      <c r="E7" s="1360"/>
      <c r="F7" s="1360"/>
      <c r="G7" s="1361"/>
      <c r="H7" s="1357" t="s">
        <v>623</v>
      </c>
    </row>
    <row r="8" spans="1:8" s="684" customFormat="1" ht="26.25" thickBot="1">
      <c r="A8" s="1389"/>
      <c r="B8" s="1394"/>
      <c r="C8" s="797" t="s">
        <v>624</v>
      </c>
      <c r="D8" s="797" t="s">
        <v>625</v>
      </c>
      <c r="E8" s="797" t="s">
        <v>626</v>
      </c>
      <c r="F8" s="797" t="s">
        <v>475</v>
      </c>
      <c r="G8" s="797" t="s">
        <v>724</v>
      </c>
      <c r="H8" s="1358"/>
    </row>
    <row r="9" spans="1:8">
      <c r="A9" s="1380"/>
      <c r="B9" s="1381"/>
      <c r="C9" s="781"/>
      <c r="D9" s="781"/>
      <c r="E9" s="781"/>
      <c r="F9" s="781"/>
      <c r="G9" s="781"/>
      <c r="H9" s="781"/>
    </row>
    <row r="10" spans="1:8" ht="16.5" customHeight="1">
      <c r="A10" s="1382" t="s">
        <v>776</v>
      </c>
      <c r="B10" s="1383"/>
      <c r="C10" s="705">
        <f t="shared" ref="C10:H10" si="0">+C11+C21+C30+C41</f>
        <v>115136460</v>
      </c>
      <c r="D10" s="705">
        <f t="shared" si="0"/>
        <v>56707</v>
      </c>
      <c r="E10" s="705">
        <f t="shared" si="0"/>
        <v>115193167</v>
      </c>
      <c r="F10" s="705">
        <f t="shared" si="0"/>
        <v>82444019</v>
      </c>
      <c r="G10" s="705">
        <f t="shared" si="0"/>
        <v>73560558</v>
      </c>
      <c r="H10" s="705">
        <f t="shared" si="0"/>
        <v>32749149</v>
      </c>
    </row>
    <row r="11" spans="1:8">
      <c r="A11" s="1384" t="s">
        <v>777</v>
      </c>
      <c r="B11" s="1385"/>
      <c r="C11" s="733">
        <f t="shared" ref="C11:H11" si="1">SUM(C12:C19)</f>
        <v>0</v>
      </c>
      <c r="D11" s="733">
        <f t="shared" si="1"/>
        <v>0</v>
      </c>
      <c r="E11" s="733">
        <f t="shared" si="1"/>
        <v>0</v>
      </c>
      <c r="F11" s="733">
        <f t="shared" si="1"/>
        <v>0</v>
      </c>
      <c r="G11" s="733">
        <f t="shared" si="1"/>
        <v>0</v>
      </c>
      <c r="H11" s="733">
        <f t="shared" si="1"/>
        <v>0</v>
      </c>
    </row>
    <row r="12" spans="1:8">
      <c r="A12" s="734"/>
      <c r="B12" s="735" t="s">
        <v>778</v>
      </c>
      <c r="C12" s="736"/>
      <c r="D12" s="736"/>
      <c r="E12" s="733">
        <f>C12+D12</f>
        <v>0</v>
      </c>
      <c r="F12" s="736"/>
      <c r="G12" s="736"/>
      <c r="H12" s="733">
        <f>+E12-F12</f>
        <v>0</v>
      </c>
    </row>
    <row r="13" spans="1:8">
      <c r="A13" s="734"/>
      <c r="B13" s="735" t="s">
        <v>779</v>
      </c>
      <c r="C13" s="736"/>
      <c r="D13" s="736"/>
      <c r="E13" s="733">
        <f t="shared" ref="E13:E19" si="2">C13+D13</f>
        <v>0</v>
      </c>
      <c r="F13" s="736"/>
      <c r="G13" s="736"/>
      <c r="H13" s="733">
        <f t="shared" ref="H13:H28" si="3">+E13-F13</f>
        <v>0</v>
      </c>
    </row>
    <row r="14" spans="1:8">
      <c r="A14" s="734"/>
      <c r="B14" s="735" t="s">
        <v>780</v>
      </c>
      <c r="C14" s="736"/>
      <c r="D14" s="736"/>
      <c r="E14" s="733">
        <f t="shared" si="2"/>
        <v>0</v>
      </c>
      <c r="F14" s="736"/>
      <c r="G14" s="736"/>
      <c r="H14" s="733">
        <f t="shared" si="3"/>
        <v>0</v>
      </c>
    </row>
    <row r="15" spans="1:8">
      <c r="A15" s="734"/>
      <c r="B15" s="735" t="s">
        <v>781</v>
      </c>
      <c r="C15" s="736"/>
      <c r="D15" s="736"/>
      <c r="E15" s="733">
        <f t="shared" si="2"/>
        <v>0</v>
      </c>
      <c r="F15" s="736"/>
      <c r="G15" s="736"/>
      <c r="H15" s="733">
        <f t="shared" si="3"/>
        <v>0</v>
      </c>
    </row>
    <row r="16" spans="1:8">
      <c r="A16" s="734"/>
      <c r="B16" s="735" t="s">
        <v>782</v>
      </c>
      <c r="C16" s="736"/>
      <c r="D16" s="736"/>
      <c r="E16" s="733">
        <f t="shared" si="2"/>
        <v>0</v>
      </c>
      <c r="F16" s="736"/>
      <c r="G16" s="736"/>
      <c r="H16" s="733">
        <f t="shared" si="3"/>
        <v>0</v>
      </c>
    </row>
    <row r="17" spans="1:8">
      <c r="A17" s="734"/>
      <c r="B17" s="735" t="s">
        <v>783</v>
      </c>
      <c r="C17" s="736"/>
      <c r="D17" s="736"/>
      <c r="E17" s="733">
        <f t="shared" si="2"/>
        <v>0</v>
      </c>
      <c r="F17" s="736"/>
      <c r="G17" s="736"/>
      <c r="H17" s="733">
        <f t="shared" si="3"/>
        <v>0</v>
      </c>
    </row>
    <row r="18" spans="1:8">
      <c r="A18" s="734"/>
      <c r="B18" s="735" t="s">
        <v>784</v>
      </c>
      <c r="C18" s="736"/>
      <c r="D18" s="736"/>
      <c r="E18" s="733">
        <f t="shared" si="2"/>
        <v>0</v>
      </c>
      <c r="F18" s="736"/>
      <c r="G18" s="736"/>
      <c r="H18" s="733">
        <f t="shared" si="3"/>
        <v>0</v>
      </c>
    </row>
    <row r="19" spans="1:8">
      <c r="A19" s="734"/>
      <c r="B19" s="735" t="s">
        <v>785</v>
      </c>
      <c r="C19" s="736"/>
      <c r="D19" s="736"/>
      <c r="E19" s="733">
        <f t="shared" si="2"/>
        <v>0</v>
      </c>
      <c r="F19" s="736"/>
      <c r="G19" s="736"/>
      <c r="H19" s="733">
        <f t="shared" si="3"/>
        <v>0</v>
      </c>
    </row>
    <row r="20" spans="1:8">
      <c r="A20" s="737"/>
      <c r="B20" s="738"/>
      <c r="C20" s="739"/>
      <c r="D20" s="739"/>
      <c r="E20" s="739"/>
      <c r="F20" s="739"/>
      <c r="G20" s="739"/>
      <c r="H20" s="740" t="s">
        <v>255</v>
      </c>
    </row>
    <row r="21" spans="1:8">
      <c r="A21" s="1384" t="s">
        <v>786</v>
      </c>
      <c r="B21" s="1385"/>
      <c r="C21" s="733">
        <f t="shared" ref="C21:H21" si="4">SUM(C22:C28)</f>
        <v>115136460</v>
      </c>
      <c r="D21" s="733">
        <f t="shared" si="4"/>
        <v>56707</v>
      </c>
      <c r="E21" s="733">
        <f t="shared" si="4"/>
        <v>115193167</v>
      </c>
      <c r="F21" s="733">
        <f t="shared" si="4"/>
        <v>82444019</v>
      </c>
      <c r="G21" s="733">
        <f t="shared" si="4"/>
        <v>73560558</v>
      </c>
      <c r="H21" s="733">
        <f t="shared" si="4"/>
        <v>32749149</v>
      </c>
    </row>
    <row r="22" spans="1:8">
      <c r="A22" s="734"/>
      <c r="B22" s="735" t="s">
        <v>787</v>
      </c>
      <c r="C22" s="736"/>
      <c r="D22" s="736"/>
      <c r="E22" s="733">
        <f t="shared" ref="E22:E28" si="5">C22+D22</f>
        <v>0</v>
      </c>
      <c r="F22" s="736"/>
      <c r="G22" s="736"/>
      <c r="H22" s="733">
        <f t="shared" si="3"/>
        <v>0</v>
      </c>
    </row>
    <row r="23" spans="1:8">
      <c r="A23" s="734"/>
      <c r="B23" s="735" t="s">
        <v>788</v>
      </c>
      <c r="C23" s="736"/>
      <c r="D23" s="736"/>
      <c r="E23" s="733">
        <f t="shared" si="5"/>
        <v>0</v>
      </c>
      <c r="F23" s="736"/>
      <c r="G23" s="736"/>
      <c r="H23" s="733">
        <f t="shared" si="3"/>
        <v>0</v>
      </c>
    </row>
    <row r="24" spans="1:8">
      <c r="A24" s="734"/>
      <c r="B24" s="735" t="s">
        <v>789</v>
      </c>
      <c r="C24" s="736"/>
      <c r="D24" s="736"/>
      <c r="E24" s="733">
        <f t="shared" si="5"/>
        <v>0</v>
      </c>
      <c r="F24" s="736"/>
      <c r="G24" s="736"/>
      <c r="H24" s="733">
        <f t="shared" si="3"/>
        <v>0</v>
      </c>
    </row>
    <row r="25" spans="1:8">
      <c r="A25" s="734"/>
      <c r="B25" s="735" t="s">
        <v>790</v>
      </c>
      <c r="C25" s="736"/>
      <c r="D25" s="736"/>
      <c r="E25" s="733">
        <f t="shared" si="5"/>
        <v>0</v>
      </c>
      <c r="F25" s="736"/>
      <c r="G25" s="736"/>
      <c r="H25" s="733">
        <f t="shared" si="3"/>
        <v>0</v>
      </c>
    </row>
    <row r="26" spans="1:8">
      <c r="A26" s="734"/>
      <c r="B26" s="735" t="s">
        <v>791</v>
      </c>
      <c r="C26" s="736">
        <f>+'ETCA-II-13'!C131</f>
        <v>115136460</v>
      </c>
      <c r="D26" s="736">
        <f>+'ETCA-II-13'!D131</f>
        <v>56707</v>
      </c>
      <c r="E26" s="733">
        <f t="shared" si="5"/>
        <v>115193167</v>
      </c>
      <c r="F26" s="736">
        <f>+'ETCA-II-13'!F131</f>
        <v>82444019</v>
      </c>
      <c r="G26" s="736">
        <f>+'ETCA-II-13'!G131</f>
        <v>73560558</v>
      </c>
      <c r="H26" s="733">
        <f>+E26-F26+1</f>
        <v>32749149</v>
      </c>
    </row>
    <row r="27" spans="1:8">
      <c r="A27" s="734"/>
      <c r="B27" s="735" t="s">
        <v>792</v>
      </c>
      <c r="C27" s="736"/>
      <c r="D27" s="736"/>
      <c r="E27" s="733">
        <f t="shared" si="5"/>
        <v>0</v>
      </c>
      <c r="F27" s="736"/>
      <c r="G27" s="736"/>
      <c r="H27" s="733">
        <f t="shared" si="3"/>
        <v>0</v>
      </c>
    </row>
    <row r="28" spans="1:8">
      <c r="A28" s="734"/>
      <c r="B28" s="735" t="s">
        <v>793</v>
      </c>
      <c r="C28" s="736"/>
      <c r="D28" s="736"/>
      <c r="E28" s="733">
        <f t="shared" si="5"/>
        <v>0</v>
      </c>
      <c r="F28" s="736"/>
      <c r="G28" s="736"/>
      <c r="H28" s="733">
        <f t="shared" si="3"/>
        <v>0</v>
      </c>
    </row>
    <row r="29" spans="1:8">
      <c r="A29" s="737"/>
      <c r="B29" s="738"/>
      <c r="C29" s="741"/>
      <c r="D29" s="741"/>
      <c r="E29" s="741"/>
      <c r="F29" s="741"/>
      <c r="G29" s="741"/>
      <c r="H29" s="741"/>
    </row>
    <row r="30" spans="1:8">
      <c r="A30" s="1384" t="s">
        <v>794</v>
      </c>
      <c r="B30" s="1385"/>
      <c r="C30" s="733">
        <f t="shared" ref="C30:H30" si="6">SUM(C31:C39)</f>
        <v>0</v>
      </c>
      <c r="D30" s="733">
        <f t="shared" si="6"/>
        <v>0</v>
      </c>
      <c r="E30" s="733">
        <f t="shared" si="6"/>
        <v>0</v>
      </c>
      <c r="F30" s="733">
        <f t="shared" si="6"/>
        <v>0</v>
      </c>
      <c r="G30" s="733">
        <f t="shared" si="6"/>
        <v>0</v>
      </c>
      <c r="H30" s="733">
        <f t="shared" si="6"/>
        <v>0</v>
      </c>
    </row>
    <row r="31" spans="1:8">
      <c r="A31" s="734"/>
      <c r="B31" s="735" t="s">
        <v>795</v>
      </c>
      <c r="C31" s="736"/>
      <c r="D31" s="736"/>
      <c r="E31" s="733">
        <f t="shared" ref="E31:E39" si="7">C31+D31</f>
        <v>0</v>
      </c>
      <c r="F31" s="736"/>
      <c r="G31" s="736"/>
      <c r="H31" s="733">
        <f t="shared" ref="H31:H39" si="8">+E31-F31</f>
        <v>0</v>
      </c>
    </row>
    <row r="32" spans="1:8">
      <c r="A32" s="734"/>
      <c r="B32" s="735" t="s">
        <v>796</v>
      </c>
      <c r="C32" s="736"/>
      <c r="D32" s="736"/>
      <c r="E32" s="733">
        <f t="shared" si="7"/>
        <v>0</v>
      </c>
      <c r="F32" s="736"/>
      <c r="G32" s="736"/>
      <c r="H32" s="733">
        <f t="shared" si="8"/>
        <v>0</v>
      </c>
    </row>
    <row r="33" spans="1:8">
      <c r="A33" s="734"/>
      <c r="B33" s="735" t="s">
        <v>797</v>
      </c>
      <c r="C33" s="736"/>
      <c r="D33" s="736"/>
      <c r="E33" s="733">
        <f t="shared" si="7"/>
        <v>0</v>
      </c>
      <c r="F33" s="736"/>
      <c r="G33" s="736"/>
      <c r="H33" s="733">
        <f t="shared" si="8"/>
        <v>0</v>
      </c>
    </row>
    <row r="34" spans="1:8" ht="15.75" thickBot="1">
      <c r="A34" s="742"/>
      <c r="B34" s="743" t="s">
        <v>798</v>
      </c>
      <c r="C34" s="744"/>
      <c r="D34" s="744"/>
      <c r="E34" s="745">
        <f t="shared" si="7"/>
        <v>0</v>
      </c>
      <c r="F34" s="744"/>
      <c r="G34" s="744"/>
      <c r="H34" s="745">
        <f t="shared" si="8"/>
        <v>0</v>
      </c>
    </row>
    <row r="35" spans="1:8">
      <c r="A35" s="734"/>
      <c r="B35" s="735" t="s">
        <v>799</v>
      </c>
      <c r="C35" s="736"/>
      <c r="D35" s="736"/>
      <c r="E35" s="733">
        <f t="shared" si="7"/>
        <v>0</v>
      </c>
      <c r="F35" s="736"/>
      <c r="G35" s="736"/>
      <c r="H35" s="733">
        <f t="shared" si="8"/>
        <v>0</v>
      </c>
    </row>
    <row r="36" spans="1:8">
      <c r="A36" s="734"/>
      <c r="B36" s="735" t="s">
        <v>800</v>
      </c>
      <c r="C36" s="736"/>
      <c r="D36" s="736"/>
      <c r="E36" s="733">
        <f t="shared" si="7"/>
        <v>0</v>
      </c>
      <c r="F36" s="736"/>
      <c r="G36" s="736"/>
      <c r="H36" s="733">
        <f t="shared" si="8"/>
        <v>0</v>
      </c>
    </row>
    <row r="37" spans="1:8">
      <c r="A37" s="734"/>
      <c r="B37" s="735" t="s">
        <v>801</v>
      </c>
      <c r="C37" s="736"/>
      <c r="D37" s="736"/>
      <c r="E37" s="733">
        <f t="shared" si="7"/>
        <v>0</v>
      </c>
      <c r="F37" s="736"/>
      <c r="G37" s="736"/>
      <c r="H37" s="733">
        <f t="shared" si="8"/>
        <v>0</v>
      </c>
    </row>
    <row r="38" spans="1:8">
      <c r="A38" s="734"/>
      <c r="B38" s="735" t="s">
        <v>802</v>
      </c>
      <c r="C38" s="736"/>
      <c r="D38" s="736"/>
      <c r="E38" s="733">
        <f t="shared" si="7"/>
        <v>0</v>
      </c>
      <c r="F38" s="736"/>
      <c r="G38" s="736"/>
      <c r="H38" s="733">
        <f t="shared" si="8"/>
        <v>0</v>
      </c>
    </row>
    <row r="39" spans="1:8">
      <c r="A39" s="734"/>
      <c r="B39" s="735" t="s">
        <v>803</v>
      </c>
      <c r="C39" s="736"/>
      <c r="D39" s="736"/>
      <c r="E39" s="733">
        <f t="shared" si="7"/>
        <v>0</v>
      </c>
      <c r="F39" s="736"/>
      <c r="G39" s="736"/>
      <c r="H39" s="733">
        <f t="shared" si="8"/>
        <v>0</v>
      </c>
    </row>
    <row r="40" spans="1:8">
      <c r="A40" s="734"/>
      <c r="B40" s="735"/>
      <c r="C40" s="736"/>
      <c r="D40" s="736"/>
      <c r="E40" s="733"/>
      <c r="F40" s="736"/>
      <c r="G40" s="736"/>
      <c r="H40" s="733"/>
    </row>
    <row r="41" spans="1:8">
      <c r="A41" s="734" t="s">
        <v>804</v>
      </c>
      <c r="B41" s="735"/>
      <c r="C41" s="740">
        <f t="shared" ref="C41:H41" si="9">SUM(C42:C45)</f>
        <v>0</v>
      </c>
      <c r="D41" s="740">
        <f t="shared" si="9"/>
        <v>0</v>
      </c>
      <c r="E41" s="740">
        <f t="shared" si="9"/>
        <v>0</v>
      </c>
      <c r="F41" s="740">
        <f t="shared" si="9"/>
        <v>0</v>
      </c>
      <c r="G41" s="740">
        <f t="shared" si="9"/>
        <v>0</v>
      </c>
      <c r="H41" s="740">
        <f t="shared" si="9"/>
        <v>0</v>
      </c>
    </row>
    <row r="42" spans="1:8">
      <c r="A42" s="734"/>
      <c r="B42" s="735" t="s">
        <v>805</v>
      </c>
      <c r="C42" s="736"/>
      <c r="D42" s="736"/>
      <c r="E42" s="733">
        <f>C42+D42</f>
        <v>0</v>
      </c>
      <c r="F42" s="736"/>
      <c r="G42" s="736"/>
      <c r="H42" s="733">
        <f>+E42-F42</f>
        <v>0</v>
      </c>
    </row>
    <row r="43" spans="1:8">
      <c r="A43" s="734"/>
      <c r="B43" s="735" t="s">
        <v>806</v>
      </c>
      <c r="C43" s="736"/>
      <c r="D43" s="736"/>
      <c r="E43" s="733">
        <f>C43+D43</f>
        <v>0</v>
      </c>
      <c r="F43" s="736"/>
      <c r="G43" s="736"/>
      <c r="H43" s="733">
        <f>+E43-F43</f>
        <v>0</v>
      </c>
    </row>
    <row r="44" spans="1:8">
      <c r="A44" s="734"/>
      <c r="B44" s="735" t="s">
        <v>807</v>
      </c>
      <c r="C44" s="736"/>
      <c r="D44" s="736"/>
      <c r="E44" s="733">
        <f>C44+D44</f>
        <v>0</v>
      </c>
      <c r="F44" s="736"/>
      <c r="G44" s="736"/>
      <c r="H44" s="733">
        <f>+E44-F44</f>
        <v>0</v>
      </c>
    </row>
    <row r="45" spans="1:8">
      <c r="A45" s="734"/>
      <c r="B45" s="735" t="s">
        <v>808</v>
      </c>
      <c r="C45" s="736"/>
      <c r="D45" s="736"/>
      <c r="E45" s="733">
        <f>C45+D45</f>
        <v>0</v>
      </c>
      <c r="F45" s="736"/>
      <c r="G45" s="736"/>
      <c r="H45" s="733">
        <f>+E45-F45</f>
        <v>0</v>
      </c>
    </row>
    <row r="46" spans="1:8">
      <c r="A46" s="734"/>
      <c r="B46" s="735"/>
      <c r="C46" s="736"/>
      <c r="D46" s="736"/>
      <c r="E46" s="733"/>
      <c r="F46" s="736"/>
      <c r="G46" s="736"/>
      <c r="H46" s="733"/>
    </row>
    <row r="47" spans="1:8">
      <c r="A47" s="734" t="s">
        <v>809</v>
      </c>
      <c r="B47" s="735"/>
      <c r="C47" s="740">
        <f t="shared" ref="C47:H47" si="10">+C48+C58+C66+C77</f>
        <v>0</v>
      </c>
      <c r="D47" s="740">
        <f t="shared" si="10"/>
        <v>0</v>
      </c>
      <c r="E47" s="740">
        <f t="shared" si="10"/>
        <v>0</v>
      </c>
      <c r="F47" s="740">
        <f t="shared" si="10"/>
        <v>0</v>
      </c>
      <c r="G47" s="740">
        <f t="shared" si="10"/>
        <v>0</v>
      </c>
      <c r="H47" s="740">
        <f t="shared" si="10"/>
        <v>0</v>
      </c>
    </row>
    <row r="48" spans="1:8">
      <c r="A48" s="734" t="s">
        <v>777</v>
      </c>
      <c r="B48" s="735"/>
      <c r="C48" s="740">
        <f t="shared" ref="C48:H48" si="11">SUM(C49:C56)</f>
        <v>0</v>
      </c>
      <c r="D48" s="740">
        <f t="shared" si="11"/>
        <v>0</v>
      </c>
      <c r="E48" s="740">
        <f t="shared" si="11"/>
        <v>0</v>
      </c>
      <c r="F48" s="740">
        <f t="shared" si="11"/>
        <v>0</v>
      </c>
      <c r="G48" s="740">
        <f t="shared" si="11"/>
        <v>0</v>
      </c>
      <c r="H48" s="740">
        <f t="shared" si="11"/>
        <v>0</v>
      </c>
    </row>
    <row r="49" spans="1:8">
      <c r="A49" s="734"/>
      <c r="B49" s="735" t="s">
        <v>778</v>
      </c>
      <c r="C49" s="736"/>
      <c r="D49" s="736"/>
      <c r="E49" s="733">
        <f t="shared" ref="E49:E56" si="12">C49+D49</f>
        <v>0</v>
      </c>
      <c r="F49" s="736"/>
      <c r="G49" s="736"/>
      <c r="H49" s="733">
        <f t="shared" ref="H49:H56" si="13">+E49-F49</f>
        <v>0</v>
      </c>
    </row>
    <row r="50" spans="1:8">
      <c r="A50" s="734"/>
      <c r="B50" s="735" t="s">
        <v>779</v>
      </c>
      <c r="C50" s="736"/>
      <c r="D50" s="736"/>
      <c r="E50" s="733">
        <f t="shared" si="12"/>
        <v>0</v>
      </c>
      <c r="F50" s="736"/>
      <c r="G50" s="736"/>
      <c r="H50" s="733">
        <f t="shared" si="13"/>
        <v>0</v>
      </c>
    </row>
    <row r="51" spans="1:8">
      <c r="A51" s="734"/>
      <c r="B51" s="735" t="s">
        <v>780</v>
      </c>
      <c r="C51" s="736"/>
      <c r="D51" s="736"/>
      <c r="E51" s="733">
        <f t="shared" si="12"/>
        <v>0</v>
      </c>
      <c r="F51" s="736"/>
      <c r="G51" s="736"/>
      <c r="H51" s="733">
        <f t="shared" si="13"/>
        <v>0</v>
      </c>
    </row>
    <row r="52" spans="1:8">
      <c r="A52" s="734"/>
      <c r="B52" s="735" t="s">
        <v>781</v>
      </c>
      <c r="C52" s="736"/>
      <c r="D52" s="736"/>
      <c r="E52" s="733">
        <f t="shared" si="12"/>
        <v>0</v>
      </c>
      <c r="F52" s="736"/>
      <c r="G52" s="736"/>
      <c r="H52" s="733">
        <f t="shared" si="13"/>
        <v>0</v>
      </c>
    </row>
    <row r="53" spans="1:8">
      <c r="A53" s="734"/>
      <c r="B53" s="735" t="s">
        <v>782</v>
      </c>
      <c r="C53" s="736"/>
      <c r="D53" s="736"/>
      <c r="E53" s="733">
        <f t="shared" si="12"/>
        <v>0</v>
      </c>
      <c r="F53" s="736"/>
      <c r="G53" s="736"/>
      <c r="H53" s="733">
        <f t="shared" si="13"/>
        <v>0</v>
      </c>
    </row>
    <row r="54" spans="1:8">
      <c r="A54" s="734"/>
      <c r="B54" s="735" t="s">
        <v>783</v>
      </c>
      <c r="C54" s="736"/>
      <c r="D54" s="736"/>
      <c r="E54" s="733">
        <f t="shared" si="12"/>
        <v>0</v>
      </c>
      <c r="F54" s="736"/>
      <c r="G54" s="736"/>
      <c r="H54" s="733">
        <f t="shared" si="13"/>
        <v>0</v>
      </c>
    </row>
    <row r="55" spans="1:8">
      <c r="A55" s="734"/>
      <c r="B55" s="735" t="s">
        <v>784</v>
      </c>
      <c r="C55" s="736"/>
      <c r="D55" s="736"/>
      <c r="E55" s="733">
        <f t="shared" si="12"/>
        <v>0</v>
      </c>
      <c r="F55" s="736"/>
      <c r="G55" s="736"/>
      <c r="H55" s="733">
        <f t="shared" si="13"/>
        <v>0</v>
      </c>
    </row>
    <row r="56" spans="1:8">
      <c r="A56" s="734"/>
      <c r="B56" s="735" t="s">
        <v>785</v>
      </c>
      <c r="C56" s="736"/>
      <c r="D56" s="736"/>
      <c r="E56" s="733">
        <f t="shared" si="12"/>
        <v>0</v>
      </c>
      <c r="F56" s="736"/>
      <c r="G56" s="736"/>
      <c r="H56" s="733">
        <f t="shared" si="13"/>
        <v>0</v>
      </c>
    </row>
    <row r="57" spans="1:8">
      <c r="A57" s="734"/>
      <c r="B57" s="735"/>
      <c r="C57" s="736"/>
      <c r="D57" s="736"/>
      <c r="E57" s="733"/>
      <c r="F57" s="736"/>
      <c r="G57" s="736"/>
      <c r="H57" s="733"/>
    </row>
    <row r="58" spans="1:8">
      <c r="A58" s="734" t="s">
        <v>786</v>
      </c>
      <c r="B58" s="735"/>
      <c r="C58" s="740">
        <f t="shared" ref="C58:H58" si="14">SUM(C59:C65)</f>
        <v>0</v>
      </c>
      <c r="D58" s="740">
        <f t="shared" si="14"/>
        <v>0</v>
      </c>
      <c r="E58" s="740">
        <f t="shared" si="14"/>
        <v>0</v>
      </c>
      <c r="F58" s="740">
        <f t="shared" si="14"/>
        <v>0</v>
      </c>
      <c r="G58" s="740">
        <f t="shared" si="14"/>
        <v>0</v>
      </c>
      <c r="H58" s="740">
        <f t="shared" si="14"/>
        <v>0</v>
      </c>
    </row>
    <row r="59" spans="1:8">
      <c r="A59" s="734"/>
      <c r="B59" s="735" t="s">
        <v>787</v>
      </c>
      <c r="C59" s="736"/>
      <c r="D59" s="736"/>
      <c r="E59" s="733">
        <f t="shared" ref="E59:E65" si="15">C59+D59</f>
        <v>0</v>
      </c>
      <c r="F59" s="736"/>
      <c r="G59" s="736"/>
      <c r="H59" s="733">
        <f t="shared" ref="H59:H65" si="16">+E59-F59</f>
        <v>0</v>
      </c>
    </row>
    <row r="60" spans="1:8">
      <c r="A60" s="734"/>
      <c r="B60" s="735" t="s">
        <v>788</v>
      </c>
      <c r="C60" s="736"/>
      <c r="D60" s="736"/>
      <c r="E60" s="733">
        <f t="shared" si="15"/>
        <v>0</v>
      </c>
      <c r="F60" s="736"/>
      <c r="G60" s="736"/>
      <c r="H60" s="733">
        <f t="shared" si="16"/>
        <v>0</v>
      </c>
    </row>
    <row r="61" spans="1:8">
      <c r="A61" s="734"/>
      <c r="B61" s="735" t="s">
        <v>789</v>
      </c>
      <c r="C61" s="736"/>
      <c r="D61" s="736"/>
      <c r="E61" s="733">
        <f t="shared" si="15"/>
        <v>0</v>
      </c>
      <c r="F61" s="736"/>
      <c r="G61" s="736"/>
      <c r="H61" s="733">
        <f t="shared" si="16"/>
        <v>0</v>
      </c>
    </row>
    <row r="62" spans="1:8">
      <c r="A62" s="734"/>
      <c r="B62" s="735" t="s">
        <v>790</v>
      </c>
      <c r="C62" s="736"/>
      <c r="D62" s="736"/>
      <c r="E62" s="733">
        <f t="shared" si="15"/>
        <v>0</v>
      </c>
      <c r="F62" s="736"/>
      <c r="G62" s="736"/>
      <c r="H62" s="733">
        <f t="shared" si="16"/>
        <v>0</v>
      </c>
    </row>
    <row r="63" spans="1:8">
      <c r="A63" s="734"/>
      <c r="B63" s="735" t="s">
        <v>791</v>
      </c>
      <c r="C63" s="736"/>
      <c r="D63" s="736"/>
      <c r="E63" s="733">
        <f t="shared" si="15"/>
        <v>0</v>
      </c>
      <c r="F63" s="736"/>
      <c r="G63" s="736"/>
      <c r="H63" s="733">
        <f t="shared" si="16"/>
        <v>0</v>
      </c>
    </row>
    <row r="64" spans="1:8">
      <c r="A64" s="734"/>
      <c r="B64" s="735" t="s">
        <v>792</v>
      </c>
      <c r="C64" s="736"/>
      <c r="D64" s="736"/>
      <c r="E64" s="733">
        <f t="shared" si="15"/>
        <v>0</v>
      </c>
      <c r="F64" s="736"/>
      <c r="G64" s="736"/>
      <c r="H64" s="733">
        <f t="shared" si="16"/>
        <v>0</v>
      </c>
    </row>
    <row r="65" spans="1:8" ht="15.75" thickBot="1">
      <c r="A65" s="742"/>
      <c r="B65" s="743" t="s">
        <v>793</v>
      </c>
      <c r="C65" s="744"/>
      <c r="D65" s="744"/>
      <c r="E65" s="745">
        <f t="shared" si="15"/>
        <v>0</v>
      </c>
      <c r="F65" s="744"/>
      <c r="G65" s="744"/>
      <c r="H65" s="745">
        <f t="shared" si="16"/>
        <v>0</v>
      </c>
    </row>
    <row r="66" spans="1:8">
      <c r="A66" s="734" t="s">
        <v>794</v>
      </c>
      <c r="B66" s="735"/>
      <c r="C66" s="740">
        <f t="shared" ref="C66:H66" si="17">SUM(C67:C75)</f>
        <v>0</v>
      </c>
      <c r="D66" s="740">
        <f t="shared" si="17"/>
        <v>0</v>
      </c>
      <c r="E66" s="740">
        <f t="shared" si="17"/>
        <v>0</v>
      </c>
      <c r="F66" s="740">
        <f t="shared" si="17"/>
        <v>0</v>
      </c>
      <c r="G66" s="740">
        <f t="shared" si="17"/>
        <v>0</v>
      </c>
      <c r="H66" s="740">
        <f t="shared" si="17"/>
        <v>0</v>
      </c>
    </row>
    <row r="67" spans="1:8">
      <c r="A67" s="734"/>
      <c r="B67" s="735" t="s">
        <v>795</v>
      </c>
      <c r="C67" s="736"/>
      <c r="D67" s="736"/>
      <c r="E67" s="733">
        <f t="shared" ref="E67:E75" si="18">C67+D67</f>
        <v>0</v>
      </c>
      <c r="F67" s="736"/>
      <c r="G67" s="736"/>
      <c r="H67" s="733">
        <f t="shared" ref="H67:H75" si="19">+E67-F67</f>
        <v>0</v>
      </c>
    </row>
    <row r="68" spans="1:8">
      <c r="A68" s="734"/>
      <c r="B68" s="735" t="s">
        <v>796</v>
      </c>
      <c r="C68" s="736"/>
      <c r="D68" s="736"/>
      <c r="E68" s="733"/>
      <c r="F68" s="736"/>
      <c r="G68" s="736"/>
      <c r="H68" s="733">
        <f t="shared" si="19"/>
        <v>0</v>
      </c>
    </row>
    <row r="69" spans="1:8">
      <c r="A69" s="734"/>
      <c r="B69" s="735" t="s">
        <v>797</v>
      </c>
      <c r="C69" s="736"/>
      <c r="D69" s="736"/>
      <c r="E69" s="733">
        <f t="shared" si="18"/>
        <v>0</v>
      </c>
      <c r="F69" s="736"/>
      <c r="G69" s="736"/>
      <c r="H69" s="733">
        <f t="shared" si="19"/>
        <v>0</v>
      </c>
    </row>
    <row r="70" spans="1:8">
      <c r="A70" s="734"/>
      <c r="B70" s="735" t="s">
        <v>798</v>
      </c>
      <c r="C70" s="736"/>
      <c r="D70" s="736"/>
      <c r="E70" s="733">
        <f t="shared" si="18"/>
        <v>0</v>
      </c>
      <c r="F70" s="736"/>
      <c r="G70" s="736"/>
      <c r="H70" s="733">
        <f t="shared" si="19"/>
        <v>0</v>
      </c>
    </row>
    <row r="71" spans="1:8">
      <c r="A71" s="734"/>
      <c r="B71" s="735" t="s">
        <v>799</v>
      </c>
      <c r="C71" s="736"/>
      <c r="D71" s="736"/>
      <c r="E71" s="733">
        <f t="shared" si="18"/>
        <v>0</v>
      </c>
      <c r="F71" s="736"/>
      <c r="G71" s="736"/>
      <c r="H71" s="733">
        <f t="shared" si="19"/>
        <v>0</v>
      </c>
    </row>
    <row r="72" spans="1:8">
      <c r="A72" s="734"/>
      <c r="B72" s="735" t="s">
        <v>800</v>
      </c>
      <c r="C72" s="736"/>
      <c r="D72" s="736"/>
      <c r="E72" s="733">
        <f t="shared" si="18"/>
        <v>0</v>
      </c>
      <c r="F72" s="736"/>
      <c r="G72" s="736"/>
      <c r="H72" s="733">
        <f t="shared" si="19"/>
        <v>0</v>
      </c>
    </row>
    <row r="73" spans="1:8">
      <c r="A73" s="734"/>
      <c r="B73" s="735" t="s">
        <v>801</v>
      </c>
      <c r="C73" s="736"/>
      <c r="D73" s="736"/>
      <c r="E73" s="733">
        <f t="shared" si="18"/>
        <v>0</v>
      </c>
      <c r="F73" s="736"/>
      <c r="G73" s="736"/>
      <c r="H73" s="733">
        <f t="shared" si="19"/>
        <v>0</v>
      </c>
    </row>
    <row r="74" spans="1:8">
      <c r="A74" s="734"/>
      <c r="B74" s="735" t="s">
        <v>802</v>
      </c>
      <c r="C74" s="736"/>
      <c r="D74" s="736"/>
      <c r="E74" s="733">
        <f t="shared" si="18"/>
        <v>0</v>
      </c>
      <c r="F74" s="736"/>
      <c r="G74" s="736"/>
      <c r="H74" s="733">
        <f t="shared" si="19"/>
        <v>0</v>
      </c>
    </row>
    <row r="75" spans="1:8">
      <c r="A75" s="734"/>
      <c r="B75" s="735" t="s">
        <v>803</v>
      </c>
      <c r="C75" s="736"/>
      <c r="D75" s="736"/>
      <c r="E75" s="733">
        <f t="shared" si="18"/>
        <v>0</v>
      </c>
      <c r="F75" s="736"/>
      <c r="G75" s="736"/>
      <c r="H75" s="733">
        <f t="shared" si="19"/>
        <v>0</v>
      </c>
    </row>
    <row r="76" spans="1:8">
      <c r="A76" s="734"/>
      <c r="B76" s="735"/>
      <c r="C76" s="736"/>
      <c r="D76" s="736"/>
      <c r="E76" s="733"/>
      <c r="F76" s="736"/>
      <c r="G76" s="736"/>
      <c r="H76" s="733"/>
    </row>
    <row r="77" spans="1:8">
      <c r="A77" s="734" t="s">
        <v>804</v>
      </c>
      <c r="B77" s="735"/>
      <c r="C77" s="740">
        <f t="shared" ref="C77:H77" si="20">SUM(C78:C81)</f>
        <v>0</v>
      </c>
      <c r="D77" s="740">
        <f t="shared" si="20"/>
        <v>0</v>
      </c>
      <c r="E77" s="740">
        <f t="shared" si="20"/>
        <v>0</v>
      </c>
      <c r="F77" s="740">
        <f t="shared" si="20"/>
        <v>0</v>
      </c>
      <c r="G77" s="740">
        <f t="shared" si="20"/>
        <v>0</v>
      </c>
      <c r="H77" s="740">
        <f t="shared" si="20"/>
        <v>0</v>
      </c>
    </row>
    <row r="78" spans="1:8">
      <c r="A78" s="734"/>
      <c r="B78" s="735" t="s">
        <v>805</v>
      </c>
      <c r="C78" s="736">
        <v>0</v>
      </c>
      <c r="D78" s="736"/>
      <c r="E78" s="733">
        <f>C78+D78</f>
        <v>0</v>
      </c>
      <c r="F78" s="736"/>
      <c r="G78" s="736"/>
      <c r="H78" s="733">
        <f>+E78-F78</f>
        <v>0</v>
      </c>
    </row>
    <row r="79" spans="1:8">
      <c r="A79" s="734"/>
      <c r="B79" s="735" t="s">
        <v>806</v>
      </c>
      <c r="C79" s="736">
        <v>0</v>
      </c>
      <c r="D79" s="736"/>
      <c r="E79" s="733">
        <f>C79+D79</f>
        <v>0</v>
      </c>
      <c r="F79" s="736"/>
      <c r="G79" s="736"/>
      <c r="H79" s="733">
        <f>+E79-F79</f>
        <v>0</v>
      </c>
    </row>
    <row r="80" spans="1:8">
      <c r="A80" s="734"/>
      <c r="B80" s="735" t="s">
        <v>807</v>
      </c>
      <c r="C80" s="736">
        <v>0</v>
      </c>
      <c r="D80" s="736"/>
      <c r="E80" s="733">
        <f>C80+D80</f>
        <v>0</v>
      </c>
      <c r="F80" s="736"/>
      <c r="G80" s="736"/>
      <c r="H80" s="733">
        <f>+E80-F80</f>
        <v>0</v>
      </c>
    </row>
    <row r="81" spans="1:9">
      <c r="A81" s="734"/>
      <c r="B81" s="735" t="s">
        <v>808</v>
      </c>
      <c r="C81" s="736"/>
      <c r="D81" s="736"/>
      <c r="E81" s="733">
        <f>C81+D81</f>
        <v>0</v>
      </c>
      <c r="F81" s="736"/>
      <c r="G81" s="736"/>
      <c r="H81" s="733">
        <f>+E81-F81</f>
        <v>0</v>
      </c>
    </row>
    <row r="82" spans="1:9">
      <c r="A82" s="734"/>
      <c r="B82" s="735"/>
      <c r="C82" s="736"/>
      <c r="D82" s="736"/>
      <c r="E82" s="733"/>
      <c r="F82" s="736"/>
      <c r="G82" s="736"/>
      <c r="H82" s="733"/>
    </row>
    <row r="83" spans="1:9" ht="15.75" thickBot="1">
      <c r="A83" s="742" t="s">
        <v>703</v>
      </c>
      <c r="B83" s="743"/>
      <c r="C83" s="757">
        <f t="shared" ref="C83:H83" si="21">+C10+C47</f>
        <v>115136460</v>
      </c>
      <c r="D83" s="757">
        <f t="shared" si="21"/>
        <v>56707</v>
      </c>
      <c r="E83" s="757">
        <f t="shared" si="21"/>
        <v>115193167</v>
      </c>
      <c r="F83" s="757">
        <f t="shared" si="21"/>
        <v>82444019</v>
      </c>
      <c r="G83" s="757">
        <f t="shared" si="21"/>
        <v>73560558</v>
      </c>
      <c r="H83" s="757">
        <f t="shared" si="21"/>
        <v>32749149</v>
      </c>
      <c r="I83" s="525" t="str">
        <f>IF((C83-'ETCA-II-11'!B45)&gt;0.9,"ERROR!!!!! EL MONTO NO COINCIDE CON LO REPORTADO EN EL FORMATO ETCA-II-11 EN EL TOTAL DEL GASTO","")</f>
        <v/>
      </c>
    </row>
    <row r="84" spans="1:9">
      <c r="A84" s="746"/>
      <c r="B84" s="746"/>
      <c r="C84" s="747"/>
      <c r="D84" s="747"/>
      <c r="E84" s="748"/>
      <c r="F84" s="747"/>
      <c r="G84" s="747"/>
      <c r="H84" s="748"/>
      <c r="I84" s="525" t="str">
        <f>IF((D83-'ETCA-II-11'!C45)&gt;0.9,"ERROR!!!!! EL MONTO NO COINCIDE CON LO REPORTADO EN EL FORMATO ETCA-II-11 EN EL TOTAL DEL GASTO","")</f>
        <v/>
      </c>
    </row>
    <row r="85" spans="1:9">
      <c r="A85" s="746"/>
      <c r="B85" s="746"/>
      <c r="C85" s="747"/>
      <c r="D85" s="747"/>
      <c r="E85" s="748"/>
      <c r="F85" s="747"/>
      <c r="G85" s="747"/>
      <c r="H85" s="748"/>
      <c r="I85" t="str">
        <f>IF((E83-'ETCA-II-11'!D45),"ERROR!!!!! EL MONTO NO COINCIDE CON LO REPORTADO EN EL FORMATO ETCA-II-11 EN EL TOTAL DEL GASTO","")</f>
        <v/>
      </c>
    </row>
    <row r="86" spans="1:9">
      <c r="A86" s="746"/>
      <c r="B86" s="746"/>
      <c r="C86" s="747"/>
      <c r="D86" s="747"/>
      <c r="E86" s="748"/>
      <c r="F86" s="747"/>
      <c r="G86" s="747"/>
      <c r="H86" s="748"/>
      <c r="I86" t="str">
        <f>IF((F83-'ETCA-II-11'!E45)&gt;0.9,"ERROR!!!!! EL MONTO NO COINCIDE CON LO REPORTADO EN EL FORMATO ETCA-II-11 EN EL TOTAL DEL GASTO","")</f>
        <v/>
      </c>
    </row>
    <row r="87" spans="1:9">
      <c r="A87" s="746"/>
      <c r="B87" s="746"/>
      <c r="C87" s="747"/>
      <c r="D87" s="747"/>
      <c r="E87" s="748"/>
      <c r="F87" s="747"/>
      <c r="G87" s="747"/>
      <c r="H87" s="748"/>
      <c r="I87" t="str">
        <f>IF((G83-'ETCA-II-11'!F45)&gt;0.9,"ERROR!!!!! EL MONTO NO COINCIDE CON LO REPORTADO EN EL FORMATO ETCA-II-11 EN EL TOTAL DEL GASTO","")</f>
        <v/>
      </c>
    </row>
    <row r="88" spans="1:9">
      <c r="A88" s="746"/>
      <c r="B88" s="746"/>
      <c r="C88" s="747"/>
      <c r="D88" s="747"/>
      <c r="E88" s="748"/>
      <c r="F88" s="747"/>
      <c r="G88" s="747"/>
      <c r="H88" s="748"/>
      <c r="I88" t="str">
        <f>IF((H83-'ETCA-II-11'!G45)&gt;0.9,"ERROR!!!!! EL MONTO NO COINCIDE CON LO REPORTADO EN EL FORMATO ETCA-II-11 EN EL TOTAL DEL GASTO","")</f>
        <v/>
      </c>
    </row>
    <row r="89" spans="1:9">
      <c r="A89" s="746"/>
      <c r="B89" s="746"/>
      <c r="C89" s="747"/>
      <c r="D89" s="747"/>
      <c r="E89" s="748"/>
      <c r="F89" s="747"/>
      <c r="G89" s="747"/>
      <c r="H89" s="748"/>
    </row>
  </sheetData>
  <sheetProtection formatColumns="0" formatRows="0" insertHyperlinks="0"/>
  <mergeCells count="14">
    <mergeCell ref="C7:G7"/>
    <mergeCell ref="H7:H8"/>
    <mergeCell ref="A1:H1"/>
    <mergeCell ref="A3:H3"/>
    <mergeCell ref="A4:H4"/>
    <mergeCell ref="A5:H5"/>
    <mergeCell ref="A6:H6"/>
    <mergeCell ref="A2:H2"/>
    <mergeCell ref="A7:B8"/>
    <mergeCell ref="A9:B9"/>
    <mergeCell ref="A10:B10"/>
    <mergeCell ref="A11:B11"/>
    <mergeCell ref="A21:B21"/>
    <mergeCell ref="A30:B30"/>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dimension ref="A1:N133"/>
  <sheetViews>
    <sheetView view="pageBreakPreview" topLeftCell="A122" zoomScale="112" zoomScaleNormal="112" zoomScaleSheetLayoutView="112" workbookViewId="0">
      <selection activeCell="B104" sqref="A104:I104"/>
    </sheetView>
  </sheetViews>
  <sheetFormatPr baseColWidth="10" defaultRowHeight="16.5"/>
  <cols>
    <col min="1" max="1" width="10.42578125" style="34" customWidth="1"/>
    <col min="2" max="2" width="39.7109375" style="6" customWidth="1"/>
    <col min="3" max="7" width="12.7109375" style="6" customWidth="1"/>
    <col min="8" max="8" width="11.7109375" style="6" customWidth="1"/>
    <col min="9" max="9" width="9.42578125" style="1044" customWidth="1"/>
    <col min="10" max="16384" width="11.42578125" style="3"/>
  </cols>
  <sheetData>
    <row r="1" spans="1:14" s="6" customFormat="1">
      <c r="A1" s="1339" t="s">
        <v>23</v>
      </c>
      <c r="B1" s="1339"/>
      <c r="C1" s="1339"/>
      <c r="D1" s="1339"/>
      <c r="E1" s="1339"/>
      <c r="F1" s="1339"/>
      <c r="G1" s="1339"/>
      <c r="H1" s="1339"/>
      <c r="I1" s="1339"/>
    </row>
    <row r="2" spans="1:14" s="31" customFormat="1" ht="15.75">
      <c r="A2" s="1339" t="s">
        <v>559</v>
      </c>
      <c r="B2" s="1339"/>
      <c r="C2" s="1339"/>
      <c r="D2" s="1339"/>
      <c r="E2" s="1339"/>
      <c r="F2" s="1339"/>
      <c r="G2" s="1339"/>
      <c r="H2" s="1339"/>
      <c r="I2" s="1339"/>
    </row>
    <row r="3" spans="1:14" s="31" customFormat="1" ht="15.75">
      <c r="A3" s="1339" t="s">
        <v>810</v>
      </c>
      <c r="B3" s="1339"/>
      <c r="C3" s="1339"/>
      <c r="D3" s="1339"/>
      <c r="E3" s="1339"/>
      <c r="F3" s="1339"/>
      <c r="G3" s="1339"/>
      <c r="H3" s="1339"/>
      <c r="I3" s="1339"/>
    </row>
    <row r="4" spans="1:14" s="31" customFormat="1">
      <c r="A4" s="1401" t="str">
        <f>'ETCA-I-01'!A3:G3</f>
        <v>TELEVISORA DE HERMOSILLO, S.A. DE C.V.</v>
      </c>
      <c r="B4" s="1401"/>
      <c r="C4" s="1401"/>
      <c r="D4" s="1401"/>
      <c r="E4" s="1401"/>
      <c r="F4" s="1401"/>
      <c r="G4" s="1401"/>
      <c r="H4" s="1401"/>
      <c r="I4" s="1401"/>
    </row>
    <row r="5" spans="1:14" s="31" customFormat="1">
      <c r="A5" s="1401" t="str">
        <f>'ETCA-I-03'!A4:D4</f>
        <v>Del 01 de Enero al 30 de Septiembre de 2018</v>
      </c>
      <c r="B5" s="1401"/>
      <c r="C5" s="1401"/>
      <c r="D5" s="1401"/>
      <c r="E5" s="1401"/>
      <c r="F5" s="1401"/>
      <c r="G5" s="1401"/>
      <c r="H5" s="1401"/>
      <c r="I5" s="1401"/>
    </row>
    <row r="6" spans="1:14" s="32" customFormat="1" ht="17.25" thickBot="1">
      <c r="A6" s="47"/>
      <c r="B6" s="47"/>
      <c r="C6" s="1402" t="s">
        <v>811</v>
      </c>
      <c r="D6" s="1402"/>
      <c r="E6" s="1402"/>
      <c r="F6" s="47"/>
      <c r="G6" s="4"/>
      <c r="H6" s="1403"/>
      <c r="I6" s="1403"/>
    </row>
    <row r="7" spans="1:14" ht="38.25" customHeight="1">
      <c r="A7" s="1396" t="s">
        <v>812</v>
      </c>
      <c r="B7" s="1397"/>
      <c r="C7" s="199" t="s">
        <v>563</v>
      </c>
      <c r="D7" s="199" t="s">
        <v>473</v>
      </c>
      <c r="E7" s="199" t="s">
        <v>564</v>
      </c>
      <c r="F7" s="200" t="s">
        <v>565</v>
      </c>
      <c r="G7" s="200" t="s">
        <v>566</v>
      </c>
      <c r="H7" s="199" t="s">
        <v>567</v>
      </c>
      <c r="I7" s="1042" t="s">
        <v>813</v>
      </c>
    </row>
    <row r="8" spans="1:14" ht="18" customHeight="1" thickBot="1">
      <c r="A8" s="1398"/>
      <c r="B8" s="1399"/>
      <c r="C8" s="297" t="s">
        <v>438</v>
      </c>
      <c r="D8" s="297" t="s">
        <v>439</v>
      </c>
      <c r="E8" s="297" t="s">
        <v>568</v>
      </c>
      <c r="F8" s="335" t="s">
        <v>441</v>
      </c>
      <c r="G8" s="335" t="s">
        <v>442</v>
      </c>
      <c r="H8" s="297" t="s">
        <v>569</v>
      </c>
      <c r="I8" s="298" t="s">
        <v>814</v>
      </c>
    </row>
    <row r="9" spans="1:14" ht="12.75" customHeight="1">
      <c r="A9" s="326"/>
      <c r="B9" s="327"/>
      <c r="C9" s="328"/>
      <c r="D9" s="328"/>
      <c r="E9" s="328"/>
      <c r="F9" s="328"/>
      <c r="G9" s="328"/>
      <c r="H9" s="328"/>
      <c r="I9" s="1043"/>
    </row>
    <row r="10" spans="1:14" ht="17.100000000000001" customHeight="1">
      <c r="A10" s="329">
        <v>1000</v>
      </c>
      <c r="B10" s="330" t="s">
        <v>815</v>
      </c>
      <c r="C10" s="955">
        <f>SUM(C11:C47)</f>
        <v>81363564</v>
      </c>
      <c r="D10" s="956">
        <f>SUM(D11:D47)+1</f>
        <v>-9422840</v>
      </c>
      <c r="E10" s="955">
        <f>SUM(E11:E47)+1</f>
        <v>71940724</v>
      </c>
      <c r="F10" s="955">
        <f>SUM(F11:F47)</f>
        <v>53128222</v>
      </c>
      <c r="G10" s="955">
        <f>SUM(G11:G47)</f>
        <v>46951313</v>
      </c>
      <c r="H10" s="957">
        <f>E10-F10</f>
        <v>18812502</v>
      </c>
      <c r="I10" s="1050">
        <f>IF(E10=0,"",F10/E10)</f>
        <v>0.73849996283051034</v>
      </c>
      <c r="J10" s="1027"/>
    </row>
    <row r="11" spans="1:14" s="35" customFormat="1" ht="17.100000000000001" customHeight="1">
      <c r="A11" s="331">
        <v>1100</v>
      </c>
      <c r="B11" s="332" t="s">
        <v>816</v>
      </c>
      <c r="C11" s="958"/>
      <c r="D11" s="959"/>
      <c r="E11" s="960"/>
      <c r="F11" s="958"/>
      <c r="G11" s="961"/>
      <c r="H11" s="962"/>
      <c r="I11" s="1051" t="str">
        <f t="shared" ref="I11:I131" si="0">IF(E11=0,"",F11/E11)</f>
        <v/>
      </c>
      <c r="J11" s="1027"/>
    </row>
    <row r="12" spans="1:14" s="35" customFormat="1" ht="17.100000000000001" customHeight="1">
      <c r="A12" s="333">
        <v>113</v>
      </c>
      <c r="B12" s="332" t="s">
        <v>817</v>
      </c>
      <c r="C12" s="963"/>
      <c r="D12" s="964"/>
      <c r="E12" s="960"/>
      <c r="F12" s="963"/>
      <c r="G12" s="965"/>
      <c r="H12" s="962"/>
      <c r="I12" s="1051" t="str">
        <f t="shared" si="0"/>
        <v/>
      </c>
      <c r="J12" s="1027"/>
    </row>
    <row r="13" spans="1:14" s="35" customFormat="1" ht="17.100000000000001" customHeight="1">
      <c r="A13" s="334">
        <v>11301</v>
      </c>
      <c r="B13" s="332" t="s">
        <v>818</v>
      </c>
      <c r="C13" s="1028">
        <v>43249532</v>
      </c>
      <c r="D13" s="964">
        <v>-6719779</v>
      </c>
      <c r="E13" s="960">
        <f t="shared" ref="E13:E32" si="1">C13+D13</f>
        <v>36529753</v>
      </c>
      <c r="F13" s="1030">
        <v>28118220</v>
      </c>
      <c r="G13" s="1028">
        <v>28118220</v>
      </c>
      <c r="H13" s="962">
        <f t="shared" ref="H13:H29" si="2">E13-F13</f>
        <v>8411533</v>
      </c>
      <c r="I13" s="1051">
        <f t="shared" si="0"/>
        <v>0.76973474197868241</v>
      </c>
      <c r="J13" s="1027"/>
      <c r="K13" s="966"/>
      <c r="L13" s="966"/>
      <c r="M13" s="966"/>
      <c r="N13" s="966"/>
    </row>
    <row r="14" spans="1:14" s="35" customFormat="1" ht="17.100000000000001" customHeight="1">
      <c r="A14" s="334">
        <v>11303</v>
      </c>
      <c r="B14" s="332" t="s">
        <v>1118</v>
      </c>
      <c r="C14" s="1028">
        <v>4064929</v>
      </c>
      <c r="D14" s="964">
        <v>-497966</v>
      </c>
      <c r="E14" s="960">
        <f t="shared" si="1"/>
        <v>3566963</v>
      </c>
      <c r="F14" s="1030">
        <v>2623067</v>
      </c>
      <c r="G14" s="1028">
        <v>2623067</v>
      </c>
      <c r="H14" s="962">
        <f t="shared" si="2"/>
        <v>943896</v>
      </c>
      <c r="I14" s="1051">
        <f t="shared" si="0"/>
        <v>0.7353782475456011</v>
      </c>
      <c r="J14" s="1027"/>
      <c r="K14" s="966"/>
      <c r="L14" s="966"/>
      <c r="M14" s="966"/>
      <c r="N14" s="966"/>
    </row>
    <row r="15" spans="1:14" s="35" customFormat="1" ht="17.100000000000001" customHeight="1">
      <c r="A15" s="334">
        <v>11306</v>
      </c>
      <c r="B15" s="332" t="s">
        <v>819</v>
      </c>
      <c r="C15" s="967"/>
      <c r="D15" s="964"/>
      <c r="E15" s="960"/>
      <c r="F15" s="1030"/>
      <c r="G15" s="1024"/>
      <c r="H15" s="962"/>
      <c r="I15" s="1051" t="str">
        <f t="shared" si="0"/>
        <v/>
      </c>
      <c r="J15" s="1027"/>
      <c r="K15" s="966"/>
      <c r="L15" s="966"/>
      <c r="M15" s="966"/>
      <c r="N15" s="966"/>
    </row>
    <row r="16" spans="1:14" s="35" customFormat="1" ht="17.100000000000001" customHeight="1">
      <c r="A16" s="334">
        <v>11307</v>
      </c>
      <c r="B16" s="332" t="s">
        <v>820</v>
      </c>
      <c r="C16" s="967"/>
      <c r="D16" s="964"/>
      <c r="E16" s="960"/>
      <c r="F16" s="963"/>
      <c r="G16" s="1024"/>
      <c r="H16" s="962"/>
      <c r="I16" s="1051" t="str">
        <f t="shared" si="0"/>
        <v/>
      </c>
      <c r="J16" s="1027"/>
      <c r="K16" s="966"/>
      <c r="L16" s="966"/>
      <c r="M16" s="966"/>
      <c r="N16" s="966"/>
    </row>
    <row r="17" spans="1:14" s="35" customFormat="1" ht="17.100000000000001" customHeight="1">
      <c r="A17" s="334">
        <v>11308</v>
      </c>
      <c r="B17" s="332" t="s">
        <v>1119</v>
      </c>
      <c r="C17" s="1028">
        <v>2040096</v>
      </c>
      <c r="D17" s="964">
        <v>0</v>
      </c>
      <c r="E17" s="960">
        <f t="shared" si="1"/>
        <v>2040096</v>
      </c>
      <c r="F17" s="1030">
        <v>1530638</v>
      </c>
      <c r="G17" s="1028">
        <v>1530638</v>
      </c>
      <c r="H17" s="962">
        <f t="shared" ref="H17" si="3">E17-F17</f>
        <v>509458</v>
      </c>
      <c r="I17" s="1051">
        <f t="shared" si="0"/>
        <v>0.75027743792448987</v>
      </c>
      <c r="J17" s="1027"/>
      <c r="K17" s="966"/>
      <c r="L17" s="966"/>
      <c r="M17" s="966"/>
      <c r="N17" s="966"/>
    </row>
    <row r="18" spans="1:14" s="35" customFormat="1" ht="17.100000000000001" customHeight="1">
      <c r="A18" s="334">
        <v>11309</v>
      </c>
      <c r="B18" s="332" t="s">
        <v>821</v>
      </c>
      <c r="C18" s="963"/>
      <c r="D18" s="964"/>
      <c r="E18" s="960"/>
      <c r="F18" s="963"/>
      <c r="G18" s="965"/>
      <c r="H18" s="962"/>
      <c r="I18" s="1051" t="str">
        <f t="shared" si="0"/>
        <v/>
      </c>
      <c r="J18" s="1027"/>
      <c r="K18" s="966"/>
      <c r="L18" s="966"/>
      <c r="M18" s="966"/>
      <c r="N18" s="966"/>
    </row>
    <row r="19" spans="1:14" s="35" customFormat="1" ht="17.100000000000001" customHeight="1">
      <c r="A19" s="334">
        <v>11310</v>
      </c>
      <c r="B19" s="332" t="s">
        <v>822</v>
      </c>
      <c r="C19" s="963"/>
      <c r="D19" s="964"/>
      <c r="E19" s="960"/>
      <c r="F19" s="963"/>
      <c r="G19" s="965"/>
      <c r="H19" s="962"/>
      <c r="I19" s="1051" t="str">
        <f t="shared" si="0"/>
        <v/>
      </c>
      <c r="J19" s="1027"/>
      <c r="K19" s="966"/>
      <c r="L19" s="966"/>
      <c r="M19" s="966"/>
      <c r="N19" s="966"/>
    </row>
    <row r="20" spans="1:14" s="35" customFormat="1" ht="17.100000000000001" customHeight="1">
      <c r="A20" s="333">
        <v>121</v>
      </c>
      <c r="B20" s="332" t="s">
        <v>823</v>
      </c>
      <c r="C20" s="963"/>
      <c r="D20" s="964"/>
      <c r="E20" s="960"/>
      <c r="F20" s="963"/>
      <c r="G20" s="965"/>
      <c r="H20" s="962"/>
      <c r="I20" s="1051" t="str">
        <f t="shared" si="0"/>
        <v/>
      </c>
      <c r="J20" s="1027"/>
      <c r="K20" s="966"/>
      <c r="L20" s="966"/>
      <c r="M20" s="966"/>
      <c r="N20" s="966"/>
    </row>
    <row r="21" spans="1:14" s="35" customFormat="1" ht="17.100000000000001" customHeight="1">
      <c r="A21" s="334">
        <v>12101</v>
      </c>
      <c r="B21" s="332" t="s">
        <v>824</v>
      </c>
      <c r="C21" s="1028">
        <v>1332268</v>
      </c>
      <c r="D21" s="964">
        <v>-109958</v>
      </c>
      <c r="E21" s="960">
        <f t="shared" si="1"/>
        <v>1222310</v>
      </c>
      <c r="F21" s="963">
        <v>477108</v>
      </c>
      <c r="G21" s="963">
        <v>477108</v>
      </c>
      <c r="H21" s="962">
        <f t="shared" si="2"/>
        <v>745202</v>
      </c>
      <c r="I21" s="1051">
        <f t="shared" si="0"/>
        <v>0.39033305789856909</v>
      </c>
      <c r="J21" s="1027"/>
      <c r="K21" s="966"/>
      <c r="L21" s="966"/>
      <c r="M21" s="966"/>
      <c r="N21" s="966"/>
    </row>
    <row r="22" spans="1:14" s="35" customFormat="1" ht="17.100000000000001" customHeight="1">
      <c r="A22" s="333">
        <v>122</v>
      </c>
      <c r="B22" s="332" t="s">
        <v>825</v>
      </c>
      <c r="C22" s="963"/>
      <c r="D22" s="964"/>
      <c r="E22" s="960"/>
      <c r="F22" s="963"/>
      <c r="G22" s="965"/>
      <c r="H22" s="962"/>
      <c r="I22" s="1051" t="str">
        <f t="shared" si="0"/>
        <v/>
      </c>
      <c r="J22" s="1027"/>
      <c r="K22" s="966"/>
      <c r="L22" s="966"/>
      <c r="M22" s="966"/>
      <c r="N22" s="966"/>
    </row>
    <row r="23" spans="1:14" s="35" customFormat="1" ht="17.100000000000001" customHeight="1">
      <c r="A23" s="334">
        <v>12201</v>
      </c>
      <c r="B23" s="332" t="s">
        <v>825</v>
      </c>
      <c r="C23" s="963"/>
      <c r="D23" s="964"/>
      <c r="E23" s="960"/>
      <c r="F23" s="963"/>
      <c r="G23" s="965"/>
      <c r="H23" s="962"/>
      <c r="I23" s="1051" t="str">
        <f t="shared" si="0"/>
        <v/>
      </c>
      <c r="J23" s="1027"/>
      <c r="K23" s="966"/>
      <c r="L23" s="966"/>
      <c r="M23" s="966"/>
      <c r="N23" s="966"/>
    </row>
    <row r="24" spans="1:14" s="35" customFormat="1" ht="17.100000000000001" customHeight="1">
      <c r="A24" s="331">
        <v>1300</v>
      </c>
      <c r="B24" s="332" t="s">
        <v>826</v>
      </c>
      <c r="C24" s="963"/>
      <c r="D24" s="964"/>
      <c r="E24" s="960"/>
      <c r="F24" s="963"/>
      <c r="G24" s="965"/>
      <c r="H24" s="962"/>
      <c r="I24" s="1051" t="str">
        <f t="shared" si="0"/>
        <v/>
      </c>
      <c r="J24" s="1027"/>
      <c r="K24" s="966"/>
      <c r="L24" s="966"/>
      <c r="M24" s="966"/>
      <c r="N24" s="966"/>
    </row>
    <row r="25" spans="1:14" s="35" customFormat="1" ht="17.100000000000001" customHeight="1">
      <c r="A25" s="333">
        <v>131</v>
      </c>
      <c r="B25" s="332" t="s">
        <v>827</v>
      </c>
      <c r="C25" s="963"/>
      <c r="D25" s="964"/>
      <c r="E25" s="960"/>
      <c r="F25" s="963"/>
      <c r="G25" s="965"/>
      <c r="H25" s="962"/>
      <c r="I25" s="1051" t="str">
        <f t="shared" si="0"/>
        <v/>
      </c>
      <c r="J25" s="1027"/>
      <c r="K25" s="966"/>
      <c r="L25" s="966"/>
      <c r="M25" s="966"/>
      <c r="N25" s="966"/>
    </row>
    <row r="26" spans="1:14" s="35" customFormat="1" ht="17.100000000000001" customHeight="1">
      <c r="A26" s="334">
        <v>13101</v>
      </c>
      <c r="B26" s="332" t="s">
        <v>828</v>
      </c>
      <c r="C26" s="963"/>
      <c r="D26" s="964"/>
      <c r="E26" s="960"/>
      <c r="F26" s="963"/>
      <c r="G26" s="965"/>
      <c r="H26" s="962"/>
      <c r="I26" s="1051" t="str">
        <f t="shared" si="0"/>
        <v/>
      </c>
      <c r="J26" s="1027"/>
      <c r="K26" s="966"/>
      <c r="L26" s="966"/>
      <c r="M26" s="966"/>
      <c r="N26" s="966"/>
    </row>
    <row r="27" spans="1:14" s="35" customFormat="1" ht="17.100000000000001" customHeight="1">
      <c r="A27" s="333">
        <v>132</v>
      </c>
      <c r="B27" s="332" t="s">
        <v>829</v>
      </c>
      <c r="C27" s="963"/>
      <c r="D27" s="964"/>
      <c r="E27" s="960"/>
      <c r="F27" s="963"/>
      <c r="G27" s="965"/>
      <c r="H27" s="962"/>
      <c r="I27" s="1051" t="str">
        <f t="shared" si="0"/>
        <v/>
      </c>
      <c r="J27" s="1027"/>
      <c r="K27" s="966"/>
      <c r="L27" s="966"/>
      <c r="M27" s="966"/>
      <c r="N27" s="966"/>
    </row>
    <row r="28" spans="1:14" s="35" customFormat="1" ht="17.100000000000001" customHeight="1">
      <c r="A28" s="334">
        <v>13201</v>
      </c>
      <c r="B28" s="332" t="s">
        <v>830</v>
      </c>
      <c r="C28" s="1028">
        <v>3839996</v>
      </c>
      <c r="D28" s="964">
        <v>-450264</v>
      </c>
      <c r="E28" s="960">
        <f t="shared" si="1"/>
        <v>3389732</v>
      </c>
      <c r="F28" s="1030">
        <v>2576762</v>
      </c>
      <c r="G28" s="1028">
        <v>2576762</v>
      </c>
      <c r="H28" s="962">
        <f t="shared" si="2"/>
        <v>812970</v>
      </c>
      <c r="I28" s="1051">
        <f t="shared" si="0"/>
        <v>0.76016688044954583</v>
      </c>
      <c r="J28" s="1027"/>
      <c r="K28" s="966"/>
      <c r="L28" s="966"/>
      <c r="M28" s="966"/>
      <c r="N28" s="966"/>
    </row>
    <row r="29" spans="1:14" s="35" customFormat="1" ht="17.100000000000001" customHeight="1">
      <c r="A29" s="334">
        <v>13202</v>
      </c>
      <c r="B29" s="332" t="s">
        <v>831</v>
      </c>
      <c r="C29" s="1028">
        <v>7052432</v>
      </c>
      <c r="D29" s="964">
        <v>-950000</v>
      </c>
      <c r="E29" s="960">
        <f t="shared" si="1"/>
        <v>6102432</v>
      </c>
      <c r="F29" s="1030">
        <v>4565375</v>
      </c>
      <c r="G29" s="1028">
        <v>7712</v>
      </c>
      <c r="H29" s="962">
        <f t="shared" si="2"/>
        <v>1537057</v>
      </c>
      <c r="I29" s="1051">
        <f t="shared" si="0"/>
        <v>0.74812386274849108</v>
      </c>
      <c r="J29" s="1027"/>
      <c r="K29" s="966"/>
      <c r="L29" s="966"/>
      <c r="M29" s="966"/>
      <c r="N29" s="966"/>
    </row>
    <row r="30" spans="1:14" s="35" customFormat="1" ht="17.100000000000001" customHeight="1">
      <c r="A30" s="334">
        <v>13203</v>
      </c>
      <c r="B30" s="332" t="s">
        <v>832</v>
      </c>
      <c r="C30" s="967"/>
      <c r="D30" s="964"/>
      <c r="E30" s="960"/>
      <c r="F30" s="1028"/>
      <c r="G30" s="965"/>
      <c r="H30" s="962"/>
      <c r="I30" s="1051" t="str">
        <f t="shared" si="0"/>
        <v/>
      </c>
      <c r="J30" s="1027"/>
      <c r="K30" s="966"/>
      <c r="L30" s="966"/>
      <c r="M30" s="966"/>
      <c r="N30" s="966"/>
    </row>
    <row r="31" spans="1:14" s="35" customFormat="1" ht="17.100000000000001" customHeight="1">
      <c r="A31" s="334">
        <v>13204</v>
      </c>
      <c r="B31" s="332" t="s">
        <v>833</v>
      </c>
      <c r="C31" s="963"/>
      <c r="D31" s="964"/>
      <c r="E31" s="960"/>
      <c r="F31" s="963"/>
      <c r="G31" s="965"/>
      <c r="H31" s="962"/>
      <c r="I31" s="1051" t="str">
        <f t="shared" si="0"/>
        <v/>
      </c>
      <c r="J31" s="1027"/>
      <c r="K31" s="966"/>
      <c r="L31" s="966"/>
      <c r="M31" s="966"/>
      <c r="N31" s="966"/>
    </row>
    <row r="32" spans="1:14" s="35" customFormat="1" ht="17.100000000000001" customHeight="1">
      <c r="A32" s="334">
        <v>13301</v>
      </c>
      <c r="B32" s="332" t="s">
        <v>1120</v>
      </c>
      <c r="C32" s="1029">
        <v>982616</v>
      </c>
      <c r="D32" s="964">
        <v>0</v>
      </c>
      <c r="E32" s="960">
        <f t="shared" si="1"/>
        <v>982616</v>
      </c>
      <c r="F32" s="1029">
        <v>603466</v>
      </c>
      <c r="G32" s="963">
        <v>603466</v>
      </c>
      <c r="H32" s="962">
        <f t="shared" ref="H32" si="4">E32-F32</f>
        <v>379150</v>
      </c>
      <c r="I32" s="1051">
        <f t="shared" si="0"/>
        <v>0.61414224885407931</v>
      </c>
      <c r="J32" s="1027"/>
      <c r="K32" s="966"/>
      <c r="L32" s="966"/>
      <c r="M32" s="966"/>
      <c r="N32" s="966"/>
    </row>
    <row r="33" spans="1:14" s="35" customFormat="1" ht="17.100000000000001" customHeight="1">
      <c r="A33" s="333">
        <v>134</v>
      </c>
      <c r="B33" s="332" t="s">
        <v>834</v>
      </c>
      <c r="C33" s="963"/>
      <c r="D33" s="964"/>
      <c r="E33" s="960"/>
      <c r="F33" s="963"/>
      <c r="G33" s="965"/>
      <c r="H33" s="962"/>
      <c r="I33" s="1051" t="str">
        <f t="shared" si="0"/>
        <v/>
      </c>
      <c r="J33" s="1027"/>
      <c r="K33" s="966"/>
      <c r="L33" s="966"/>
      <c r="M33" s="966"/>
      <c r="N33" s="966"/>
    </row>
    <row r="34" spans="1:14" s="35" customFormat="1" ht="17.100000000000001" customHeight="1">
      <c r="A34" s="334">
        <v>13403</v>
      </c>
      <c r="B34" s="332" t="s">
        <v>835</v>
      </c>
      <c r="C34" s="963"/>
      <c r="D34" s="964"/>
      <c r="E34" s="960"/>
      <c r="F34" s="963"/>
      <c r="G34" s="965"/>
      <c r="H34" s="962"/>
      <c r="I34" s="1051" t="str">
        <f t="shared" si="0"/>
        <v/>
      </c>
      <c r="J34" s="1027"/>
      <c r="K34" s="966"/>
      <c r="L34" s="966"/>
      <c r="M34" s="966"/>
      <c r="N34" s="966"/>
    </row>
    <row r="35" spans="1:14" s="35" customFormat="1" ht="17.100000000000001" customHeight="1">
      <c r="A35" s="972">
        <v>141</v>
      </c>
      <c r="B35" s="332" t="s">
        <v>1121</v>
      </c>
      <c r="C35" s="963"/>
      <c r="D35" s="964"/>
      <c r="E35" s="960"/>
      <c r="F35" s="963"/>
      <c r="G35" s="965"/>
      <c r="H35" s="962"/>
      <c r="I35" s="1051" t="str">
        <f t="shared" si="0"/>
        <v/>
      </c>
      <c r="J35" s="1027"/>
      <c r="K35" s="966"/>
      <c r="L35" s="966"/>
      <c r="M35" s="966"/>
      <c r="N35" s="966"/>
    </row>
    <row r="36" spans="1:14" s="35" customFormat="1" ht="17.100000000000001" customHeight="1">
      <c r="A36" s="972">
        <v>14101</v>
      </c>
      <c r="B36" s="332" t="s">
        <v>1122</v>
      </c>
      <c r="C36" s="1030">
        <v>4649777</v>
      </c>
      <c r="D36" s="1032">
        <v>-600000</v>
      </c>
      <c r="E36" s="960">
        <f t="shared" ref="E36:E99" si="5">C36+D36</f>
        <v>4049777</v>
      </c>
      <c r="F36" s="963">
        <v>3033803</v>
      </c>
      <c r="G36" s="964">
        <v>2701323</v>
      </c>
      <c r="H36" s="962">
        <f t="shared" ref="H36:H99" si="6">E36-F36</f>
        <v>1015974</v>
      </c>
      <c r="I36" s="1051">
        <f t="shared" si="0"/>
        <v>0.74912840879880549</v>
      </c>
      <c r="J36" s="1027"/>
      <c r="K36" s="966"/>
      <c r="L36" s="966"/>
      <c r="M36" s="966"/>
      <c r="N36" s="966"/>
    </row>
    <row r="37" spans="1:14" s="35" customFormat="1" ht="17.100000000000001" customHeight="1">
      <c r="A37" s="972">
        <v>14201</v>
      </c>
      <c r="B37" s="332" t="s">
        <v>1123</v>
      </c>
      <c r="C37" s="1030">
        <v>2296021</v>
      </c>
      <c r="D37" s="1032">
        <v>-200000</v>
      </c>
      <c r="E37" s="960">
        <f t="shared" si="5"/>
        <v>2096021</v>
      </c>
      <c r="F37" s="963">
        <v>1371281</v>
      </c>
      <c r="G37" s="964">
        <v>1371281</v>
      </c>
      <c r="H37" s="962">
        <f t="shared" si="6"/>
        <v>724740</v>
      </c>
      <c r="I37" s="1051">
        <f t="shared" si="0"/>
        <v>0.65423056352965925</v>
      </c>
      <c r="J37" s="1027"/>
      <c r="K37" s="966"/>
      <c r="L37" s="966"/>
      <c r="M37" s="966"/>
      <c r="N37" s="966"/>
    </row>
    <row r="38" spans="1:14" s="35" customFormat="1" ht="17.100000000000001" customHeight="1">
      <c r="A38" s="972">
        <v>14301</v>
      </c>
      <c r="B38" s="332" t="s">
        <v>1124</v>
      </c>
      <c r="C38" s="1030">
        <v>3020314</v>
      </c>
      <c r="D38" s="1033">
        <v>-300000</v>
      </c>
      <c r="E38" s="960">
        <f t="shared" si="5"/>
        <v>2720314</v>
      </c>
      <c r="F38" s="963">
        <v>1707396</v>
      </c>
      <c r="G38" s="964">
        <v>1707396</v>
      </c>
      <c r="H38" s="962">
        <f t="shared" si="6"/>
        <v>1012918</v>
      </c>
      <c r="I38" s="1051">
        <f t="shared" si="0"/>
        <v>0.62764666137806147</v>
      </c>
      <c r="J38" s="1027"/>
      <c r="K38" s="966"/>
      <c r="L38" s="966"/>
      <c r="M38" s="966"/>
      <c r="N38" s="966"/>
    </row>
    <row r="39" spans="1:14" s="35" customFormat="1" ht="17.100000000000001" customHeight="1">
      <c r="A39" s="972">
        <v>150</v>
      </c>
      <c r="B39" s="332" t="s">
        <v>1125</v>
      </c>
      <c r="C39" s="963"/>
      <c r="D39" s="964"/>
      <c r="E39" s="960"/>
      <c r="F39" s="963"/>
      <c r="G39" s="965"/>
      <c r="H39" s="962"/>
      <c r="I39" s="1051" t="str">
        <f t="shared" si="0"/>
        <v/>
      </c>
      <c r="J39" s="1027"/>
      <c r="K39" s="966"/>
      <c r="L39" s="966"/>
      <c r="M39" s="966"/>
      <c r="N39" s="966"/>
    </row>
    <row r="40" spans="1:14" s="35" customFormat="1" ht="17.100000000000001" customHeight="1">
      <c r="A40" s="976">
        <v>15101</v>
      </c>
      <c r="B40" s="968" t="s">
        <v>1126</v>
      </c>
      <c r="C40" s="1031">
        <v>2728800</v>
      </c>
      <c r="D40" s="969">
        <v>-300000</v>
      </c>
      <c r="E40" s="970">
        <f t="shared" si="5"/>
        <v>2428800</v>
      </c>
      <c r="F40" s="1031">
        <v>1762611</v>
      </c>
      <c r="G40" s="969">
        <v>610167</v>
      </c>
      <c r="H40" s="971">
        <f t="shared" si="6"/>
        <v>666189</v>
      </c>
      <c r="I40" s="1052">
        <f t="shared" si="0"/>
        <v>0.72571269762845847</v>
      </c>
      <c r="J40" s="1027"/>
      <c r="K40" s="966"/>
      <c r="L40" s="966"/>
      <c r="M40" s="966"/>
      <c r="N40" s="966"/>
    </row>
    <row r="41" spans="1:14" s="35" customFormat="1" ht="17.100000000000001" customHeight="1">
      <c r="A41" s="972">
        <v>15201</v>
      </c>
      <c r="B41" s="332" t="s">
        <v>1127</v>
      </c>
      <c r="C41" s="1028">
        <v>226234</v>
      </c>
      <c r="D41" s="964">
        <v>0</v>
      </c>
      <c r="E41" s="960">
        <f t="shared" si="5"/>
        <v>226234</v>
      </c>
      <c r="F41" s="1028">
        <v>0</v>
      </c>
      <c r="G41" s="964">
        <v>0</v>
      </c>
      <c r="H41" s="962">
        <f t="shared" si="6"/>
        <v>226234</v>
      </c>
      <c r="I41" s="1051">
        <f t="shared" si="0"/>
        <v>0</v>
      </c>
      <c r="J41" s="1027"/>
      <c r="K41" s="966"/>
      <c r="L41" s="966"/>
      <c r="M41" s="966"/>
      <c r="N41" s="966"/>
    </row>
    <row r="42" spans="1:14" s="35" customFormat="1" ht="17.100000000000001" customHeight="1">
      <c r="A42" s="972">
        <v>15303</v>
      </c>
      <c r="B42" s="332" t="s">
        <v>1128</v>
      </c>
      <c r="C42" s="1028">
        <v>135823</v>
      </c>
      <c r="D42" s="964">
        <v>0</v>
      </c>
      <c r="E42" s="960">
        <f t="shared" si="5"/>
        <v>135823</v>
      </c>
      <c r="F42" s="1028">
        <v>120350</v>
      </c>
      <c r="G42" s="964">
        <v>120350</v>
      </c>
      <c r="H42" s="962">
        <f t="shared" si="6"/>
        <v>15473</v>
      </c>
      <c r="I42" s="1051">
        <f t="shared" si="0"/>
        <v>0.88607967722697922</v>
      </c>
      <c r="J42" s="1027"/>
      <c r="K42" s="966"/>
      <c r="L42" s="966"/>
      <c r="M42" s="966"/>
      <c r="N42" s="966"/>
    </row>
    <row r="43" spans="1:14" s="35" customFormat="1" ht="17.100000000000001" customHeight="1">
      <c r="A43" s="972">
        <v>15404</v>
      </c>
      <c r="B43" s="332" t="s">
        <v>1129</v>
      </c>
      <c r="C43" s="1028">
        <v>2767926</v>
      </c>
      <c r="D43" s="964">
        <v>-305807</v>
      </c>
      <c r="E43" s="960">
        <f t="shared" si="5"/>
        <v>2462119</v>
      </c>
      <c r="F43" s="1028">
        <v>1838785</v>
      </c>
      <c r="G43" s="964">
        <v>1838785</v>
      </c>
      <c r="H43" s="962">
        <f t="shared" si="6"/>
        <v>623334</v>
      </c>
      <c r="I43" s="1051">
        <f t="shared" si="0"/>
        <v>0.74683027099827426</v>
      </c>
      <c r="J43" s="1027"/>
      <c r="K43" s="966"/>
      <c r="L43" s="966"/>
      <c r="M43" s="966"/>
      <c r="N43" s="966"/>
    </row>
    <row r="44" spans="1:14" s="35" customFormat="1" ht="17.100000000000001" customHeight="1">
      <c r="A44" s="972">
        <v>15413</v>
      </c>
      <c r="B44" s="332" t="s">
        <v>1130</v>
      </c>
      <c r="C44" s="1028">
        <v>30183</v>
      </c>
      <c r="D44" s="964">
        <v>0</v>
      </c>
      <c r="E44" s="960">
        <f t="shared" si="5"/>
        <v>30183</v>
      </c>
      <c r="F44" s="1028">
        <v>8100</v>
      </c>
      <c r="G44" s="964">
        <v>7200</v>
      </c>
      <c r="H44" s="962">
        <f t="shared" si="6"/>
        <v>22083</v>
      </c>
      <c r="I44" s="1051">
        <f t="shared" si="0"/>
        <v>0.26836298578670115</v>
      </c>
      <c r="J44" s="1027"/>
      <c r="K44" s="966"/>
      <c r="L44" s="966"/>
      <c r="M44" s="966"/>
      <c r="N44" s="966"/>
    </row>
    <row r="45" spans="1:14" s="35" customFormat="1" ht="17.100000000000001" customHeight="1">
      <c r="A45" s="972">
        <v>15901</v>
      </c>
      <c r="B45" s="332" t="s">
        <v>1131</v>
      </c>
      <c r="C45" s="1028">
        <v>1934884</v>
      </c>
      <c r="D45" s="964">
        <v>475110</v>
      </c>
      <c r="E45" s="960">
        <f t="shared" si="5"/>
        <v>2409994</v>
      </c>
      <c r="F45" s="1028">
        <v>1243704</v>
      </c>
      <c r="G45" s="964">
        <v>1110282</v>
      </c>
      <c r="H45" s="962">
        <f t="shared" si="6"/>
        <v>1166290</v>
      </c>
      <c r="I45" s="1051">
        <f t="shared" si="0"/>
        <v>0.51606103583660379</v>
      </c>
      <c r="J45" s="1027"/>
      <c r="K45" s="966"/>
      <c r="L45" s="966"/>
      <c r="M45" s="966"/>
      <c r="N45" s="966"/>
    </row>
    <row r="46" spans="1:14" s="35" customFormat="1" ht="17.100000000000001" customHeight="1">
      <c r="A46" s="972">
        <v>170</v>
      </c>
      <c r="B46" s="332" t="s">
        <v>1132</v>
      </c>
      <c r="C46" s="963"/>
      <c r="D46" s="964"/>
      <c r="E46" s="960"/>
      <c r="F46" s="963"/>
      <c r="G46" s="965"/>
      <c r="H46" s="962"/>
      <c r="I46" s="1051" t="str">
        <f t="shared" si="0"/>
        <v/>
      </c>
      <c r="J46" s="1027"/>
      <c r="K46" s="966"/>
      <c r="L46" s="966"/>
      <c r="M46" s="966"/>
      <c r="N46" s="966"/>
    </row>
    <row r="47" spans="1:14" s="35" customFormat="1" ht="17.100000000000001" customHeight="1">
      <c r="A47" s="972">
        <v>17102</v>
      </c>
      <c r="B47" s="332" t="s">
        <v>1133</v>
      </c>
      <c r="C47" s="1028">
        <v>1011733</v>
      </c>
      <c r="D47" s="964">
        <v>535823</v>
      </c>
      <c r="E47" s="960">
        <f t="shared" si="5"/>
        <v>1547556</v>
      </c>
      <c r="F47" s="963">
        <v>1547556</v>
      </c>
      <c r="G47" s="964">
        <v>1547556</v>
      </c>
      <c r="H47" s="962">
        <f t="shared" si="6"/>
        <v>0</v>
      </c>
      <c r="I47" s="1051">
        <f t="shared" si="0"/>
        <v>1</v>
      </c>
      <c r="J47" s="1027"/>
      <c r="K47" s="966"/>
      <c r="L47" s="966"/>
      <c r="M47" s="966"/>
      <c r="N47" s="966"/>
    </row>
    <row r="48" spans="1:14" s="35" customFormat="1" ht="17.100000000000001" customHeight="1">
      <c r="A48" s="972"/>
      <c r="B48" s="332"/>
      <c r="C48" s="963"/>
      <c r="D48" s="964"/>
      <c r="E48" s="960"/>
      <c r="F48" s="963"/>
      <c r="G48" s="965"/>
      <c r="H48" s="962"/>
      <c r="I48" s="1051" t="str">
        <f t="shared" si="0"/>
        <v/>
      </c>
      <c r="J48" s="1027"/>
      <c r="K48" s="966"/>
      <c r="L48" s="966"/>
      <c r="M48" s="966"/>
      <c r="N48" s="966"/>
    </row>
    <row r="49" spans="1:14" s="35" customFormat="1" ht="17.100000000000001" customHeight="1">
      <c r="A49" s="973" t="s">
        <v>1134</v>
      </c>
      <c r="B49" s="330" t="s">
        <v>1135</v>
      </c>
      <c r="C49" s="955">
        <f>SUM(C50:C68)</f>
        <v>2815132</v>
      </c>
      <c r="D49" s="974">
        <f t="shared" ref="D49:E49" si="7">SUM(D50:D68)</f>
        <v>-299067</v>
      </c>
      <c r="E49" s="955">
        <f t="shared" si="7"/>
        <v>2516065</v>
      </c>
      <c r="F49" s="955">
        <f>SUM(F50:F68)+2</f>
        <v>1287606</v>
      </c>
      <c r="G49" s="974">
        <f>SUM(G50:G68)+2</f>
        <v>1287606</v>
      </c>
      <c r="H49" s="957">
        <f t="shared" ref="H49" si="8">E49-F49</f>
        <v>1228459</v>
      </c>
      <c r="I49" s="1050">
        <f t="shared" si="0"/>
        <v>0.51175386963373359</v>
      </c>
      <c r="J49" s="1027"/>
      <c r="K49" s="966"/>
      <c r="L49" s="966"/>
      <c r="M49" s="966"/>
      <c r="N49" s="966"/>
    </row>
    <row r="50" spans="1:14" s="35" customFormat="1" ht="17.100000000000001" customHeight="1">
      <c r="A50" s="972" t="s">
        <v>1136</v>
      </c>
      <c r="B50" s="332" t="s">
        <v>1137</v>
      </c>
      <c r="C50" s="963"/>
      <c r="D50" s="964"/>
      <c r="E50" s="960"/>
      <c r="F50" s="963"/>
      <c r="G50" s="965"/>
      <c r="H50" s="962"/>
      <c r="I50" s="1051" t="str">
        <f t="shared" si="0"/>
        <v/>
      </c>
      <c r="J50" s="1027"/>
      <c r="K50" s="966"/>
      <c r="L50" s="966"/>
      <c r="M50" s="966"/>
      <c r="N50" s="966"/>
    </row>
    <row r="51" spans="1:14" s="35" customFormat="1" ht="17.100000000000001" customHeight="1">
      <c r="A51" s="972" t="s">
        <v>1138</v>
      </c>
      <c r="B51" s="332" t="s">
        <v>1139</v>
      </c>
      <c r="C51" s="1028">
        <v>206299</v>
      </c>
      <c r="D51" s="964">
        <v>-5703</v>
      </c>
      <c r="E51" s="960">
        <f t="shared" si="5"/>
        <v>200596</v>
      </c>
      <c r="F51" s="1034">
        <v>99975</v>
      </c>
      <c r="G51" s="964">
        <v>99975</v>
      </c>
      <c r="H51" s="962">
        <f t="shared" si="6"/>
        <v>100621</v>
      </c>
      <c r="I51" s="1051">
        <f t="shared" si="0"/>
        <v>0.49838979840076569</v>
      </c>
      <c r="J51" s="1027"/>
      <c r="K51" s="966"/>
      <c r="L51" s="966"/>
      <c r="M51" s="966"/>
      <c r="N51" s="966"/>
    </row>
    <row r="52" spans="1:14" s="35" customFormat="1" ht="17.100000000000001" customHeight="1">
      <c r="A52" s="972" t="s">
        <v>1140</v>
      </c>
      <c r="B52" s="332" t="s">
        <v>1141</v>
      </c>
      <c r="C52" s="1028">
        <v>1017</v>
      </c>
      <c r="D52" s="964">
        <v>0</v>
      </c>
      <c r="E52" s="960">
        <f t="shared" si="5"/>
        <v>1017</v>
      </c>
      <c r="F52" s="1034">
        <v>0</v>
      </c>
      <c r="G52" s="964">
        <v>0</v>
      </c>
      <c r="H52" s="962">
        <f t="shared" si="6"/>
        <v>1017</v>
      </c>
      <c r="I52" s="1051">
        <f t="shared" si="0"/>
        <v>0</v>
      </c>
      <c r="J52" s="1027"/>
      <c r="K52" s="966"/>
      <c r="L52" s="966"/>
      <c r="M52" s="966"/>
      <c r="N52" s="966"/>
    </row>
    <row r="53" spans="1:14" s="35" customFormat="1" ht="17.100000000000001" customHeight="1">
      <c r="A53" s="972" t="s">
        <v>1142</v>
      </c>
      <c r="B53" s="332" t="s">
        <v>1143</v>
      </c>
      <c r="C53" s="1028">
        <v>197</v>
      </c>
      <c r="D53" s="964">
        <v>0</v>
      </c>
      <c r="E53" s="960">
        <f t="shared" si="5"/>
        <v>197</v>
      </c>
      <c r="F53" s="1034">
        <v>0</v>
      </c>
      <c r="G53" s="964">
        <v>0</v>
      </c>
      <c r="H53" s="962">
        <f t="shared" si="6"/>
        <v>197</v>
      </c>
      <c r="I53" s="1051">
        <f t="shared" si="0"/>
        <v>0</v>
      </c>
      <c r="J53" s="1027"/>
      <c r="K53" s="966"/>
      <c r="L53" s="966"/>
      <c r="M53" s="966"/>
      <c r="N53" s="966"/>
    </row>
    <row r="54" spans="1:14" s="35" customFormat="1" ht="17.100000000000001" customHeight="1">
      <c r="A54" s="972" t="s">
        <v>1144</v>
      </c>
      <c r="B54" s="332" t="s">
        <v>1145</v>
      </c>
      <c r="C54" s="1030">
        <v>979</v>
      </c>
      <c r="D54" s="1035">
        <v>180</v>
      </c>
      <c r="E54" s="960">
        <f t="shared" si="5"/>
        <v>1159</v>
      </c>
      <c r="F54" s="1034">
        <v>902</v>
      </c>
      <c r="G54" s="964">
        <v>902</v>
      </c>
      <c r="H54" s="962">
        <f t="shared" si="6"/>
        <v>257</v>
      </c>
      <c r="I54" s="1051">
        <f t="shared" si="0"/>
        <v>0.77825711820534949</v>
      </c>
      <c r="J54" s="1027"/>
      <c r="K54" s="966"/>
      <c r="L54" s="966"/>
      <c r="M54" s="966"/>
      <c r="N54" s="966"/>
    </row>
    <row r="55" spans="1:14" s="35" customFormat="1" ht="17.100000000000001" customHeight="1">
      <c r="A55" s="972" t="s">
        <v>1146</v>
      </c>
      <c r="B55" s="332" t="s">
        <v>1147</v>
      </c>
      <c r="C55" s="963"/>
      <c r="D55" s="964"/>
      <c r="E55" s="960"/>
      <c r="F55" s="963"/>
      <c r="G55" s="965"/>
      <c r="H55" s="962"/>
      <c r="I55" s="1051" t="str">
        <f t="shared" si="0"/>
        <v/>
      </c>
      <c r="J55" s="1027"/>
      <c r="K55" s="966"/>
      <c r="L55" s="966"/>
      <c r="M55" s="966"/>
      <c r="N55" s="966"/>
    </row>
    <row r="56" spans="1:14" s="35" customFormat="1" ht="17.100000000000001" customHeight="1">
      <c r="A56" s="972" t="s">
        <v>1148</v>
      </c>
      <c r="B56" s="332" t="s">
        <v>1149</v>
      </c>
      <c r="C56" s="1028">
        <v>680119</v>
      </c>
      <c r="D56" s="964">
        <v>0</v>
      </c>
      <c r="E56" s="960">
        <f t="shared" si="5"/>
        <v>680119</v>
      </c>
      <c r="F56" s="1034">
        <v>148568</v>
      </c>
      <c r="G56" s="964">
        <v>148568</v>
      </c>
      <c r="H56" s="962">
        <f t="shared" si="6"/>
        <v>531551</v>
      </c>
      <c r="I56" s="1051">
        <f t="shared" si="0"/>
        <v>0.2184441252192631</v>
      </c>
      <c r="J56" s="1027"/>
      <c r="K56" s="966"/>
      <c r="L56" s="966"/>
      <c r="M56" s="966"/>
      <c r="N56" s="966"/>
    </row>
    <row r="57" spans="1:14" s="35" customFormat="1" ht="17.100000000000001" customHeight="1">
      <c r="A57" s="972" t="s">
        <v>1150</v>
      </c>
      <c r="B57" s="332" t="s">
        <v>1151</v>
      </c>
      <c r="C57" s="963"/>
      <c r="D57" s="964"/>
      <c r="E57" s="960"/>
      <c r="F57" s="963"/>
      <c r="G57" s="965"/>
      <c r="H57" s="962"/>
      <c r="I57" s="1051" t="str">
        <f t="shared" si="0"/>
        <v/>
      </c>
      <c r="J57" s="1027"/>
      <c r="K57" s="966"/>
      <c r="L57" s="966"/>
      <c r="M57" s="966"/>
      <c r="N57" s="966"/>
    </row>
    <row r="58" spans="1:14" s="35" customFormat="1" ht="17.100000000000001" customHeight="1">
      <c r="A58" s="972" t="s">
        <v>1152</v>
      </c>
      <c r="B58" s="332" t="s">
        <v>1153</v>
      </c>
      <c r="C58" s="1028">
        <v>7755</v>
      </c>
      <c r="D58" s="964">
        <v>215</v>
      </c>
      <c r="E58" s="960">
        <f t="shared" si="5"/>
        <v>7970</v>
      </c>
      <c r="F58" s="1034">
        <v>6256</v>
      </c>
      <c r="G58" s="975">
        <v>6256</v>
      </c>
      <c r="H58" s="962">
        <f t="shared" si="6"/>
        <v>1714</v>
      </c>
      <c r="I58" s="1051">
        <f t="shared" si="0"/>
        <v>0.78494353826850694</v>
      </c>
      <c r="J58" s="1027"/>
      <c r="K58" s="966"/>
      <c r="L58" s="966"/>
      <c r="M58" s="966"/>
      <c r="N58" s="966"/>
    </row>
    <row r="59" spans="1:14" s="35" customFormat="1" ht="17.100000000000001" customHeight="1">
      <c r="A59" s="972" t="s">
        <v>1154</v>
      </c>
      <c r="B59" s="332" t="s">
        <v>1155</v>
      </c>
      <c r="C59" s="1028">
        <v>204118</v>
      </c>
      <c r="D59" s="964">
        <v>275648</v>
      </c>
      <c r="E59" s="960">
        <f t="shared" si="5"/>
        <v>479766</v>
      </c>
      <c r="F59" s="1034">
        <v>440751</v>
      </c>
      <c r="G59" s="975">
        <v>440751</v>
      </c>
      <c r="H59" s="962">
        <f t="shared" si="6"/>
        <v>39015</v>
      </c>
      <c r="I59" s="1051">
        <f t="shared" si="0"/>
        <v>0.91867910606420633</v>
      </c>
      <c r="J59" s="1027"/>
      <c r="K59" s="966"/>
      <c r="L59" s="966"/>
      <c r="M59" s="966"/>
      <c r="N59" s="966"/>
    </row>
    <row r="60" spans="1:14" s="35" customFormat="1" ht="17.100000000000001" customHeight="1">
      <c r="A60" s="972" t="s">
        <v>1156</v>
      </c>
      <c r="B60" s="332" t="s">
        <v>1157</v>
      </c>
      <c r="C60" s="963"/>
      <c r="D60" s="964"/>
      <c r="E60" s="960"/>
      <c r="F60" s="963"/>
      <c r="G60" s="965"/>
      <c r="H60" s="962"/>
      <c r="I60" s="1051" t="str">
        <f t="shared" si="0"/>
        <v/>
      </c>
      <c r="J60" s="1027"/>
      <c r="K60" s="966"/>
      <c r="L60" s="966"/>
      <c r="M60" s="966"/>
      <c r="N60" s="966"/>
    </row>
    <row r="61" spans="1:14" s="35" customFormat="1" ht="17.100000000000001" customHeight="1">
      <c r="A61" s="972" t="s">
        <v>1158</v>
      </c>
      <c r="B61" s="332" t="s">
        <v>1159</v>
      </c>
      <c r="C61" s="1029">
        <v>575306</v>
      </c>
      <c r="D61" s="964">
        <v>-575110</v>
      </c>
      <c r="E61" s="960">
        <f t="shared" si="5"/>
        <v>196</v>
      </c>
      <c r="F61" s="1036">
        <v>196</v>
      </c>
      <c r="G61" s="964">
        <v>196</v>
      </c>
      <c r="H61" s="962">
        <f t="shared" si="6"/>
        <v>0</v>
      </c>
      <c r="I61" s="1051">
        <f t="shared" si="0"/>
        <v>1</v>
      </c>
      <c r="J61" s="1027"/>
      <c r="K61" s="966"/>
      <c r="L61" s="966"/>
      <c r="M61" s="966"/>
      <c r="N61" s="966"/>
    </row>
    <row r="62" spans="1:14" s="35" customFormat="1" ht="17.100000000000001" customHeight="1">
      <c r="A62" s="972" t="s">
        <v>1160</v>
      </c>
      <c r="B62" s="332" t="s">
        <v>1161</v>
      </c>
      <c r="C62" s="963"/>
      <c r="D62" s="964"/>
      <c r="E62" s="960"/>
      <c r="F62" s="963"/>
      <c r="G62" s="965"/>
      <c r="H62" s="962"/>
      <c r="I62" s="1051" t="str">
        <f t="shared" si="0"/>
        <v/>
      </c>
      <c r="J62" s="1027"/>
      <c r="K62" s="966"/>
      <c r="L62" s="966"/>
      <c r="M62" s="966"/>
      <c r="N62" s="966"/>
    </row>
    <row r="63" spans="1:14" s="35" customFormat="1" ht="17.100000000000001" customHeight="1">
      <c r="A63" s="972" t="s">
        <v>1162</v>
      </c>
      <c r="B63" s="332" t="s">
        <v>1163</v>
      </c>
      <c r="C63" s="1028">
        <v>826740</v>
      </c>
      <c r="D63" s="964">
        <v>0</v>
      </c>
      <c r="E63" s="960">
        <f t="shared" si="5"/>
        <v>826740</v>
      </c>
      <c r="F63" s="1034">
        <v>499175</v>
      </c>
      <c r="G63" s="964">
        <v>499175</v>
      </c>
      <c r="H63" s="962">
        <f t="shared" si="6"/>
        <v>327565</v>
      </c>
      <c r="I63" s="1051">
        <f t="shared" si="0"/>
        <v>0.60378716404189947</v>
      </c>
      <c r="J63" s="1027"/>
      <c r="K63" s="966"/>
      <c r="L63" s="966"/>
      <c r="M63" s="966"/>
      <c r="N63" s="966"/>
    </row>
    <row r="64" spans="1:14" s="35" customFormat="1" ht="17.100000000000001" customHeight="1">
      <c r="A64" s="972" t="s">
        <v>1164</v>
      </c>
      <c r="B64" s="332" t="s">
        <v>1165</v>
      </c>
      <c r="C64" s="963"/>
      <c r="D64" s="964"/>
      <c r="E64" s="960"/>
      <c r="F64" s="963"/>
      <c r="G64" s="965"/>
      <c r="H64" s="962"/>
      <c r="I64" s="1051" t="str">
        <f t="shared" si="0"/>
        <v/>
      </c>
      <c r="J64" s="1027"/>
      <c r="K64" s="966"/>
      <c r="L64" s="966"/>
      <c r="M64" s="966"/>
      <c r="N64" s="966"/>
    </row>
    <row r="65" spans="1:14" s="35" customFormat="1" ht="17.100000000000001" customHeight="1">
      <c r="A65" s="972" t="s">
        <v>1166</v>
      </c>
      <c r="B65" s="332" t="s">
        <v>1167</v>
      </c>
      <c r="C65" s="1028">
        <v>40000</v>
      </c>
      <c r="D65" s="964">
        <v>2448</v>
      </c>
      <c r="E65" s="960">
        <f t="shared" si="5"/>
        <v>42448</v>
      </c>
      <c r="F65" s="1034">
        <v>16061</v>
      </c>
      <c r="G65" s="964">
        <v>16061</v>
      </c>
      <c r="H65" s="962">
        <f t="shared" si="6"/>
        <v>26387</v>
      </c>
      <c r="I65" s="1051">
        <f t="shared" si="0"/>
        <v>0.37836882774217867</v>
      </c>
      <c r="J65" s="1027"/>
      <c r="K65" s="966"/>
      <c r="L65" s="966"/>
      <c r="M65" s="966"/>
      <c r="N65" s="966"/>
    </row>
    <row r="66" spans="1:14" s="35" customFormat="1" ht="17.100000000000001" customHeight="1">
      <c r="A66" s="972" t="s">
        <v>1168</v>
      </c>
      <c r="B66" s="332" t="s">
        <v>1169</v>
      </c>
      <c r="C66" s="963"/>
      <c r="D66" s="964"/>
      <c r="E66" s="960"/>
      <c r="F66" s="963"/>
      <c r="G66" s="965"/>
      <c r="H66" s="962"/>
      <c r="I66" s="1051" t="str">
        <f t="shared" si="0"/>
        <v/>
      </c>
      <c r="J66" s="1027"/>
      <c r="K66" s="966"/>
      <c r="L66" s="966"/>
      <c r="M66" s="966"/>
      <c r="N66" s="966"/>
    </row>
    <row r="67" spans="1:14" s="35" customFormat="1" ht="17.100000000000001" customHeight="1">
      <c r="A67" s="972" t="s">
        <v>1170</v>
      </c>
      <c r="B67" s="332" t="s">
        <v>1171</v>
      </c>
      <c r="C67" s="1028">
        <v>58380</v>
      </c>
      <c r="D67" s="964">
        <v>1166</v>
      </c>
      <c r="E67" s="960">
        <f t="shared" si="5"/>
        <v>59546</v>
      </c>
      <c r="F67" s="1034">
        <v>19761</v>
      </c>
      <c r="G67" s="964">
        <v>19761</v>
      </c>
      <c r="H67" s="962">
        <f t="shared" si="6"/>
        <v>39785</v>
      </c>
      <c r="I67" s="1051">
        <f t="shared" si="0"/>
        <v>0.33186108218856009</v>
      </c>
      <c r="J67" s="1027"/>
      <c r="K67" s="966"/>
      <c r="L67" s="966"/>
      <c r="M67" s="966"/>
      <c r="N67" s="966"/>
    </row>
    <row r="68" spans="1:14" s="35" customFormat="1" ht="17.100000000000001" customHeight="1">
      <c r="A68" s="972" t="s">
        <v>1172</v>
      </c>
      <c r="B68" s="332" t="s">
        <v>1173</v>
      </c>
      <c r="C68" s="1028">
        <v>214222</v>
      </c>
      <c r="D68" s="964">
        <v>2089</v>
      </c>
      <c r="E68" s="960">
        <f t="shared" si="5"/>
        <v>216311</v>
      </c>
      <c r="F68" s="1034">
        <v>55959</v>
      </c>
      <c r="G68" s="964">
        <v>55959</v>
      </c>
      <c r="H68" s="962">
        <f t="shared" si="6"/>
        <v>160352</v>
      </c>
      <c r="I68" s="1051">
        <f t="shared" si="0"/>
        <v>0.25869696871633896</v>
      </c>
      <c r="J68" s="1027"/>
      <c r="K68" s="966"/>
      <c r="L68" s="966"/>
      <c r="M68" s="966"/>
      <c r="N68" s="966"/>
    </row>
    <row r="69" spans="1:14" s="35" customFormat="1" ht="17.100000000000001" customHeight="1">
      <c r="A69" s="972"/>
      <c r="B69" s="332"/>
      <c r="C69" s="963"/>
      <c r="D69" s="964"/>
      <c r="E69" s="960"/>
      <c r="F69" s="963"/>
      <c r="G69" s="965"/>
      <c r="H69" s="962"/>
      <c r="I69" s="1051" t="str">
        <f t="shared" si="0"/>
        <v/>
      </c>
      <c r="J69" s="1027"/>
      <c r="K69" s="966"/>
      <c r="L69" s="966"/>
      <c r="M69" s="966"/>
      <c r="N69" s="966"/>
    </row>
    <row r="70" spans="1:14" s="35" customFormat="1" ht="17.100000000000001" customHeight="1">
      <c r="A70" s="973" t="s">
        <v>1174</v>
      </c>
      <c r="B70" s="330" t="s">
        <v>1175</v>
      </c>
      <c r="C70" s="955">
        <f>SUM(C71:C117)</f>
        <v>30957767</v>
      </c>
      <c r="D70" s="956">
        <f>SUM(D71:D117)</f>
        <v>-8471235</v>
      </c>
      <c r="E70" s="955">
        <f t="shared" ref="E70" si="9">SUM(E71:E117)</f>
        <v>22486532</v>
      </c>
      <c r="F70" s="956">
        <f>SUM(F71:F117)-3</f>
        <v>15216646</v>
      </c>
      <c r="G70" s="956">
        <f>SUM(G71:G117)-1</f>
        <v>12510094</v>
      </c>
      <c r="H70" s="957">
        <f t="shared" si="6"/>
        <v>7269886</v>
      </c>
      <c r="I70" s="1050">
        <f t="shared" si="0"/>
        <v>0.67670043562075288</v>
      </c>
      <c r="J70" s="1027"/>
      <c r="K70" s="966"/>
      <c r="L70" s="966"/>
      <c r="M70" s="966"/>
      <c r="N70" s="966"/>
    </row>
    <row r="71" spans="1:14" s="35" customFormat="1" ht="17.100000000000001" customHeight="1">
      <c r="A71" s="972" t="s">
        <v>1176</v>
      </c>
      <c r="B71" s="332" t="s">
        <v>1177</v>
      </c>
      <c r="C71" s="963"/>
      <c r="D71" s="964"/>
      <c r="E71" s="960"/>
      <c r="F71" s="963"/>
      <c r="G71" s="964"/>
      <c r="H71" s="962"/>
      <c r="I71" s="1051" t="str">
        <f t="shared" si="0"/>
        <v/>
      </c>
      <c r="J71" s="1027"/>
      <c r="K71" s="966"/>
      <c r="L71" s="966"/>
      <c r="M71" s="966"/>
      <c r="N71" s="966"/>
    </row>
    <row r="72" spans="1:14" s="35" customFormat="1" ht="17.100000000000001" customHeight="1">
      <c r="A72" s="976" t="s">
        <v>1178</v>
      </c>
      <c r="B72" s="968" t="s">
        <v>1179</v>
      </c>
      <c r="C72" s="1031">
        <v>2144521</v>
      </c>
      <c r="D72" s="969">
        <v>0</v>
      </c>
      <c r="E72" s="970">
        <f t="shared" si="5"/>
        <v>2144521</v>
      </c>
      <c r="F72" s="1037">
        <v>1214706</v>
      </c>
      <c r="G72" s="1038">
        <v>1214706</v>
      </c>
      <c r="H72" s="971">
        <f t="shared" si="6"/>
        <v>929815</v>
      </c>
      <c r="I72" s="1052">
        <f t="shared" si="0"/>
        <v>0.56642299142792263</v>
      </c>
      <c r="J72" s="1027"/>
      <c r="K72" s="966"/>
      <c r="L72" s="966"/>
      <c r="M72" s="966"/>
      <c r="N72" s="966"/>
    </row>
    <row r="73" spans="1:14" s="35" customFormat="1" ht="17.100000000000001" customHeight="1">
      <c r="A73" s="972" t="s">
        <v>1180</v>
      </c>
      <c r="B73" s="332" t="s">
        <v>1181</v>
      </c>
      <c r="C73" s="1029">
        <v>62874</v>
      </c>
      <c r="D73" s="964">
        <v>0</v>
      </c>
      <c r="E73" s="960">
        <f t="shared" si="5"/>
        <v>62874</v>
      </c>
      <c r="F73" s="1039">
        <v>45657</v>
      </c>
      <c r="G73" s="1036">
        <v>45657</v>
      </c>
      <c r="H73" s="962">
        <f t="shared" si="6"/>
        <v>17217</v>
      </c>
      <c r="I73" s="1051">
        <f t="shared" si="0"/>
        <v>0.72616661895219015</v>
      </c>
      <c r="J73" s="1027"/>
      <c r="K73" s="966"/>
      <c r="L73" s="966"/>
      <c r="M73" s="966"/>
      <c r="N73" s="966"/>
    </row>
    <row r="74" spans="1:14" s="35" customFormat="1" ht="17.100000000000001" customHeight="1">
      <c r="A74" s="972" t="s">
        <v>1182</v>
      </c>
      <c r="B74" s="332" t="s">
        <v>1183</v>
      </c>
      <c r="C74" s="1028">
        <v>362435</v>
      </c>
      <c r="D74" s="964">
        <v>0</v>
      </c>
      <c r="E74" s="960">
        <f t="shared" si="5"/>
        <v>362435</v>
      </c>
      <c r="F74" s="1039">
        <v>229672</v>
      </c>
      <c r="G74" s="1034">
        <v>229672</v>
      </c>
      <c r="H74" s="962">
        <f t="shared" si="6"/>
        <v>132763</v>
      </c>
      <c r="I74" s="1051">
        <f t="shared" si="0"/>
        <v>0.63369155848634928</v>
      </c>
      <c r="J74" s="1027"/>
      <c r="K74" s="966"/>
      <c r="L74" s="966"/>
      <c r="M74" s="966"/>
      <c r="N74" s="966"/>
    </row>
    <row r="75" spans="1:14" s="35" customFormat="1" ht="17.100000000000001" customHeight="1">
      <c r="A75" s="972" t="s">
        <v>1184</v>
      </c>
      <c r="B75" s="332" t="s">
        <v>1185</v>
      </c>
      <c r="C75" s="1028">
        <v>3519961</v>
      </c>
      <c r="D75" s="964">
        <v>-435285</v>
      </c>
      <c r="E75" s="960">
        <f t="shared" si="5"/>
        <v>3084676</v>
      </c>
      <c r="F75" s="1039">
        <v>2220497</v>
      </c>
      <c r="G75" s="1034">
        <v>1817888</v>
      </c>
      <c r="H75" s="962">
        <f t="shared" si="6"/>
        <v>864179</v>
      </c>
      <c r="I75" s="1051">
        <f t="shared" si="0"/>
        <v>0.71984772468810343</v>
      </c>
      <c r="J75" s="1027"/>
      <c r="K75" s="966"/>
      <c r="L75" s="966"/>
      <c r="M75" s="966"/>
      <c r="N75" s="966"/>
    </row>
    <row r="76" spans="1:14" s="35" customFormat="1" ht="17.100000000000001" customHeight="1">
      <c r="A76" s="972" t="s">
        <v>1186</v>
      </c>
      <c r="B76" s="332" t="s">
        <v>1187</v>
      </c>
      <c r="C76" s="1028">
        <v>376569</v>
      </c>
      <c r="D76" s="964">
        <v>8319</v>
      </c>
      <c r="E76" s="960">
        <f t="shared" si="5"/>
        <v>384888</v>
      </c>
      <c r="F76" s="1039">
        <v>374142</v>
      </c>
      <c r="G76" s="1034">
        <v>374142</v>
      </c>
      <c r="H76" s="962">
        <f t="shared" si="6"/>
        <v>10746</v>
      </c>
      <c r="I76" s="1051">
        <f t="shared" si="0"/>
        <v>0.97208018956163866</v>
      </c>
      <c r="J76" s="1027"/>
      <c r="K76" s="966"/>
      <c r="L76" s="966"/>
      <c r="M76" s="966"/>
      <c r="N76" s="966"/>
    </row>
    <row r="77" spans="1:14" s="35" customFormat="1" ht="17.100000000000001" customHeight="1">
      <c r="A77" s="972" t="s">
        <v>1188</v>
      </c>
      <c r="B77" s="332" t="s">
        <v>1189</v>
      </c>
      <c r="C77" s="1028">
        <v>31874</v>
      </c>
      <c r="D77" s="964">
        <v>4413</v>
      </c>
      <c r="E77" s="960">
        <f t="shared" si="5"/>
        <v>36287</v>
      </c>
      <c r="F77" s="1039">
        <v>16907</v>
      </c>
      <c r="G77" s="1034">
        <v>16907</v>
      </c>
      <c r="H77" s="962">
        <f t="shared" si="6"/>
        <v>19380</v>
      </c>
      <c r="I77" s="1051">
        <f t="shared" si="0"/>
        <v>0.46592443574833964</v>
      </c>
      <c r="J77" s="1027"/>
      <c r="K77" s="966"/>
      <c r="L77" s="966"/>
      <c r="M77" s="966"/>
      <c r="N77" s="966"/>
    </row>
    <row r="78" spans="1:14" s="35" customFormat="1" ht="17.100000000000001" customHeight="1">
      <c r="A78" s="972" t="s">
        <v>1190</v>
      </c>
      <c r="B78" s="332" t="s">
        <v>1191</v>
      </c>
      <c r="C78" s="1029">
        <v>11312</v>
      </c>
      <c r="D78" s="964">
        <v>0</v>
      </c>
      <c r="E78" s="960">
        <f t="shared" si="5"/>
        <v>11312</v>
      </c>
      <c r="F78" s="1039">
        <v>8435</v>
      </c>
      <c r="G78" s="1036">
        <v>7335</v>
      </c>
      <c r="H78" s="962">
        <f t="shared" si="6"/>
        <v>2877</v>
      </c>
      <c r="I78" s="1051">
        <f t="shared" si="0"/>
        <v>0.74566831683168322</v>
      </c>
      <c r="J78" s="1027"/>
      <c r="K78" s="966"/>
      <c r="L78" s="966"/>
      <c r="M78" s="966"/>
      <c r="N78" s="966"/>
    </row>
    <row r="79" spans="1:14" s="35" customFormat="1" ht="17.100000000000001" customHeight="1">
      <c r="A79" s="972" t="s">
        <v>1192</v>
      </c>
      <c r="B79" s="332" t="s">
        <v>1193</v>
      </c>
      <c r="C79" s="963"/>
      <c r="D79" s="964"/>
      <c r="E79" s="960"/>
      <c r="F79" s="963"/>
      <c r="G79" s="1025"/>
      <c r="H79" s="962"/>
      <c r="I79" s="1051" t="str">
        <f t="shared" si="0"/>
        <v/>
      </c>
      <c r="J79" s="1027"/>
      <c r="K79" s="966"/>
      <c r="L79" s="966"/>
      <c r="M79" s="966"/>
      <c r="N79" s="966"/>
    </row>
    <row r="80" spans="1:14" s="35" customFormat="1" ht="17.100000000000001" customHeight="1">
      <c r="A80" s="972" t="s">
        <v>1194</v>
      </c>
      <c r="B80" s="332" t="s">
        <v>1195</v>
      </c>
      <c r="C80" s="1028">
        <v>128058</v>
      </c>
      <c r="D80" s="964">
        <v>0</v>
      </c>
      <c r="E80" s="960">
        <f t="shared" si="5"/>
        <v>128058</v>
      </c>
      <c r="F80" s="963">
        <v>64960</v>
      </c>
      <c r="G80" s="964">
        <v>64960</v>
      </c>
      <c r="H80" s="962">
        <f t="shared" si="6"/>
        <v>63098</v>
      </c>
      <c r="I80" s="1051">
        <f t="shared" si="0"/>
        <v>0.50727014321635511</v>
      </c>
      <c r="J80" s="1027"/>
      <c r="K80" s="966"/>
      <c r="L80" s="966"/>
      <c r="M80" s="966"/>
      <c r="N80" s="966"/>
    </row>
    <row r="81" spans="1:14" s="35" customFormat="1" ht="17.100000000000001" customHeight="1">
      <c r="A81" s="972" t="s">
        <v>1196</v>
      </c>
      <c r="B81" s="332" t="s">
        <v>1197</v>
      </c>
      <c r="C81" s="1028">
        <v>137454</v>
      </c>
      <c r="D81" s="964">
        <v>0</v>
      </c>
      <c r="E81" s="960">
        <f t="shared" si="5"/>
        <v>137454</v>
      </c>
      <c r="F81" s="963">
        <v>56629</v>
      </c>
      <c r="G81" s="964">
        <v>56629</v>
      </c>
      <c r="H81" s="962">
        <f t="shared" si="6"/>
        <v>80825</v>
      </c>
      <c r="I81" s="1051">
        <f t="shared" si="0"/>
        <v>0.41198510046997538</v>
      </c>
      <c r="J81" s="1027"/>
      <c r="K81" s="966"/>
      <c r="L81" s="966"/>
      <c r="M81" s="966"/>
      <c r="N81" s="966"/>
    </row>
    <row r="82" spans="1:14" s="35" customFormat="1" ht="17.100000000000001" customHeight="1">
      <c r="A82" s="972" t="s">
        <v>1198</v>
      </c>
      <c r="B82" s="332" t="s">
        <v>1199</v>
      </c>
      <c r="C82" s="1029">
        <v>178813</v>
      </c>
      <c r="D82" s="964">
        <v>-3609</v>
      </c>
      <c r="E82" s="960">
        <f t="shared" si="5"/>
        <v>175204</v>
      </c>
      <c r="F82" s="963">
        <v>108471</v>
      </c>
      <c r="G82" s="964">
        <v>102019</v>
      </c>
      <c r="H82" s="962">
        <f t="shared" si="6"/>
        <v>66733</v>
      </c>
      <c r="I82" s="1051">
        <f t="shared" si="0"/>
        <v>0.61911257733841696</v>
      </c>
      <c r="J82" s="1027"/>
      <c r="K82" s="966"/>
      <c r="L82" s="966"/>
      <c r="M82" s="966"/>
      <c r="N82" s="966"/>
    </row>
    <row r="83" spans="1:14" s="35" customFormat="1" ht="17.100000000000001" customHeight="1">
      <c r="A83" s="972" t="s">
        <v>1200</v>
      </c>
      <c r="B83" s="332" t="s">
        <v>1201</v>
      </c>
      <c r="C83" s="1028">
        <v>33465</v>
      </c>
      <c r="D83" s="964">
        <v>0</v>
      </c>
      <c r="E83" s="960">
        <f t="shared" si="5"/>
        <v>33465</v>
      </c>
      <c r="F83" s="963">
        <v>19701</v>
      </c>
      <c r="G83" s="964">
        <v>19701</v>
      </c>
      <c r="H83" s="962">
        <f t="shared" si="6"/>
        <v>13764</v>
      </c>
      <c r="I83" s="1051">
        <f t="shared" si="0"/>
        <v>0.58870461676378305</v>
      </c>
      <c r="J83" s="1027"/>
      <c r="K83" s="966"/>
      <c r="L83" s="966"/>
      <c r="M83" s="966"/>
      <c r="N83" s="966"/>
    </row>
    <row r="84" spans="1:14" s="35" customFormat="1" ht="17.100000000000001" customHeight="1">
      <c r="A84" s="972">
        <v>32901</v>
      </c>
      <c r="B84" s="332" t="s">
        <v>1202</v>
      </c>
      <c r="C84" s="1028">
        <v>6488</v>
      </c>
      <c r="D84" s="964">
        <v>0</v>
      </c>
      <c r="E84" s="960">
        <f t="shared" si="5"/>
        <v>6488</v>
      </c>
      <c r="F84" s="963">
        <v>0</v>
      </c>
      <c r="G84" s="964">
        <v>0</v>
      </c>
      <c r="H84" s="962">
        <f t="shared" si="6"/>
        <v>6488</v>
      </c>
      <c r="I84" s="1051">
        <f t="shared" si="0"/>
        <v>0</v>
      </c>
      <c r="J84" s="1027"/>
      <c r="K84" s="966"/>
      <c r="L84" s="966"/>
      <c r="M84" s="966"/>
      <c r="N84" s="966"/>
    </row>
    <row r="85" spans="1:14" s="35" customFormat="1" ht="17.100000000000001" customHeight="1">
      <c r="A85" s="972" t="s">
        <v>1203</v>
      </c>
      <c r="B85" s="332" t="s">
        <v>1204</v>
      </c>
      <c r="C85" s="963"/>
      <c r="D85" s="964"/>
      <c r="E85" s="960"/>
      <c r="F85" s="963"/>
      <c r="G85" s="964"/>
      <c r="H85" s="962"/>
      <c r="I85" s="1051"/>
      <c r="J85" s="1027"/>
      <c r="K85" s="966"/>
      <c r="L85" s="966"/>
      <c r="M85" s="966"/>
      <c r="N85" s="966"/>
    </row>
    <row r="86" spans="1:14" s="35" customFormat="1" ht="17.100000000000001" customHeight="1">
      <c r="A86" s="972" t="s">
        <v>1205</v>
      </c>
      <c r="B86" s="332" t="s">
        <v>1206</v>
      </c>
      <c r="C86" s="1028">
        <v>6174575</v>
      </c>
      <c r="D86" s="964">
        <v>-329879</v>
      </c>
      <c r="E86" s="960">
        <f t="shared" si="5"/>
        <v>5844696</v>
      </c>
      <c r="F86" s="1034">
        <v>4996552</v>
      </c>
      <c r="G86" s="964">
        <v>2871287</v>
      </c>
      <c r="H86" s="962">
        <f t="shared" si="6"/>
        <v>848144</v>
      </c>
      <c r="I86" s="1051">
        <f t="shared" si="0"/>
        <v>0.85488655013023773</v>
      </c>
      <c r="J86" s="1027"/>
      <c r="K86" s="966"/>
      <c r="L86" s="966"/>
      <c r="M86" s="966"/>
      <c r="N86" s="966"/>
    </row>
    <row r="87" spans="1:14" s="35" customFormat="1" ht="17.100000000000001" customHeight="1">
      <c r="A87" s="972" t="s">
        <v>1207</v>
      </c>
      <c r="B87" s="332" t="s">
        <v>1208</v>
      </c>
      <c r="C87" s="1028">
        <v>37624</v>
      </c>
      <c r="D87" s="964">
        <v>-4001</v>
      </c>
      <c r="E87" s="960">
        <f t="shared" si="5"/>
        <v>33623</v>
      </c>
      <c r="F87" s="1034">
        <v>23593</v>
      </c>
      <c r="G87" s="964">
        <v>23593</v>
      </c>
      <c r="H87" s="962">
        <f t="shared" si="6"/>
        <v>10030</v>
      </c>
      <c r="I87" s="1051">
        <f t="shared" si="0"/>
        <v>0.70169229396544031</v>
      </c>
      <c r="J87" s="1027"/>
      <c r="K87" s="966"/>
      <c r="L87" s="966"/>
      <c r="M87" s="966"/>
      <c r="N87" s="966"/>
    </row>
    <row r="88" spans="1:14" s="35" customFormat="1" ht="17.100000000000001" customHeight="1">
      <c r="A88" s="972" t="s">
        <v>1209</v>
      </c>
      <c r="B88" s="332" t="s">
        <v>1210</v>
      </c>
      <c r="C88" s="1029">
        <v>16392</v>
      </c>
      <c r="D88" s="964">
        <v>40377</v>
      </c>
      <c r="E88" s="960">
        <f t="shared" si="5"/>
        <v>56769</v>
      </c>
      <c r="F88" s="1036">
        <v>56769</v>
      </c>
      <c r="G88" s="964">
        <v>56769</v>
      </c>
      <c r="H88" s="962">
        <f t="shared" si="6"/>
        <v>0</v>
      </c>
      <c r="I88" s="1051">
        <f t="shared" si="0"/>
        <v>1</v>
      </c>
      <c r="J88" s="1027"/>
      <c r="K88" s="966"/>
      <c r="L88" s="966"/>
      <c r="M88" s="966"/>
      <c r="N88" s="966"/>
    </row>
    <row r="89" spans="1:14" s="35" customFormat="1" ht="17.100000000000001" customHeight="1">
      <c r="A89" s="972">
        <v>33603</v>
      </c>
      <c r="B89" s="332" t="s">
        <v>1211</v>
      </c>
      <c r="C89" s="1028">
        <v>12024</v>
      </c>
      <c r="D89" s="964">
        <v>0</v>
      </c>
      <c r="E89" s="960">
        <f t="shared" si="5"/>
        <v>12024</v>
      </c>
      <c r="F89" s="1034">
        <v>4300</v>
      </c>
      <c r="G89" s="964">
        <v>4300</v>
      </c>
      <c r="H89" s="962">
        <f t="shared" si="6"/>
        <v>7724</v>
      </c>
      <c r="I89" s="1051">
        <f t="shared" si="0"/>
        <v>0.35761809713905524</v>
      </c>
      <c r="J89" s="1027"/>
      <c r="K89" s="966"/>
      <c r="L89" s="966"/>
      <c r="M89" s="966"/>
      <c r="N89" s="966"/>
    </row>
    <row r="90" spans="1:14" s="35" customFormat="1" ht="17.100000000000001" customHeight="1">
      <c r="A90" s="972" t="s">
        <v>1212</v>
      </c>
      <c r="B90" s="332" t="s">
        <v>1213</v>
      </c>
      <c r="C90" s="1028">
        <v>4402</v>
      </c>
      <c r="D90" s="964">
        <v>0</v>
      </c>
      <c r="E90" s="960">
        <f t="shared" si="5"/>
        <v>4402</v>
      </c>
      <c r="F90" s="1034">
        <v>3065</v>
      </c>
      <c r="G90" s="964">
        <v>3065</v>
      </c>
      <c r="H90" s="962">
        <f t="shared" si="6"/>
        <v>1337</v>
      </c>
      <c r="I90" s="1051">
        <f t="shared" si="0"/>
        <v>0.6962744207178555</v>
      </c>
      <c r="J90" s="1027"/>
      <c r="K90" s="966"/>
      <c r="L90" s="966"/>
      <c r="M90" s="966"/>
      <c r="N90" s="966"/>
    </row>
    <row r="91" spans="1:14" s="35" customFormat="1" ht="17.100000000000001" customHeight="1">
      <c r="A91" s="972" t="s">
        <v>1214</v>
      </c>
      <c r="B91" s="332" t="s">
        <v>1215</v>
      </c>
      <c r="C91" s="963"/>
      <c r="D91" s="964"/>
      <c r="E91" s="960"/>
      <c r="F91" s="963"/>
      <c r="G91" s="964"/>
      <c r="H91" s="962"/>
      <c r="I91" s="1051" t="str">
        <f t="shared" si="0"/>
        <v/>
      </c>
      <c r="J91" s="1027"/>
      <c r="K91" s="966"/>
      <c r="L91" s="966"/>
      <c r="M91" s="966"/>
      <c r="N91" s="966"/>
    </row>
    <row r="92" spans="1:14" s="35" customFormat="1" ht="17.100000000000001" customHeight="1">
      <c r="A92" s="972" t="s">
        <v>1216</v>
      </c>
      <c r="B92" s="332" t="s">
        <v>1217</v>
      </c>
      <c r="C92" s="1028">
        <v>8500345</v>
      </c>
      <c r="D92" s="964">
        <v>-7773621</v>
      </c>
      <c r="E92" s="960">
        <f t="shared" si="5"/>
        <v>726724</v>
      </c>
      <c r="F92" s="1034">
        <v>164131</v>
      </c>
      <c r="G92" s="964">
        <v>164131</v>
      </c>
      <c r="H92" s="962">
        <f t="shared" si="6"/>
        <v>562593</v>
      </c>
      <c r="I92" s="1051">
        <f t="shared" si="0"/>
        <v>0.22585052922429974</v>
      </c>
      <c r="J92" s="1027"/>
      <c r="K92" s="966"/>
      <c r="L92" s="966"/>
      <c r="M92" s="966"/>
      <c r="N92" s="966"/>
    </row>
    <row r="93" spans="1:14" s="35" customFormat="1" ht="17.100000000000001" customHeight="1">
      <c r="A93" s="972">
        <v>34401</v>
      </c>
      <c r="B93" s="332" t="s">
        <v>1218</v>
      </c>
      <c r="C93" s="1028">
        <v>4287</v>
      </c>
      <c r="D93" s="964">
        <v>0</v>
      </c>
      <c r="E93" s="960">
        <f t="shared" si="5"/>
        <v>4287</v>
      </c>
      <c r="F93" s="1034">
        <v>0</v>
      </c>
      <c r="G93" s="964">
        <v>0</v>
      </c>
      <c r="H93" s="962">
        <f t="shared" si="6"/>
        <v>4287</v>
      </c>
      <c r="I93" s="1051">
        <f t="shared" si="0"/>
        <v>0</v>
      </c>
      <c r="J93" s="1027"/>
      <c r="K93" s="966"/>
      <c r="L93" s="966"/>
      <c r="M93" s="966"/>
      <c r="N93" s="966"/>
    </row>
    <row r="94" spans="1:14" s="35" customFormat="1" ht="17.100000000000001" customHeight="1">
      <c r="A94" s="972" t="s">
        <v>1219</v>
      </c>
      <c r="B94" s="332" t="s">
        <v>1220</v>
      </c>
      <c r="C94" s="1028">
        <v>561214</v>
      </c>
      <c r="D94" s="964">
        <v>0</v>
      </c>
      <c r="E94" s="960">
        <f t="shared" si="5"/>
        <v>561214</v>
      </c>
      <c r="F94" s="1034">
        <v>328948</v>
      </c>
      <c r="G94" s="964">
        <v>328948</v>
      </c>
      <c r="H94" s="962">
        <f t="shared" si="6"/>
        <v>232266</v>
      </c>
      <c r="I94" s="1051">
        <f t="shared" si="0"/>
        <v>0.58613648269644025</v>
      </c>
      <c r="J94" s="1027"/>
      <c r="K94" s="966"/>
      <c r="L94" s="966"/>
      <c r="M94" s="966"/>
      <c r="N94" s="966"/>
    </row>
    <row r="95" spans="1:14" s="35" customFormat="1" ht="17.100000000000001" customHeight="1">
      <c r="A95" s="972">
        <v>34701</v>
      </c>
      <c r="B95" s="332" t="s">
        <v>1221</v>
      </c>
      <c r="C95" s="1028">
        <v>2990</v>
      </c>
      <c r="D95" s="964">
        <v>0</v>
      </c>
      <c r="E95" s="960">
        <f t="shared" si="5"/>
        <v>2990</v>
      </c>
      <c r="F95" s="1034">
        <v>0</v>
      </c>
      <c r="G95" s="964">
        <v>0</v>
      </c>
      <c r="H95" s="962">
        <f t="shared" si="6"/>
        <v>2990</v>
      </c>
      <c r="I95" s="1051">
        <f t="shared" si="0"/>
        <v>0</v>
      </c>
      <c r="J95" s="1027"/>
      <c r="K95" s="966"/>
      <c r="L95" s="966"/>
      <c r="M95" s="966"/>
      <c r="N95" s="966"/>
    </row>
    <row r="96" spans="1:14" s="35" customFormat="1" ht="17.100000000000001" customHeight="1">
      <c r="A96" s="972" t="s">
        <v>1222</v>
      </c>
      <c r="B96" s="332" t="s">
        <v>1223</v>
      </c>
      <c r="C96" s="1028">
        <v>1656836</v>
      </c>
      <c r="D96" s="964">
        <v>-37</v>
      </c>
      <c r="E96" s="960">
        <f t="shared" si="5"/>
        <v>1656799</v>
      </c>
      <c r="F96" s="1034">
        <v>1164043</v>
      </c>
      <c r="G96" s="964">
        <v>1164043</v>
      </c>
      <c r="H96" s="962">
        <f t="shared" si="6"/>
        <v>492756</v>
      </c>
      <c r="I96" s="1051">
        <f t="shared" si="0"/>
        <v>0.70258552787634465</v>
      </c>
      <c r="J96" s="1027"/>
      <c r="K96" s="966"/>
      <c r="L96" s="966"/>
      <c r="M96" s="966"/>
      <c r="N96" s="966"/>
    </row>
    <row r="97" spans="1:14" s="35" customFormat="1" ht="17.100000000000001" customHeight="1">
      <c r="A97" s="972" t="s">
        <v>1224</v>
      </c>
      <c r="B97" s="332" t="s">
        <v>1225</v>
      </c>
      <c r="C97" s="963"/>
      <c r="D97" s="964"/>
      <c r="E97" s="960"/>
      <c r="F97" s="963"/>
      <c r="G97" s="964"/>
      <c r="H97" s="962"/>
      <c r="I97" s="1051" t="str">
        <f t="shared" si="0"/>
        <v/>
      </c>
      <c r="J97" s="1027"/>
      <c r="K97" s="966"/>
      <c r="L97" s="966"/>
      <c r="M97" s="966"/>
      <c r="N97" s="966"/>
    </row>
    <row r="98" spans="1:14" s="35" customFormat="1" ht="17.100000000000001" customHeight="1">
      <c r="A98" s="972" t="s">
        <v>1226</v>
      </c>
      <c r="B98" s="332" t="s">
        <v>1227</v>
      </c>
      <c r="C98" s="1028">
        <v>282169</v>
      </c>
      <c r="D98" s="964">
        <v>7103</v>
      </c>
      <c r="E98" s="960">
        <f t="shared" si="5"/>
        <v>289272</v>
      </c>
      <c r="F98" s="1039">
        <v>95864</v>
      </c>
      <c r="G98" s="1034">
        <v>95864</v>
      </c>
      <c r="H98" s="962">
        <f t="shared" si="6"/>
        <v>193408</v>
      </c>
      <c r="I98" s="1051">
        <f t="shared" si="0"/>
        <v>0.33139743908847036</v>
      </c>
      <c r="J98" s="1027"/>
      <c r="K98" s="966"/>
      <c r="L98" s="966"/>
      <c r="M98" s="966"/>
      <c r="N98" s="966"/>
    </row>
    <row r="99" spans="1:14" s="35" customFormat="1" ht="17.100000000000001" customHeight="1">
      <c r="A99" s="972" t="s">
        <v>1228</v>
      </c>
      <c r="B99" s="332" t="s">
        <v>1229</v>
      </c>
      <c r="C99" s="1028">
        <v>353345</v>
      </c>
      <c r="D99" s="964">
        <v>-13477</v>
      </c>
      <c r="E99" s="960">
        <f t="shared" si="5"/>
        <v>339868</v>
      </c>
      <c r="F99" s="1039">
        <v>94422</v>
      </c>
      <c r="G99" s="1034">
        <v>94422</v>
      </c>
      <c r="H99" s="962">
        <f t="shared" si="6"/>
        <v>245446</v>
      </c>
      <c r="I99" s="1051">
        <f t="shared" si="0"/>
        <v>0.27781962408935235</v>
      </c>
      <c r="J99" s="1027"/>
      <c r="K99" s="966"/>
      <c r="L99" s="966"/>
      <c r="M99" s="966"/>
      <c r="N99" s="966"/>
    </row>
    <row r="100" spans="1:14" s="35" customFormat="1" ht="17.100000000000001" customHeight="1">
      <c r="A100" s="972" t="s">
        <v>1230</v>
      </c>
      <c r="B100" s="332" t="s">
        <v>1231</v>
      </c>
      <c r="C100" s="1029">
        <v>568058</v>
      </c>
      <c r="D100" s="964">
        <v>0</v>
      </c>
      <c r="E100" s="960">
        <f t="shared" ref="E100:E117" si="10">C100+D100</f>
        <v>568058</v>
      </c>
      <c r="F100" s="1039">
        <v>422896</v>
      </c>
      <c r="G100" s="1036">
        <v>422896</v>
      </c>
      <c r="H100" s="962">
        <f t="shared" ref="H100:H125" si="11">E100-F100</f>
        <v>145162</v>
      </c>
      <c r="I100" s="1051">
        <f t="shared" si="0"/>
        <v>0.74445919254723991</v>
      </c>
      <c r="J100" s="1027"/>
      <c r="K100" s="966"/>
      <c r="L100" s="966"/>
      <c r="M100" s="966"/>
      <c r="N100" s="966"/>
    </row>
    <row r="101" spans="1:14" s="35" customFormat="1" ht="17.100000000000001" customHeight="1">
      <c r="A101" s="972" t="s">
        <v>1232</v>
      </c>
      <c r="B101" s="332" t="s">
        <v>1233</v>
      </c>
      <c r="C101" s="1028">
        <v>419870</v>
      </c>
      <c r="D101" s="964">
        <v>-11228</v>
      </c>
      <c r="E101" s="960">
        <f t="shared" si="10"/>
        <v>408642</v>
      </c>
      <c r="F101" s="1039">
        <v>155295</v>
      </c>
      <c r="G101" s="1034">
        <v>153803</v>
      </c>
      <c r="H101" s="962">
        <f t="shared" si="11"/>
        <v>253347</v>
      </c>
      <c r="I101" s="1051">
        <f t="shared" si="0"/>
        <v>0.38002701631256697</v>
      </c>
      <c r="J101" s="1027"/>
      <c r="K101" s="966"/>
      <c r="L101" s="966"/>
      <c r="M101" s="966"/>
      <c r="N101" s="966"/>
    </row>
    <row r="102" spans="1:14" s="35" customFormat="1" ht="17.100000000000001" customHeight="1">
      <c r="A102" s="972" t="s">
        <v>1234</v>
      </c>
      <c r="B102" s="332" t="s">
        <v>1235</v>
      </c>
      <c r="C102" s="1028">
        <v>620142</v>
      </c>
      <c r="D102" s="964">
        <v>-5000</v>
      </c>
      <c r="E102" s="960">
        <f t="shared" si="10"/>
        <v>615142</v>
      </c>
      <c r="F102" s="1039">
        <v>360254</v>
      </c>
      <c r="G102" s="1034">
        <v>320254</v>
      </c>
      <c r="H102" s="962">
        <f t="shared" si="11"/>
        <v>254888</v>
      </c>
      <c r="I102" s="1051">
        <f t="shared" si="0"/>
        <v>0.58564364000507196</v>
      </c>
      <c r="J102" s="1027"/>
      <c r="K102" s="966"/>
      <c r="L102" s="966"/>
      <c r="M102" s="966"/>
      <c r="N102" s="966"/>
    </row>
    <row r="103" spans="1:14" s="35" customFormat="1" ht="17.100000000000001" customHeight="1">
      <c r="A103" s="972" t="s">
        <v>1236</v>
      </c>
      <c r="B103" s="332" t="s">
        <v>1237</v>
      </c>
      <c r="C103" s="1028">
        <v>28451</v>
      </c>
      <c r="D103" s="964">
        <v>99</v>
      </c>
      <c r="E103" s="960">
        <f t="shared" si="10"/>
        <v>28550</v>
      </c>
      <c r="F103" s="1039">
        <v>28550</v>
      </c>
      <c r="G103" s="1034">
        <v>28550</v>
      </c>
      <c r="H103" s="962">
        <f t="shared" si="11"/>
        <v>0</v>
      </c>
      <c r="I103" s="1051">
        <f t="shared" si="0"/>
        <v>1</v>
      </c>
      <c r="J103" s="1027"/>
      <c r="K103" s="966"/>
      <c r="L103" s="966"/>
      <c r="M103" s="966"/>
      <c r="N103" s="966"/>
    </row>
    <row r="104" spans="1:14" s="35" customFormat="1" ht="17.100000000000001" customHeight="1">
      <c r="A104" s="976" t="s">
        <v>1238</v>
      </c>
      <c r="B104" s="968" t="s">
        <v>1239</v>
      </c>
      <c r="C104" s="1053"/>
      <c r="D104" s="969"/>
      <c r="E104" s="970"/>
      <c r="F104" s="1053"/>
      <c r="G104" s="969"/>
      <c r="H104" s="971"/>
      <c r="I104" s="1052" t="str">
        <f t="shared" si="0"/>
        <v/>
      </c>
      <c r="J104" s="1027"/>
      <c r="K104" s="966"/>
      <c r="L104" s="966"/>
      <c r="M104" s="966"/>
      <c r="N104" s="966"/>
    </row>
    <row r="105" spans="1:14" s="35" customFormat="1" ht="17.100000000000001" customHeight="1">
      <c r="A105" s="972" t="s">
        <v>1240</v>
      </c>
      <c r="B105" s="332" t="s">
        <v>1241</v>
      </c>
      <c r="C105" s="963">
        <v>0</v>
      </c>
      <c r="D105" s="964">
        <v>3000</v>
      </c>
      <c r="E105" s="960">
        <f t="shared" si="10"/>
        <v>3000</v>
      </c>
      <c r="F105" s="963">
        <v>3000</v>
      </c>
      <c r="G105" s="1026">
        <v>3000</v>
      </c>
      <c r="H105" s="962">
        <f t="shared" si="11"/>
        <v>0</v>
      </c>
      <c r="I105" s="1051">
        <f t="shared" si="0"/>
        <v>1</v>
      </c>
      <c r="J105" s="1027"/>
      <c r="K105" s="966"/>
      <c r="L105" s="966"/>
      <c r="M105" s="966"/>
      <c r="N105" s="966"/>
    </row>
    <row r="106" spans="1:14" s="35" customFormat="1" ht="17.100000000000001" customHeight="1">
      <c r="A106" s="972" t="s">
        <v>1242</v>
      </c>
      <c r="B106" s="332" t="s">
        <v>1243</v>
      </c>
      <c r="C106" s="1029">
        <v>379788</v>
      </c>
      <c r="D106" s="964">
        <v>105573</v>
      </c>
      <c r="E106" s="960">
        <f>C106+D106</f>
        <v>485361</v>
      </c>
      <c r="F106" s="1039">
        <v>485361</v>
      </c>
      <c r="G106" s="1036">
        <v>479361</v>
      </c>
      <c r="H106" s="962">
        <f t="shared" si="11"/>
        <v>0</v>
      </c>
      <c r="I106" s="1051">
        <f t="shared" si="0"/>
        <v>1</v>
      </c>
      <c r="J106" s="1027"/>
      <c r="K106" s="966"/>
      <c r="L106" s="966"/>
      <c r="M106" s="966"/>
      <c r="N106" s="966"/>
    </row>
    <row r="107" spans="1:14" s="35" customFormat="1" ht="17.100000000000001" customHeight="1">
      <c r="A107" s="972" t="s">
        <v>1244</v>
      </c>
      <c r="B107" s="332" t="s">
        <v>1245</v>
      </c>
      <c r="C107" s="1029">
        <v>73602</v>
      </c>
      <c r="D107" s="964">
        <v>-5000</v>
      </c>
      <c r="E107" s="960">
        <f t="shared" si="10"/>
        <v>68602</v>
      </c>
      <c r="F107" s="1039">
        <v>31500</v>
      </c>
      <c r="G107" s="1036">
        <v>31500</v>
      </c>
      <c r="H107" s="962">
        <f t="shared" si="11"/>
        <v>37102</v>
      </c>
      <c r="I107" s="1051">
        <f t="shared" si="0"/>
        <v>0.45917028658056619</v>
      </c>
      <c r="J107" s="1027"/>
      <c r="K107" s="966"/>
      <c r="L107" s="966"/>
      <c r="M107" s="966"/>
      <c r="N107" s="966"/>
    </row>
    <row r="108" spans="1:14" s="35" customFormat="1" ht="17.100000000000001" customHeight="1">
      <c r="A108" s="972" t="s">
        <v>1246</v>
      </c>
      <c r="B108" s="332" t="s">
        <v>1247</v>
      </c>
      <c r="C108" s="963"/>
      <c r="D108" s="964"/>
      <c r="E108" s="960"/>
      <c r="F108" s="963"/>
      <c r="G108" s="1025"/>
      <c r="H108" s="962"/>
      <c r="I108" s="1051" t="str">
        <f t="shared" si="0"/>
        <v/>
      </c>
      <c r="J108" s="1027"/>
      <c r="K108" s="966"/>
      <c r="L108" s="966"/>
      <c r="M108" s="966"/>
      <c r="N108" s="966"/>
    </row>
    <row r="109" spans="1:14" s="35" customFormat="1" ht="17.100000000000001" customHeight="1">
      <c r="A109" s="972">
        <v>37201</v>
      </c>
      <c r="B109" s="332" t="s">
        <v>1248</v>
      </c>
      <c r="C109" s="1028">
        <v>30556</v>
      </c>
      <c r="D109" s="964">
        <v>0</v>
      </c>
      <c r="E109" s="960">
        <f t="shared" si="10"/>
        <v>30556</v>
      </c>
      <c r="F109" s="1034">
        <v>18607</v>
      </c>
      <c r="G109" s="964">
        <v>18607</v>
      </c>
      <c r="H109" s="962">
        <f t="shared" si="11"/>
        <v>11949</v>
      </c>
      <c r="I109" s="1051">
        <f t="shared" si="0"/>
        <v>0.60894750621809135</v>
      </c>
      <c r="J109" s="1027"/>
      <c r="K109" s="966"/>
      <c r="L109" s="966"/>
      <c r="M109" s="966"/>
      <c r="N109" s="966"/>
    </row>
    <row r="110" spans="1:14" s="35" customFormat="1" ht="17.100000000000001" customHeight="1">
      <c r="A110" s="972" t="s">
        <v>1249</v>
      </c>
      <c r="B110" s="332" t="s">
        <v>1250</v>
      </c>
      <c r="C110" s="1028">
        <v>750285</v>
      </c>
      <c r="D110" s="964">
        <v>-28680</v>
      </c>
      <c r="E110" s="960">
        <f t="shared" si="10"/>
        <v>721605</v>
      </c>
      <c r="F110" s="1034">
        <v>199644</v>
      </c>
      <c r="G110" s="964">
        <v>199644</v>
      </c>
      <c r="H110" s="962">
        <f t="shared" si="11"/>
        <v>521961</v>
      </c>
      <c r="I110" s="1051">
        <f t="shared" si="0"/>
        <v>0.27666659737668114</v>
      </c>
      <c r="J110" s="1027"/>
      <c r="K110" s="966"/>
      <c r="L110" s="966"/>
      <c r="M110" s="966"/>
      <c r="N110" s="966"/>
    </row>
    <row r="111" spans="1:14" s="35" customFormat="1" ht="17.100000000000001" customHeight="1">
      <c r="A111" s="972" t="s">
        <v>1251</v>
      </c>
      <c r="B111" s="332" t="s">
        <v>1252</v>
      </c>
      <c r="C111" s="963"/>
      <c r="D111" s="964"/>
      <c r="E111" s="960"/>
      <c r="F111" s="963"/>
      <c r="G111" s="964"/>
      <c r="H111" s="962"/>
      <c r="I111" s="1051" t="str">
        <f t="shared" si="0"/>
        <v/>
      </c>
      <c r="J111" s="1027"/>
      <c r="K111" s="966"/>
      <c r="L111" s="966"/>
      <c r="M111" s="966"/>
      <c r="N111" s="966"/>
    </row>
    <row r="112" spans="1:14" s="35" customFormat="1" ht="17.100000000000001" customHeight="1">
      <c r="A112" s="972" t="s">
        <v>1253</v>
      </c>
      <c r="B112" s="332" t="s">
        <v>1254</v>
      </c>
      <c r="C112" s="1028">
        <v>668045</v>
      </c>
      <c r="D112" s="964">
        <v>-30452</v>
      </c>
      <c r="E112" s="960">
        <f t="shared" si="10"/>
        <v>637593</v>
      </c>
      <c r="F112" s="963">
        <v>329742</v>
      </c>
      <c r="G112" s="964">
        <v>329742</v>
      </c>
      <c r="H112" s="962">
        <f t="shared" si="11"/>
        <v>307851</v>
      </c>
      <c r="I112" s="1051">
        <f t="shared" si="0"/>
        <v>0.51716690741585936</v>
      </c>
      <c r="J112" s="1027"/>
      <c r="K112" s="966"/>
      <c r="L112" s="966"/>
      <c r="M112" s="966"/>
      <c r="N112" s="966"/>
    </row>
    <row r="113" spans="1:14" s="35" customFormat="1" ht="17.100000000000001" customHeight="1">
      <c r="A113" s="972" t="s">
        <v>1255</v>
      </c>
      <c r="B113" s="332" t="s">
        <v>1256</v>
      </c>
      <c r="C113" s="1028">
        <v>39382</v>
      </c>
      <c r="D113" s="964">
        <v>0</v>
      </c>
      <c r="E113" s="960">
        <f t="shared" si="10"/>
        <v>39382</v>
      </c>
      <c r="F113" s="963">
        <v>31836</v>
      </c>
      <c r="G113" s="964">
        <v>31836</v>
      </c>
      <c r="H113" s="962">
        <f t="shared" si="11"/>
        <v>7546</v>
      </c>
      <c r="I113" s="1051">
        <f t="shared" si="0"/>
        <v>0.80838961962317812</v>
      </c>
      <c r="J113" s="1027"/>
      <c r="K113" s="966"/>
      <c r="L113" s="966"/>
      <c r="M113" s="966"/>
      <c r="N113" s="966"/>
    </row>
    <row r="114" spans="1:14" s="35" customFormat="1" ht="17.100000000000001" customHeight="1">
      <c r="A114" s="972" t="s">
        <v>1257</v>
      </c>
      <c r="B114" s="332" t="s">
        <v>1258</v>
      </c>
      <c r="C114" s="963"/>
      <c r="D114" s="964"/>
      <c r="E114" s="960"/>
      <c r="F114" s="963"/>
      <c r="G114" s="964"/>
      <c r="H114" s="962"/>
      <c r="I114" s="1051" t="str">
        <f t="shared" si="0"/>
        <v/>
      </c>
      <c r="J114" s="1027"/>
      <c r="K114" s="966"/>
      <c r="L114" s="966"/>
      <c r="M114" s="966"/>
      <c r="N114" s="966"/>
    </row>
    <row r="115" spans="1:14" s="35" customFormat="1" ht="17.100000000000001" customHeight="1">
      <c r="A115" s="972" t="s">
        <v>1259</v>
      </c>
      <c r="B115" s="332" t="s">
        <v>1260</v>
      </c>
      <c r="C115" s="1029">
        <v>155299</v>
      </c>
      <c r="D115" s="964">
        <v>23125</v>
      </c>
      <c r="E115" s="960">
        <f t="shared" si="10"/>
        <v>178424</v>
      </c>
      <c r="F115" s="1039">
        <v>178424</v>
      </c>
      <c r="G115" s="1036">
        <v>178424</v>
      </c>
      <c r="H115" s="962">
        <f t="shared" si="11"/>
        <v>0</v>
      </c>
      <c r="I115" s="1051">
        <f t="shared" si="0"/>
        <v>1</v>
      </c>
      <c r="J115" s="1027"/>
      <c r="K115" s="966"/>
      <c r="L115" s="966"/>
      <c r="M115" s="966"/>
      <c r="N115" s="966"/>
    </row>
    <row r="116" spans="1:14" s="35" customFormat="1" ht="17.100000000000001" customHeight="1">
      <c r="A116" s="972" t="s">
        <v>1261</v>
      </c>
      <c r="B116" s="332" t="s">
        <v>1262</v>
      </c>
      <c r="C116" s="1029">
        <v>607894</v>
      </c>
      <c r="D116" s="964">
        <v>-22968</v>
      </c>
      <c r="E116" s="960">
        <f t="shared" si="10"/>
        <v>584926</v>
      </c>
      <c r="F116" s="1039">
        <v>345648</v>
      </c>
      <c r="G116" s="1036">
        <v>345648</v>
      </c>
      <c r="H116" s="962">
        <f t="shared" si="11"/>
        <v>239278</v>
      </c>
      <c r="I116" s="1051">
        <f t="shared" si="0"/>
        <v>0.59092603166896329</v>
      </c>
      <c r="J116" s="1027"/>
      <c r="K116" s="966"/>
      <c r="L116" s="966"/>
      <c r="M116" s="966"/>
      <c r="N116" s="966"/>
    </row>
    <row r="117" spans="1:14" s="35" customFormat="1" ht="17.100000000000001" customHeight="1">
      <c r="A117" s="972" t="s">
        <v>1263</v>
      </c>
      <c r="B117" s="332" t="s">
        <v>1264</v>
      </c>
      <c r="C117" s="1028">
        <v>2016368</v>
      </c>
      <c r="D117" s="964">
        <v>-7</v>
      </c>
      <c r="E117" s="960">
        <f t="shared" si="10"/>
        <v>2016361</v>
      </c>
      <c r="F117" s="1039">
        <v>1334428</v>
      </c>
      <c r="G117" s="1034">
        <v>1210792</v>
      </c>
      <c r="H117" s="962">
        <f t="shared" si="11"/>
        <v>681933</v>
      </c>
      <c r="I117" s="1051">
        <f t="shared" si="0"/>
        <v>0.66180014392264086</v>
      </c>
      <c r="J117" s="1027"/>
      <c r="K117" s="966"/>
      <c r="L117" s="966"/>
      <c r="M117" s="966"/>
      <c r="N117" s="966"/>
    </row>
    <row r="118" spans="1:14" s="35" customFormat="1" ht="17.100000000000001" customHeight="1">
      <c r="A118" s="972"/>
      <c r="B118" s="332"/>
      <c r="C118" s="963"/>
      <c r="D118" s="964"/>
      <c r="E118" s="960"/>
      <c r="F118" s="963"/>
      <c r="G118" s="964"/>
      <c r="H118" s="962"/>
      <c r="I118" s="1051" t="str">
        <f t="shared" si="0"/>
        <v/>
      </c>
      <c r="J118" s="1027"/>
      <c r="K118" s="966"/>
      <c r="L118" s="966"/>
      <c r="M118" s="966"/>
      <c r="N118" s="966"/>
    </row>
    <row r="119" spans="1:14" s="35" customFormat="1" ht="17.100000000000001" customHeight="1">
      <c r="A119" s="973" t="s">
        <v>1265</v>
      </c>
      <c r="B119" s="330" t="s">
        <v>1266</v>
      </c>
      <c r="C119" s="955">
        <f>SUM(C120:C125)</f>
        <v>0</v>
      </c>
      <c r="D119" s="955">
        <f>SUM(D120:D125)-1</f>
        <v>477863</v>
      </c>
      <c r="E119" s="955">
        <f>SUM(E120:E125)-1</f>
        <v>477863</v>
      </c>
      <c r="F119" s="955">
        <f>SUM(F120:F125)-1</f>
        <v>477863</v>
      </c>
      <c r="G119" s="955">
        <f>SUM(G120:G125)-1</f>
        <v>477863</v>
      </c>
      <c r="H119" s="955">
        <f t="shared" ref="H119" si="12">SUM(H120:H125)</f>
        <v>0</v>
      </c>
      <c r="I119" s="1051">
        <f t="shared" si="0"/>
        <v>1</v>
      </c>
      <c r="J119" s="1027"/>
      <c r="K119" s="966"/>
      <c r="L119" s="966"/>
      <c r="M119" s="966"/>
      <c r="N119" s="966"/>
    </row>
    <row r="120" spans="1:14" s="35" customFormat="1" ht="17.100000000000001" customHeight="1">
      <c r="A120" s="972">
        <v>51501</v>
      </c>
      <c r="B120" s="332" t="s">
        <v>1267</v>
      </c>
      <c r="C120" s="963">
        <v>0</v>
      </c>
      <c r="D120" s="964">
        <v>210209</v>
      </c>
      <c r="E120" s="960">
        <f t="shared" ref="E120:E125" si="13">C120+D120</f>
        <v>210209</v>
      </c>
      <c r="F120" s="964">
        <v>210209</v>
      </c>
      <c r="G120" s="964">
        <v>210209</v>
      </c>
      <c r="H120" s="962">
        <f t="shared" si="11"/>
        <v>0</v>
      </c>
      <c r="I120" s="1051">
        <f t="shared" si="0"/>
        <v>1</v>
      </c>
      <c r="J120" s="1027"/>
      <c r="K120" s="966"/>
      <c r="L120" s="966"/>
      <c r="M120" s="966"/>
      <c r="N120" s="966"/>
    </row>
    <row r="121" spans="1:14" s="35" customFormat="1" ht="17.100000000000001" customHeight="1">
      <c r="A121" s="972">
        <v>52101</v>
      </c>
      <c r="B121" s="332" t="s">
        <v>1268</v>
      </c>
      <c r="C121" s="963">
        <v>0</v>
      </c>
      <c r="D121" s="964">
        <v>11871</v>
      </c>
      <c r="E121" s="960">
        <f t="shared" si="13"/>
        <v>11871</v>
      </c>
      <c r="F121" s="964">
        <v>11871</v>
      </c>
      <c r="G121" s="964">
        <v>11871</v>
      </c>
      <c r="H121" s="962">
        <f t="shared" si="11"/>
        <v>0</v>
      </c>
      <c r="I121" s="1051">
        <f t="shared" si="0"/>
        <v>1</v>
      </c>
      <c r="J121" s="1027"/>
      <c r="K121" s="966"/>
      <c r="L121" s="966"/>
      <c r="M121" s="966"/>
      <c r="N121" s="966"/>
    </row>
    <row r="122" spans="1:14" s="35" customFormat="1" ht="17.100000000000001" customHeight="1">
      <c r="A122" s="972">
        <v>52301</v>
      </c>
      <c r="B122" s="332" t="s">
        <v>1269</v>
      </c>
      <c r="C122" s="963">
        <v>0</v>
      </c>
      <c r="D122" s="964">
        <v>58002</v>
      </c>
      <c r="E122" s="960">
        <f t="shared" si="13"/>
        <v>58002</v>
      </c>
      <c r="F122" s="964">
        <v>58002</v>
      </c>
      <c r="G122" s="964">
        <v>58002</v>
      </c>
      <c r="H122" s="962">
        <f t="shared" si="11"/>
        <v>0</v>
      </c>
      <c r="I122" s="1051">
        <f t="shared" si="0"/>
        <v>1</v>
      </c>
      <c r="J122" s="1027"/>
      <c r="K122" s="966"/>
      <c r="L122" s="966"/>
      <c r="M122" s="966"/>
      <c r="N122" s="966"/>
    </row>
    <row r="123" spans="1:14" s="35" customFormat="1" ht="17.100000000000001" customHeight="1">
      <c r="A123" s="972">
        <v>56401</v>
      </c>
      <c r="B123" s="332" t="s">
        <v>1270</v>
      </c>
      <c r="C123" s="963">
        <v>0</v>
      </c>
      <c r="D123" s="964">
        <v>81750</v>
      </c>
      <c r="E123" s="960">
        <f t="shared" si="13"/>
        <v>81750</v>
      </c>
      <c r="F123" s="964">
        <v>81750</v>
      </c>
      <c r="G123" s="964">
        <v>81750</v>
      </c>
      <c r="H123" s="962">
        <f t="shared" si="11"/>
        <v>0</v>
      </c>
      <c r="I123" s="1051">
        <f t="shared" si="0"/>
        <v>1</v>
      </c>
      <c r="J123" s="1027"/>
      <c r="K123" s="966"/>
      <c r="L123" s="966"/>
      <c r="M123" s="966"/>
      <c r="N123" s="966"/>
    </row>
    <row r="124" spans="1:14" s="35" customFormat="1" ht="17.100000000000001" customHeight="1">
      <c r="A124" s="972">
        <v>56501</v>
      </c>
      <c r="B124" s="332" t="s">
        <v>1350</v>
      </c>
      <c r="C124" s="963">
        <v>0</v>
      </c>
      <c r="D124" s="964">
        <v>56303</v>
      </c>
      <c r="E124" s="960">
        <f t="shared" si="13"/>
        <v>56303</v>
      </c>
      <c r="F124" s="964">
        <v>56303</v>
      </c>
      <c r="G124" s="964">
        <v>56303</v>
      </c>
      <c r="H124" s="962">
        <f t="shared" si="11"/>
        <v>0</v>
      </c>
      <c r="I124" s="1051">
        <f t="shared" si="0"/>
        <v>1</v>
      </c>
      <c r="J124" s="1027"/>
      <c r="K124" s="966"/>
      <c r="L124" s="966"/>
      <c r="M124" s="966"/>
      <c r="N124" s="966"/>
    </row>
    <row r="125" spans="1:14" s="35" customFormat="1" ht="17.100000000000001" customHeight="1">
      <c r="A125" s="972">
        <v>56601</v>
      </c>
      <c r="B125" s="332" t="s">
        <v>1351</v>
      </c>
      <c r="C125" s="963">
        <v>0</v>
      </c>
      <c r="D125" s="964">
        <v>59729</v>
      </c>
      <c r="E125" s="960">
        <f t="shared" si="13"/>
        <v>59729</v>
      </c>
      <c r="F125" s="964">
        <v>59729</v>
      </c>
      <c r="G125" s="964">
        <v>59729</v>
      </c>
      <c r="H125" s="962">
        <f t="shared" si="11"/>
        <v>0</v>
      </c>
      <c r="I125" s="1051">
        <f t="shared" si="0"/>
        <v>1</v>
      </c>
      <c r="J125" s="1027"/>
      <c r="K125" s="966"/>
      <c r="L125" s="966"/>
      <c r="M125" s="966"/>
      <c r="N125" s="966"/>
    </row>
    <row r="126" spans="1:14" s="35" customFormat="1" ht="17.100000000000001" customHeight="1">
      <c r="A126" s="972"/>
      <c r="B126" s="332"/>
      <c r="C126" s="963"/>
      <c r="D126" s="964"/>
      <c r="E126" s="960"/>
      <c r="F126" s="963"/>
      <c r="G126" s="964"/>
      <c r="H126" s="962"/>
      <c r="I126" s="1051"/>
      <c r="J126" s="1027"/>
      <c r="K126" s="966"/>
      <c r="L126" s="966"/>
      <c r="M126" s="966"/>
      <c r="N126" s="966"/>
    </row>
    <row r="127" spans="1:14" s="35" customFormat="1" ht="17.100000000000001" customHeight="1">
      <c r="A127" s="977">
        <v>90000</v>
      </c>
      <c r="B127" s="330" t="s">
        <v>616</v>
      </c>
      <c r="C127" s="955">
        <f>SUM(C128:C130)</f>
        <v>0</v>
      </c>
      <c r="D127" s="956">
        <f>SUM(D128:D130)</f>
        <v>17771984</v>
      </c>
      <c r="E127" s="955">
        <f>SUM(E128:E130)</f>
        <v>17771984</v>
      </c>
      <c r="F127" s="956">
        <f>SUM(F128:F130)</f>
        <v>12333682</v>
      </c>
      <c r="G127" s="956">
        <f>SUM(G128:G130)</f>
        <v>12333682</v>
      </c>
      <c r="H127" s="957">
        <f t="shared" ref="H127:H129" si="14">E127-F127</f>
        <v>5438302</v>
      </c>
      <c r="I127" s="1051">
        <f t="shared" ref="I127:I129" si="15">IF(E127=0,"",F127/E127)</f>
        <v>0.69399578572656828</v>
      </c>
      <c r="J127" s="1027"/>
      <c r="K127" s="966"/>
      <c r="L127" s="966"/>
      <c r="M127" s="966"/>
      <c r="N127" s="966"/>
    </row>
    <row r="128" spans="1:14" s="35" customFormat="1" ht="17.100000000000001" customHeight="1">
      <c r="A128" s="972">
        <v>91101</v>
      </c>
      <c r="B128" s="978" t="s">
        <v>1271</v>
      </c>
      <c r="C128" s="963">
        <v>0</v>
      </c>
      <c r="D128" s="964">
        <v>9999984</v>
      </c>
      <c r="E128" s="960">
        <f t="shared" ref="E128:E129" si="16">C128+D128</f>
        <v>9999984</v>
      </c>
      <c r="F128" s="964">
        <v>7499988</v>
      </c>
      <c r="G128" s="964">
        <v>7499988</v>
      </c>
      <c r="H128" s="962">
        <f>E128-F128</f>
        <v>2499996</v>
      </c>
      <c r="I128" s="1051">
        <f t="shared" si="15"/>
        <v>0.75</v>
      </c>
      <c r="J128" s="1027"/>
      <c r="K128" s="966"/>
      <c r="L128" s="966"/>
      <c r="M128" s="966"/>
      <c r="N128" s="966"/>
    </row>
    <row r="129" spans="1:14" s="35" customFormat="1" ht="17.100000000000001" customHeight="1">
      <c r="A129" s="972">
        <v>92101</v>
      </c>
      <c r="B129" s="978" t="s">
        <v>1272</v>
      </c>
      <c r="C129" s="963">
        <v>0</v>
      </c>
      <c r="D129" s="964">
        <v>7772000</v>
      </c>
      <c r="E129" s="960">
        <f t="shared" si="16"/>
        <v>7772000</v>
      </c>
      <c r="F129" s="964">
        <v>4833694</v>
      </c>
      <c r="G129" s="964">
        <v>4833694</v>
      </c>
      <c r="H129" s="962">
        <f t="shared" si="14"/>
        <v>2938306</v>
      </c>
      <c r="I129" s="1051">
        <f t="shared" si="15"/>
        <v>0.62193695316520847</v>
      </c>
      <c r="J129" s="1027"/>
      <c r="K129" s="966"/>
      <c r="L129" s="966"/>
      <c r="M129" s="966"/>
      <c r="N129" s="966"/>
    </row>
    <row r="130" spans="1:14" s="35" customFormat="1" ht="17.100000000000001" customHeight="1">
      <c r="A130" s="973"/>
      <c r="B130" s="330"/>
      <c r="C130" s="963"/>
      <c r="D130" s="964"/>
      <c r="E130" s="960"/>
      <c r="F130" s="964"/>
      <c r="G130" s="964"/>
      <c r="H130" s="962"/>
      <c r="I130" s="1051"/>
      <c r="J130" s="1027"/>
      <c r="K130" s="966"/>
      <c r="L130" s="966"/>
      <c r="M130" s="966"/>
      <c r="N130" s="966"/>
    </row>
    <row r="131" spans="1:14" s="6" customFormat="1" ht="20.25" customHeight="1" thickBot="1">
      <c r="A131" s="979"/>
      <c r="B131" s="201" t="s">
        <v>619</v>
      </c>
      <c r="C131" s="980">
        <f>+C119+C70+C49+C10+C127-3</f>
        <v>115136460</v>
      </c>
      <c r="D131" s="980">
        <f>+D119+D70+D49+D10+D127+2</f>
        <v>56707</v>
      </c>
      <c r="E131" s="980">
        <f>+E119+E70+E49+E10+E127-1</f>
        <v>115193167</v>
      </c>
      <c r="F131" s="980">
        <f>+F119+F70+F49+F10+F127</f>
        <v>82444019</v>
      </c>
      <c r="G131" s="980">
        <f>+G119+G70+G49+G10+G127</f>
        <v>73560558</v>
      </c>
      <c r="H131" s="980">
        <f>+H119+H70+H49+H10+H127</f>
        <v>32749149</v>
      </c>
      <c r="I131" s="1050">
        <f t="shared" si="0"/>
        <v>0.71570233849026832</v>
      </c>
      <c r="J131" s="1027"/>
    </row>
    <row r="132" spans="1:14">
      <c r="A132" s="3"/>
      <c r="B132" s="3"/>
      <c r="C132" s="1040"/>
      <c r="D132" s="1040"/>
      <c r="E132" s="1040"/>
      <c r="F132" s="1040"/>
      <c r="G132" s="1040"/>
      <c r="H132" s="1395"/>
      <c r="I132" s="1395"/>
    </row>
    <row r="133" spans="1:14" ht="17.25" customHeight="1">
      <c r="C133" s="1041"/>
      <c r="D133" s="1041"/>
      <c r="E133" s="1041"/>
      <c r="F133" s="1041"/>
      <c r="G133" s="1041"/>
      <c r="H133" s="1400"/>
      <c r="I133" s="1400"/>
    </row>
  </sheetData>
  <mergeCells count="10">
    <mergeCell ref="H132:I132"/>
    <mergeCell ref="A7:B8"/>
    <mergeCell ref="H133:I133"/>
    <mergeCell ref="A1:I1"/>
    <mergeCell ref="A2:I2"/>
    <mergeCell ref="A3:I3"/>
    <mergeCell ref="A4:I4"/>
    <mergeCell ref="A5:I5"/>
    <mergeCell ref="C6:E6"/>
    <mergeCell ref="H6:I6"/>
  </mergeCells>
  <printOptions horizontalCentered="1"/>
  <pageMargins left="0.39370078740157483" right="0.39370078740157483" top="0.51181102362204722" bottom="0.39370078740157483" header="0.31496062992125984" footer="0"/>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view="pageBreakPreview" topLeftCell="A25" zoomScaleSheetLayoutView="100" workbookViewId="0">
      <selection activeCell="B25" sqref="B1:G1048576"/>
    </sheetView>
  </sheetViews>
  <sheetFormatPr baseColWidth="10" defaultColWidth="11.42578125" defaultRowHeight="15"/>
  <cols>
    <col min="1" max="1" width="29.28515625" customWidth="1"/>
    <col min="2" max="7" width="12" customWidth="1"/>
  </cols>
  <sheetData>
    <row r="1" spans="1:9" ht="15.75">
      <c r="A1" s="1182" t="s">
        <v>23</v>
      </c>
      <c r="B1" s="1182"/>
      <c r="C1" s="1182"/>
      <c r="D1" s="1182"/>
      <c r="E1" s="1182"/>
      <c r="F1" s="1182"/>
      <c r="G1" s="1182"/>
      <c r="H1" s="659"/>
      <c r="I1" s="659"/>
    </row>
    <row r="2" spans="1:9" ht="15.75" customHeight="1">
      <c r="A2" s="1183" t="s">
        <v>836</v>
      </c>
      <c r="B2" s="1183"/>
      <c r="C2" s="1183"/>
      <c r="D2" s="1183"/>
      <c r="E2" s="1183"/>
      <c r="F2" s="1183"/>
      <c r="G2" s="1183"/>
      <c r="H2" s="660"/>
      <c r="I2" s="660"/>
    </row>
    <row r="3" spans="1:9" ht="15.75" customHeight="1">
      <c r="A3" s="1183" t="s">
        <v>837</v>
      </c>
      <c r="B3" s="1183"/>
      <c r="C3" s="1183"/>
      <c r="D3" s="1183"/>
      <c r="E3" s="1183"/>
      <c r="F3" s="1183"/>
      <c r="G3" s="1183"/>
      <c r="H3" s="660"/>
      <c r="I3" s="660"/>
    </row>
    <row r="4" spans="1:9" ht="16.5" customHeight="1">
      <c r="A4" s="1183" t="str">
        <f>'ETCA-I-01'!A3:G3</f>
        <v>TELEVISORA DE HERMOSILLO, S.A. DE C.V.</v>
      </c>
      <c r="B4" s="1183"/>
      <c r="C4" s="1183"/>
      <c r="D4" s="1183"/>
      <c r="E4" s="1183"/>
      <c r="F4" s="1183"/>
      <c r="G4" s="1183"/>
      <c r="H4" s="660"/>
      <c r="I4" s="660"/>
    </row>
    <row r="5" spans="1:9" ht="15.75" customHeight="1">
      <c r="A5" s="1411" t="str">
        <f>'ETCA-I-03'!A4:D4</f>
        <v>Del 01 de Enero al 30 de Septiembre de 2018</v>
      </c>
      <c r="B5" s="1411"/>
      <c r="C5" s="1411"/>
      <c r="D5" s="1411"/>
      <c r="E5" s="1411"/>
      <c r="F5" s="1411"/>
      <c r="G5" s="1411"/>
      <c r="H5" s="661"/>
      <c r="I5" s="661"/>
    </row>
    <row r="6" spans="1:9" ht="15.75" customHeight="1" thickBot="1">
      <c r="A6" s="1228" t="s">
        <v>87</v>
      </c>
      <c r="B6" s="1228"/>
      <c r="C6" s="1228"/>
      <c r="D6" s="1228"/>
      <c r="E6" s="1228"/>
      <c r="F6" s="1228"/>
      <c r="G6" s="1228"/>
      <c r="H6" s="662"/>
      <c r="I6" s="662"/>
    </row>
    <row r="7" spans="1:9" ht="15.75" thickBot="1">
      <c r="A7" s="1404" t="s">
        <v>88</v>
      </c>
      <c r="B7" s="1406" t="s">
        <v>622</v>
      </c>
      <c r="C7" s="1407"/>
      <c r="D7" s="1407"/>
      <c r="E7" s="1407"/>
      <c r="F7" s="1408"/>
      <c r="G7" s="1409" t="s">
        <v>623</v>
      </c>
    </row>
    <row r="8" spans="1:9" ht="18.75" thickBot="1">
      <c r="A8" s="1405"/>
      <c r="B8" s="636" t="s">
        <v>624</v>
      </c>
      <c r="C8" s="636" t="s">
        <v>625</v>
      </c>
      <c r="D8" s="636" t="s">
        <v>626</v>
      </c>
      <c r="E8" s="636" t="s">
        <v>838</v>
      </c>
      <c r="F8" s="636" t="s">
        <v>724</v>
      </c>
      <c r="G8" s="1410"/>
    </row>
    <row r="9" spans="1:9" ht="18">
      <c r="A9" s="653" t="s">
        <v>839</v>
      </c>
      <c r="B9" s="718">
        <f t="shared" ref="B9:G9" si="0">B10+B11+B12+B13+B14+B15+B16+B19</f>
        <v>81363564</v>
      </c>
      <c r="C9" s="718">
        <f t="shared" si="0"/>
        <v>-9422840</v>
      </c>
      <c r="D9" s="718">
        <f t="shared" si="0"/>
        <v>71940724</v>
      </c>
      <c r="E9" s="718">
        <f t="shared" si="0"/>
        <v>53128222</v>
      </c>
      <c r="F9" s="718">
        <f t="shared" si="0"/>
        <v>46951313</v>
      </c>
      <c r="G9" s="718">
        <f t="shared" si="0"/>
        <v>18812502</v>
      </c>
    </row>
    <row r="10" spans="1:9" ht="18">
      <c r="A10" s="654" t="s">
        <v>840</v>
      </c>
      <c r="B10" s="720">
        <f>+'ETCA-II-13'!C10</f>
        <v>81363564</v>
      </c>
      <c r="C10" s="720">
        <f>+'ETCA-II-13'!D10</f>
        <v>-9422840</v>
      </c>
      <c r="D10" s="719">
        <f>B10+C10</f>
        <v>71940724</v>
      </c>
      <c r="E10" s="720">
        <f>+'ETCA-II-13'!F10</f>
        <v>53128222</v>
      </c>
      <c r="F10" s="720">
        <f>+'ETCA-II-13'!G10</f>
        <v>46951313</v>
      </c>
      <c r="G10" s="719">
        <f t="shared" ref="G10:G15" si="1">D10-E10</f>
        <v>18812502</v>
      </c>
    </row>
    <row r="11" spans="1:9">
      <c r="A11" s="654" t="s">
        <v>841</v>
      </c>
      <c r="B11" s="720"/>
      <c r="C11" s="721"/>
      <c r="D11" s="719">
        <f t="shared" ref="D11:D19" si="2">B11+C11</f>
        <v>0</v>
      </c>
      <c r="E11" s="721"/>
      <c r="F11" s="721"/>
      <c r="G11" s="719">
        <f t="shared" si="1"/>
        <v>0</v>
      </c>
    </row>
    <row r="12" spans="1:9">
      <c r="A12" s="654" t="s">
        <v>842</v>
      </c>
      <c r="B12" s="720"/>
      <c r="C12" s="721"/>
      <c r="D12" s="719">
        <f t="shared" si="2"/>
        <v>0</v>
      </c>
      <c r="E12" s="721"/>
      <c r="F12" s="721"/>
      <c r="G12" s="719">
        <f t="shared" si="1"/>
        <v>0</v>
      </c>
    </row>
    <row r="13" spans="1:9">
      <c r="A13" s="654" t="s">
        <v>843</v>
      </c>
      <c r="B13" s="720"/>
      <c r="C13" s="721"/>
      <c r="D13" s="719">
        <f t="shared" si="2"/>
        <v>0</v>
      </c>
      <c r="E13" s="721"/>
      <c r="F13" s="721"/>
      <c r="G13" s="719">
        <f t="shared" si="1"/>
        <v>0</v>
      </c>
    </row>
    <row r="14" spans="1:9">
      <c r="A14" s="654" t="s">
        <v>844</v>
      </c>
      <c r="B14" s="720"/>
      <c r="C14" s="721"/>
      <c r="D14" s="719">
        <f t="shared" si="2"/>
        <v>0</v>
      </c>
      <c r="E14" s="721"/>
      <c r="F14" s="721"/>
      <c r="G14" s="719">
        <f t="shared" si="1"/>
        <v>0</v>
      </c>
    </row>
    <row r="15" spans="1:9">
      <c r="A15" s="654" t="s">
        <v>845</v>
      </c>
      <c r="B15" s="720"/>
      <c r="C15" s="721"/>
      <c r="D15" s="719">
        <f t="shared" si="2"/>
        <v>0</v>
      </c>
      <c r="E15" s="721"/>
      <c r="F15" s="721"/>
      <c r="G15" s="719">
        <f t="shared" si="1"/>
        <v>0</v>
      </c>
    </row>
    <row r="16" spans="1:9" ht="27">
      <c r="A16" s="654" t="s">
        <v>846</v>
      </c>
      <c r="B16" s="718">
        <f t="shared" ref="B16:G16" si="3">B17+B18</f>
        <v>0</v>
      </c>
      <c r="C16" s="718">
        <f t="shared" si="3"/>
        <v>0</v>
      </c>
      <c r="D16" s="718">
        <f t="shared" si="3"/>
        <v>0</v>
      </c>
      <c r="E16" s="718">
        <f t="shared" si="3"/>
        <v>0</v>
      </c>
      <c r="F16" s="718">
        <f t="shared" si="3"/>
        <v>0</v>
      </c>
      <c r="G16" s="718">
        <f t="shared" si="3"/>
        <v>0</v>
      </c>
    </row>
    <row r="17" spans="1:7">
      <c r="A17" s="655" t="s">
        <v>847</v>
      </c>
      <c r="B17" s="720"/>
      <c r="C17" s="721"/>
      <c r="D17" s="719">
        <f t="shared" si="2"/>
        <v>0</v>
      </c>
      <c r="E17" s="721"/>
      <c r="F17" s="721"/>
      <c r="G17" s="719">
        <f>D17-E17</f>
        <v>0</v>
      </c>
    </row>
    <row r="18" spans="1:7">
      <c r="A18" s="655" t="s">
        <v>848</v>
      </c>
      <c r="B18" s="720"/>
      <c r="C18" s="721"/>
      <c r="D18" s="719">
        <f t="shared" si="2"/>
        <v>0</v>
      </c>
      <c r="E18" s="721"/>
      <c r="F18" s="721"/>
      <c r="G18" s="719">
        <f>D18-E18</f>
        <v>0</v>
      </c>
    </row>
    <row r="19" spans="1:7">
      <c r="A19" s="654" t="s">
        <v>849</v>
      </c>
      <c r="B19" s="720"/>
      <c r="C19" s="721"/>
      <c r="D19" s="719">
        <f t="shared" si="2"/>
        <v>0</v>
      </c>
      <c r="E19" s="721"/>
      <c r="F19" s="721"/>
      <c r="G19" s="719">
        <f>D19-E19</f>
        <v>0</v>
      </c>
    </row>
    <row r="20" spans="1:7">
      <c r="A20" s="654"/>
      <c r="B20" s="718"/>
      <c r="C20" s="719"/>
      <c r="D20" s="719"/>
      <c r="E20" s="719"/>
      <c r="F20" s="719"/>
      <c r="G20" s="719"/>
    </row>
    <row r="21" spans="1:7" ht="18">
      <c r="A21" s="653" t="s">
        <v>850</v>
      </c>
      <c r="B21" s="718">
        <f t="shared" ref="B21:G21" si="4">B22+B23+B24+B25+B26+B27+B28+B31</f>
        <v>0</v>
      </c>
      <c r="C21" s="718">
        <f t="shared" si="4"/>
        <v>0</v>
      </c>
      <c r="D21" s="718">
        <f t="shared" si="4"/>
        <v>0</v>
      </c>
      <c r="E21" s="718">
        <f t="shared" si="4"/>
        <v>0</v>
      </c>
      <c r="F21" s="718">
        <f t="shared" si="4"/>
        <v>0</v>
      </c>
      <c r="G21" s="718">
        <f t="shared" si="4"/>
        <v>0</v>
      </c>
    </row>
    <row r="22" spans="1:7" ht="18">
      <c r="A22" s="654" t="s">
        <v>840</v>
      </c>
      <c r="B22" s="720"/>
      <c r="C22" s="721"/>
      <c r="D22" s="719">
        <f t="shared" ref="D22:D27" si="5">B22+C22</f>
        <v>0</v>
      </c>
      <c r="E22" s="721"/>
      <c r="F22" s="721"/>
      <c r="G22" s="719">
        <f t="shared" ref="G22:G27" si="6">D22-E22</f>
        <v>0</v>
      </c>
    </row>
    <row r="23" spans="1:7">
      <c r="A23" s="654" t="s">
        <v>841</v>
      </c>
      <c r="B23" s="720"/>
      <c r="C23" s="721"/>
      <c r="D23" s="719">
        <f t="shared" si="5"/>
        <v>0</v>
      </c>
      <c r="E23" s="721"/>
      <c r="F23" s="721"/>
      <c r="G23" s="719">
        <f t="shared" si="6"/>
        <v>0</v>
      </c>
    </row>
    <row r="24" spans="1:7">
      <c r="A24" s="654" t="s">
        <v>842</v>
      </c>
      <c r="B24" s="720"/>
      <c r="C24" s="721"/>
      <c r="D24" s="719">
        <f t="shared" si="5"/>
        <v>0</v>
      </c>
      <c r="E24" s="721"/>
      <c r="F24" s="721"/>
      <c r="G24" s="719">
        <f t="shared" si="6"/>
        <v>0</v>
      </c>
    </row>
    <row r="25" spans="1:7">
      <c r="A25" s="654" t="s">
        <v>843</v>
      </c>
      <c r="B25" s="720"/>
      <c r="C25" s="721"/>
      <c r="D25" s="719">
        <f t="shared" si="5"/>
        <v>0</v>
      </c>
      <c r="E25" s="721"/>
      <c r="F25" s="721"/>
      <c r="G25" s="719">
        <f t="shared" si="6"/>
        <v>0</v>
      </c>
    </row>
    <row r="26" spans="1:7">
      <c r="A26" s="654" t="s">
        <v>844</v>
      </c>
      <c r="B26" s="720"/>
      <c r="C26" s="721"/>
      <c r="D26" s="719">
        <f t="shared" si="5"/>
        <v>0</v>
      </c>
      <c r="E26" s="721"/>
      <c r="F26" s="721"/>
      <c r="G26" s="719">
        <f t="shared" si="6"/>
        <v>0</v>
      </c>
    </row>
    <row r="27" spans="1:7">
      <c r="A27" s="654" t="s">
        <v>845</v>
      </c>
      <c r="B27" s="720"/>
      <c r="C27" s="721"/>
      <c r="D27" s="719">
        <f t="shared" si="5"/>
        <v>0</v>
      </c>
      <c r="E27" s="721"/>
      <c r="F27" s="721"/>
      <c r="G27" s="719">
        <f t="shared" si="6"/>
        <v>0</v>
      </c>
    </row>
    <row r="28" spans="1:7" ht="27">
      <c r="A28" s="654" t="s">
        <v>846</v>
      </c>
      <c r="B28" s="718">
        <f t="shared" ref="B28:G28" si="7">B29+B30</f>
        <v>0</v>
      </c>
      <c r="C28" s="718">
        <f t="shared" si="7"/>
        <v>0</v>
      </c>
      <c r="D28" s="718">
        <f t="shared" si="7"/>
        <v>0</v>
      </c>
      <c r="E28" s="718">
        <f t="shared" si="7"/>
        <v>0</v>
      </c>
      <c r="F28" s="718">
        <f t="shared" si="7"/>
        <v>0</v>
      </c>
      <c r="G28" s="718">
        <f t="shared" si="7"/>
        <v>0</v>
      </c>
    </row>
    <row r="29" spans="1:7">
      <c r="A29" s="655" t="s">
        <v>847</v>
      </c>
      <c r="B29" s="720"/>
      <c r="C29" s="721"/>
      <c r="D29" s="719">
        <f>B29+C29</f>
        <v>0</v>
      </c>
      <c r="E29" s="721"/>
      <c r="F29" s="721"/>
      <c r="G29" s="719">
        <f>D29-E29</f>
        <v>0</v>
      </c>
    </row>
    <row r="30" spans="1:7">
      <c r="A30" s="655" t="s">
        <v>848</v>
      </c>
      <c r="B30" s="720"/>
      <c r="C30" s="721"/>
      <c r="D30" s="719">
        <f>B30+C30</f>
        <v>0</v>
      </c>
      <c r="E30" s="721"/>
      <c r="F30" s="721"/>
      <c r="G30" s="719">
        <f>D30-E30</f>
        <v>0</v>
      </c>
    </row>
    <row r="31" spans="1:7">
      <c r="A31" s="654" t="s">
        <v>849</v>
      </c>
      <c r="B31" s="720"/>
      <c r="C31" s="721"/>
      <c r="D31" s="719">
        <f>B31+C31</f>
        <v>0</v>
      </c>
      <c r="E31" s="721"/>
      <c r="F31" s="721"/>
      <c r="G31" s="719">
        <f>D31-E31</f>
        <v>0</v>
      </c>
    </row>
    <row r="32" spans="1:7" ht="18">
      <c r="A32" s="653" t="s">
        <v>851</v>
      </c>
      <c r="B32" s="718">
        <f t="shared" ref="B32:G32" si="8">B9+B21</f>
        <v>81363564</v>
      </c>
      <c r="C32" s="718">
        <f t="shared" si="8"/>
        <v>-9422840</v>
      </c>
      <c r="D32" s="718">
        <f t="shared" si="8"/>
        <v>71940724</v>
      </c>
      <c r="E32" s="718">
        <f t="shared" si="8"/>
        <v>53128222</v>
      </c>
      <c r="F32" s="718">
        <f t="shared" si="8"/>
        <v>46951313</v>
      </c>
      <c r="G32" s="718">
        <f t="shared" si="8"/>
        <v>18812502</v>
      </c>
    </row>
    <row r="33" spans="1:7" ht="15.75" thickBot="1">
      <c r="A33" s="656"/>
      <c r="B33" s="657"/>
      <c r="C33" s="658"/>
      <c r="D33" s="658"/>
      <c r="E33" s="658"/>
      <c r="F33" s="658"/>
      <c r="G33" s="658"/>
    </row>
  </sheetData>
  <sheetProtection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sheetPr codeName="Hoja16">
    <pageSetUpPr fitToPage="1"/>
  </sheetPr>
  <dimension ref="A1:D44"/>
  <sheetViews>
    <sheetView view="pageBreakPreview" zoomScale="110" zoomScaleSheetLayoutView="110" workbookViewId="0">
      <selection activeCell="C13" sqref="C13"/>
    </sheetView>
  </sheetViews>
  <sheetFormatPr baseColWidth="10" defaultColWidth="11.28515625" defaultRowHeight="16.5"/>
  <cols>
    <col min="1" max="1" width="64.5703125" style="286" customWidth="1"/>
    <col min="2" max="2" width="25.7109375" style="286" customWidth="1"/>
    <col min="3" max="3" width="25.7109375" style="417" customWidth="1"/>
    <col min="4" max="4" width="89.140625" style="286" customWidth="1"/>
    <col min="5" max="16384" width="11.28515625" style="286"/>
  </cols>
  <sheetData>
    <row r="1" spans="1:4">
      <c r="A1" s="1209" t="s">
        <v>23</v>
      </c>
      <c r="B1" s="1209"/>
      <c r="C1" s="1209"/>
      <c r="D1" s="437"/>
    </row>
    <row r="2" spans="1:4" s="287" customFormat="1" ht="15.75">
      <c r="A2" s="1209" t="s">
        <v>13</v>
      </c>
      <c r="B2" s="1209"/>
      <c r="C2" s="1209"/>
    </row>
    <row r="3" spans="1:4" s="287" customFormat="1" ht="15.75">
      <c r="A3" s="1210" t="str">
        <f>'ETCA-I-01'!A3:G3</f>
        <v>TELEVISORA DE HERMOSILLO, S.A. DE C.V.</v>
      </c>
      <c r="B3" s="1210"/>
      <c r="C3" s="1210"/>
    </row>
    <row r="4" spans="1:4" s="287" customFormat="1">
      <c r="A4" s="1211" t="str">
        <f>'ETCA-I-01'!A4:G4</f>
        <v>Al 30 de Septiembre de 2018</v>
      </c>
      <c r="B4" s="1211"/>
      <c r="C4" s="1211"/>
    </row>
    <row r="5" spans="1:4" s="288" customFormat="1" ht="17.25" thickBot="1">
      <c r="A5" s="404"/>
      <c r="B5" s="541"/>
      <c r="C5" s="405"/>
    </row>
    <row r="6" spans="1:4" s="407" customFormat="1" ht="27" customHeight="1" thickBot="1">
      <c r="A6" s="406" t="s">
        <v>852</v>
      </c>
      <c r="B6" s="172"/>
      <c r="C6" s="259">
        <f>'ETCA II-04'!E81</f>
        <v>82444019</v>
      </c>
      <c r="D6" s="418" t="str">
        <f>IF((C6-'ETCA II-04'!E81)&gt;0.9,"ERROR!!!!! EL MONTO NO COINCIDE CON LO REPORTADO EN EL FORMATO ETCA-II-04, EN EL TOTAL DE EGRESOS DEVENGADO ANUAL","")</f>
        <v/>
      </c>
    </row>
    <row r="7" spans="1:4" s="407" customFormat="1" ht="9.75" customHeight="1">
      <c r="A7" s="408"/>
      <c r="B7" s="275"/>
      <c r="C7" s="419"/>
      <c r="D7" s="418"/>
    </row>
    <row r="8" spans="1:4" s="407" customFormat="1" ht="17.25" customHeight="1" thickBot="1">
      <c r="A8" s="409" t="s">
        <v>552</v>
      </c>
      <c r="B8" s="278"/>
      <c r="C8" s="420"/>
      <c r="D8" s="418"/>
    </row>
    <row r="9" spans="1:4" ht="20.100000000000001" customHeight="1">
      <c r="A9" s="410" t="s">
        <v>853</v>
      </c>
      <c r="B9" s="815"/>
      <c r="C9" s="421">
        <f>SUM(B10:B26)</f>
        <v>7977850</v>
      </c>
      <c r="D9" s="422"/>
    </row>
    <row r="10" spans="1:4" ht="20.100000000000001" customHeight="1">
      <c r="A10" s="411" t="s">
        <v>854</v>
      </c>
      <c r="B10" s="855">
        <v>210208</v>
      </c>
      <c r="C10" s="423"/>
      <c r="D10" s="422"/>
    </row>
    <row r="11" spans="1:4">
      <c r="A11" s="411" t="s">
        <v>855</v>
      </c>
      <c r="B11" s="855">
        <v>69872</v>
      </c>
      <c r="C11" s="423"/>
      <c r="D11" s="422"/>
    </row>
    <row r="12" spans="1:4" ht="20.100000000000001" customHeight="1">
      <c r="A12" s="411" t="s">
        <v>856</v>
      </c>
      <c r="B12" s="855"/>
      <c r="C12" s="423"/>
      <c r="D12" s="422"/>
    </row>
    <row r="13" spans="1:4" ht="20.100000000000001" customHeight="1">
      <c r="A13" s="411" t="s">
        <v>857</v>
      </c>
      <c r="B13" s="855"/>
      <c r="C13" s="423"/>
      <c r="D13" s="422"/>
    </row>
    <row r="14" spans="1:4" ht="20.100000000000001" customHeight="1">
      <c r="A14" s="411" t="s">
        <v>858</v>
      </c>
      <c r="B14" s="855"/>
      <c r="C14" s="423"/>
      <c r="D14" s="422"/>
    </row>
    <row r="15" spans="1:4" ht="20.100000000000001" customHeight="1">
      <c r="A15" s="411" t="s">
        <v>859</v>
      </c>
      <c r="B15" s="855">
        <v>197782</v>
      </c>
      <c r="C15" s="423"/>
      <c r="D15" s="422"/>
    </row>
    <row r="16" spans="1:4" ht="20.100000000000001" customHeight="1">
      <c r="A16" s="411" t="s">
        <v>860</v>
      </c>
      <c r="B16" s="855"/>
      <c r="C16" s="423"/>
      <c r="D16" s="422"/>
    </row>
    <row r="17" spans="1:4" ht="20.100000000000001" customHeight="1">
      <c r="A17" s="411" t="s">
        <v>861</v>
      </c>
      <c r="B17" s="855"/>
      <c r="C17" s="423"/>
      <c r="D17" s="422"/>
    </row>
    <row r="18" spans="1:4" ht="20.100000000000001" customHeight="1">
      <c r="A18" s="411" t="s">
        <v>862</v>
      </c>
      <c r="B18" s="855"/>
      <c r="C18" s="423"/>
      <c r="D18" s="422"/>
    </row>
    <row r="19" spans="1:4" ht="20.100000000000001" customHeight="1">
      <c r="A19" s="411" t="s">
        <v>863</v>
      </c>
      <c r="B19" s="855"/>
      <c r="C19" s="423"/>
      <c r="D19" s="422"/>
    </row>
    <row r="20" spans="1:4" ht="20.100000000000001" customHeight="1">
      <c r="A20" s="411" t="s">
        <v>864</v>
      </c>
      <c r="B20" s="855"/>
      <c r="C20" s="423"/>
      <c r="D20" s="422"/>
    </row>
    <row r="21" spans="1:4" ht="20.100000000000001" customHeight="1">
      <c r="A21" s="411" t="s">
        <v>865</v>
      </c>
      <c r="B21" s="855"/>
      <c r="C21" s="423"/>
      <c r="D21" s="422"/>
    </row>
    <row r="22" spans="1:4" ht="20.100000000000001" customHeight="1">
      <c r="A22" s="411" t="s">
        <v>866</v>
      </c>
      <c r="B22" s="855"/>
      <c r="C22" s="423"/>
      <c r="D22" s="422"/>
    </row>
    <row r="23" spans="1:4" ht="20.100000000000001" customHeight="1">
      <c r="A23" s="411" t="s">
        <v>867</v>
      </c>
      <c r="B23" s="855"/>
      <c r="C23" s="423"/>
      <c r="D23" s="422"/>
    </row>
    <row r="24" spans="1:4" ht="20.100000000000001" customHeight="1">
      <c r="A24" s="411" t="s">
        <v>868</v>
      </c>
      <c r="B24" s="855">
        <v>7499988</v>
      </c>
      <c r="C24" s="423"/>
      <c r="D24" s="422"/>
    </row>
    <row r="25" spans="1:4" ht="20.100000000000001" customHeight="1">
      <c r="A25" s="411" t="s">
        <v>869</v>
      </c>
      <c r="B25" s="855"/>
      <c r="C25" s="423"/>
      <c r="D25" s="422"/>
    </row>
    <row r="26" spans="1:4" ht="20.100000000000001" customHeight="1" thickBot="1">
      <c r="A26" s="412" t="s">
        <v>870</v>
      </c>
      <c r="B26" s="856"/>
      <c r="C26" s="424"/>
      <c r="D26" s="422"/>
    </row>
    <row r="27" spans="1:4" ht="7.5" customHeight="1">
      <c r="A27" s="413"/>
      <c r="B27" s="275"/>
      <c r="C27" s="425"/>
      <c r="D27" s="422"/>
    </row>
    <row r="28" spans="1:4" ht="20.100000000000001" customHeight="1" thickBot="1">
      <c r="A28" s="414" t="s">
        <v>545</v>
      </c>
      <c r="B28" s="278"/>
      <c r="C28" s="426"/>
      <c r="D28" s="422"/>
    </row>
    <row r="29" spans="1:4" ht="20.100000000000001" customHeight="1">
      <c r="A29" s="410" t="s">
        <v>871</v>
      </c>
      <c r="B29" s="857"/>
      <c r="C29" s="421">
        <f>SUM(B30:B36)</f>
        <v>11623522</v>
      </c>
      <c r="D29" s="422"/>
    </row>
    <row r="30" spans="1:4">
      <c r="A30" s="411" t="s">
        <v>872</v>
      </c>
      <c r="B30" s="855">
        <v>10132554</v>
      </c>
      <c r="C30" s="423"/>
      <c r="D30" s="430" t="str">
        <f>IF(B30&lt;&gt;'ETCA-I-03'!C55,"ERROR!!!!! EL MONTO NO COINCIDE CON LO REPORTADO EN EL FORMATO ETCA-I-02 POR CONCEPTO DE ESTIMACIONES, DEPRECIACIONES, ETC..","")</f>
        <v/>
      </c>
    </row>
    <row r="31" spans="1:4" ht="20.100000000000001" customHeight="1">
      <c r="A31" s="411" t="s">
        <v>245</v>
      </c>
      <c r="B31" s="855"/>
      <c r="C31" s="423"/>
      <c r="D31" s="422"/>
    </row>
    <row r="32" spans="1:4" ht="20.100000000000001" customHeight="1">
      <c r="A32" s="411" t="s">
        <v>873</v>
      </c>
      <c r="B32" s="855"/>
      <c r="C32" s="423"/>
      <c r="D32" s="422"/>
    </row>
    <row r="33" spans="1:4" ht="25.5" customHeight="1">
      <c r="A33" s="411" t="s">
        <v>874</v>
      </c>
      <c r="B33" s="855"/>
      <c r="C33" s="423"/>
      <c r="D33" s="422"/>
    </row>
    <row r="34" spans="1:4" ht="20.100000000000001" customHeight="1">
      <c r="A34" s="411" t="s">
        <v>875</v>
      </c>
      <c r="B34" s="855"/>
      <c r="C34" s="423"/>
      <c r="D34" s="422"/>
    </row>
    <row r="35" spans="1:4" ht="20.100000000000001" customHeight="1">
      <c r="A35" s="411" t="s">
        <v>876</v>
      </c>
      <c r="B35" s="855">
        <v>1490968</v>
      </c>
      <c r="C35" s="423"/>
      <c r="D35" s="422"/>
    </row>
    <row r="36" spans="1:4" ht="20.100000000000001" customHeight="1">
      <c r="A36" s="415" t="s">
        <v>877</v>
      </c>
      <c r="B36" s="855"/>
      <c r="C36" s="423"/>
      <c r="D36" s="422"/>
    </row>
    <row r="37" spans="1:4" ht="20.100000000000001" customHeight="1" thickBot="1">
      <c r="A37" s="416"/>
      <c r="B37" s="858"/>
      <c r="C37" s="424"/>
      <c r="D37" s="422"/>
    </row>
    <row r="38" spans="1:4" ht="20.100000000000001" customHeight="1" thickBot="1">
      <c r="A38" s="517" t="s">
        <v>878</v>
      </c>
      <c r="B38" s="859"/>
      <c r="C38" s="259">
        <f>C6-C9+C29</f>
        <v>86089691</v>
      </c>
      <c r="D38" s="422" t="str">
        <f>IF((C38-'ETCA-I-03'!C64)&gt;0.9,"ERROR!!!!! EL MONTO NO COINCIDE CON LO REPORTADO EN EL FORMATO ETCA-I-03, EN EL MISMO RUBRO","")</f>
        <v/>
      </c>
    </row>
    <row r="39" spans="1:4" ht="20.100000000000001" customHeight="1">
      <c r="A39" s="516"/>
      <c r="B39" s="514"/>
      <c r="C39" s="515"/>
      <c r="D39" s="422"/>
    </row>
    <row r="40" spans="1:4" ht="20.100000000000001" customHeight="1">
      <c r="A40" s="513"/>
      <c r="B40" s="514"/>
      <c r="C40" s="515"/>
      <c r="D40" s="422"/>
    </row>
    <row r="41" spans="1:4" ht="20.100000000000001" customHeight="1">
      <c r="A41" s="513"/>
      <c r="B41" s="514"/>
      <c r="C41" s="515"/>
      <c r="D41" s="422"/>
    </row>
    <row r="42" spans="1:4" ht="20.100000000000001" customHeight="1">
      <c r="A42" s="513"/>
      <c r="B42" s="514"/>
      <c r="C42" s="515"/>
      <c r="D42" s="422"/>
    </row>
    <row r="43" spans="1:4" ht="20.100000000000001" customHeight="1">
      <c r="A43" s="513"/>
      <c r="B43" s="514"/>
      <c r="C43" s="515"/>
      <c r="D43" s="422"/>
    </row>
    <row r="44" spans="1:4" ht="26.25" customHeight="1">
      <c r="A44" s="516"/>
      <c r="B44" s="514"/>
      <c r="C44" s="515"/>
      <c r="D44" s="422"/>
    </row>
  </sheetData>
  <sheetProtection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topLeftCell="A4" zoomScaleSheetLayoutView="100" workbookViewId="0">
      <selection activeCell="D10" sqref="D10"/>
    </sheetView>
  </sheetViews>
  <sheetFormatPr baseColWidth="10" defaultColWidth="11.28515625" defaultRowHeight="16.5"/>
  <cols>
    <col min="1" max="1" width="4.28515625" style="125" customWidth="1"/>
    <col min="2" max="2" width="48.28515625" style="107" bestFit="1" customWidth="1"/>
    <col min="3" max="5" width="16.7109375" style="107" customWidth="1"/>
    <col min="6" max="16384" width="11.28515625" style="107"/>
  </cols>
  <sheetData>
    <row r="1" spans="1:7">
      <c r="A1" s="1412" t="s">
        <v>23</v>
      </c>
      <c r="B1" s="1412"/>
      <c r="C1" s="1412"/>
      <c r="D1" s="1412"/>
      <c r="E1" s="1412"/>
    </row>
    <row r="2" spans="1:7">
      <c r="A2" s="1416" t="s">
        <v>284</v>
      </c>
      <c r="B2" s="1416"/>
      <c r="C2" s="1416"/>
      <c r="D2" s="1416"/>
      <c r="E2" s="1416"/>
    </row>
    <row r="3" spans="1:7">
      <c r="A3" s="1191" t="str">
        <f>'ETCA-I-01'!A3:G3</f>
        <v>TELEVISORA DE HERMOSILLO, S.A. DE C.V.</v>
      </c>
      <c r="B3" s="1191"/>
      <c r="C3" s="1191"/>
      <c r="D3" s="1191"/>
      <c r="E3" s="1191"/>
      <c r="G3" s="337"/>
    </row>
    <row r="4" spans="1:7">
      <c r="A4" s="1202" t="str">
        <f>'ETCA-I-03'!A4:D4</f>
        <v>Del 01 de Enero al 30 de Septiembre de 2018</v>
      </c>
      <c r="B4" s="1202"/>
      <c r="C4" s="1202"/>
      <c r="D4" s="1202"/>
      <c r="E4" s="1202"/>
    </row>
    <row r="5" spans="1:7" ht="17.25" thickBot="1">
      <c r="A5" s="338"/>
      <c r="B5" s="1416" t="s">
        <v>879</v>
      </c>
      <c r="C5" s="1416"/>
      <c r="D5" s="52"/>
      <c r="E5" s="338"/>
    </row>
    <row r="6" spans="1:7" s="205" customFormat="1" ht="30" customHeight="1">
      <c r="A6" s="1417" t="s">
        <v>880</v>
      </c>
      <c r="B6" s="1418"/>
      <c r="C6" s="339" t="s">
        <v>881</v>
      </c>
      <c r="D6" s="340" t="s">
        <v>882</v>
      </c>
      <c r="E6" s="341" t="s">
        <v>284</v>
      </c>
    </row>
    <row r="7" spans="1:7" s="205" customFormat="1" ht="30" customHeight="1" thickBot="1">
      <c r="A7" s="1419"/>
      <c r="B7" s="1420"/>
      <c r="C7" s="342" t="s">
        <v>883</v>
      </c>
      <c r="D7" s="342" t="s">
        <v>884</v>
      </c>
      <c r="E7" s="343" t="s">
        <v>885</v>
      </c>
    </row>
    <row r="8" spans="1:7" s="205" customFormat="1" ht="21" customHeight="1">
      <c r="A8" s="1421" t="s">
        <v>886</v>
      </c>
      <c r="B8" s="1422"/>
      <c r="C8" s="1422"/>
      <c r="D8" s="1422"/>
      <c r="E8" s="1423"/>
    </row>
    <row r="9" spans="1:7" s="205" customFormat="1" ht="20.25" customHeight="1">
      <c r="A9" s="344">
        <v>1</v>
      </c>
      <c r="B9" s="345" t="s">
        <v>1348</v>
      </c>
      <c r="C9" s="346"/>
      <c r="D9" s="347">
        <v>7499988</v>
      </c>
      <c r="E9" s="357">
        <f>IF(B9="","",C9-D9)</f>
        <v>-7499988</v>
      </c>
    </row>
    <row r="10" spans="1:7" s="205" customFormat="1" ht="20.25" customHeight="1">
      <c r="A10" s="344">
        <v>2</v>
      </c>
      <c r="B10" s="345"/>
      <c r="C10" s="346"/>
      <c r="D10" s="347"/>
      <c r="E10" s="357" t="str">
        <f t="shared" ref="E10:E18" si="0">IF(B10="","",C10-D10)</f>
        <v/>
      </c>
    </row>
    <row r="11" spans="1:7" s="205" customFormat="1" ht="20.25" customHeight="1">
      <c r="A11" s="344">
        <v>3</v>
      </c>
      <c r="B11" s="345"/>
      <c r="C11" s="346"/>
      <c r="D11" s="347"/>
      <c r="E11" s="357" t="str">
        <f t="shared" si="0"/>
        <v/>
      </c>
    </row>
    <row r="12" spans="1:7" s="205" customFormat="1" ht="20.25" customHeight="1">
      <c r="A12" s="344">
        <v>4</v>
      </c>
      <c r="B12" s="345"/>
      <c r="C12" s="346"/>
      <c r="D12" s="347"/>
      <c r="E12" s="357" t="str">
        <f t="shared" si="0"/>
        <v/>
      </c>
    </row>
    <row r="13" spans="1:7" s="205" customFormat="1" ht="20.25" customHeight="1">
      <c r="A13" s="344">
        <v>5</v>
      </c>
      <c r="B13" s="345"/>
      <c r="C13" s="346"/>
      <c r="D13" s="347"/>
      <c r="E13" s="357" t="str">
        <f t="shared" si="0"/>
        <v/>
      </c>
    </row>
    <row r="14" spans="1:7" s="205" customFormat="1" ht="20.25" customHeight="1">
      <c r="A14" s="344">
        <v>6</v>
      </c>
      <c r="B14" s="345"/>
      <c r="C14" s="346"/>
      <c r="D14" s="347"/>
      <c r="E14" s="357" t="str">
        <f t="shared" si="0"/>
        <v/>
      </c>
    </row>
    <row r="15" spans="1:7" s="205" customFormat="1" ht="20.25" customHeight="1">
      <c r="A15" s="344">
        <v>7</v>
      </c>
      <c r="B15" s="345"/>
      <c r="C15" s="346"/>
      <c r="D15" s="347"/>
      <c r="E15" s="357" t="str">
        <f t="shared" si="0"/>
        <v/>
      </c>
    </row>
    <row r="16" spans="1:7" s="205" customFormat="1" ht="20.25" customHeight="1">
      <c r="A16" s="344">
        <v>8</v>
      </c>
      <c r="B16" s="345"/>
      <c r="C16" s="346"/>
      <c r="D16" s="347"/>
      <c r="E16" s="357" t="str">
        <f t="shared" si="0"/>
        <v/>
      </c>
    </row>
    <row r="17" spans="1:5" s="205" customFormat="1" ht="20.25" customHeight="1">
      <c r="A17" s="344">
        <v>9</v>
      </c>
      <c r="B17" s="345"/>
      <c r="C17" s="346"/>
      <c r="D17" s="347"/>
      <c r="E17" s="357" t="str">
        <f t="shared" si="0"/>
        <v/>
      </c>
    </row>
    <row r="18" spans="1:5" s="205" customFormat="1" ht="20.25" customHeight="1">
      <c r="A18" s="344">
        <v>10</v>
      </c>
      <c r="B18" s="345"/>
      <c r="C18" s="346"/>
      <c r="D18" s="347"/>
      <c r="E18" s="357" t="str">
        <f t="shared" si="0"/>
        <v/>
      </c>
    </row>
    <row r="19" spans="1:5" s="205" customFormat="1" ht="20.25" customHeight="1">
      <c r="A19" s="344"/>
      <c r="B19" s="349" t="s">
        <v>887</v>
      </c>
      <c r="C19" s="355">
        <f>SUM(C9:C18)</f>
        <v>0</v>
      </c>
      <c r="D19" s="356">
        <f>SUM(D9:D18)</f>
        <v>7499988</v>
      </c>
      <c r="E19" s="357">
        <f>SUM(E9:E18)</f>
        <v>-7499988</v>
      </c>
    </row>
    <row r="20" spans="1:5" s="205" customFormat="1" ht="21" customHeight="1">
      <c r="A20" s="1413" t="s">
        <v>888</v>
      </c>
      <c r="B20" s="1414"/>
      <c r="C20" s="1414"/>
      <c r="D20" s="1414"/>
      <c r="E20" s="1415"/>
    </row>
    <row r="21" spans="1:5" s="205" customFormat="1" ht="20.25" customHeight="1">
      <c r="A21" s="344">
        <v>1</v>
      </c>
      <c r="B21" s="345"/>
      <c r="C21" s="346"/>
      <c r="D21" s="347"/>
      <c r="E21" s="357" t="str">
        <f>IF(B21="","",C21-D21)</f>
        <v/>
      </c>
    </row>
    <row r="22" spans="1:5" s="205" customFormat="1" ht="20.25" customHeight="1">
      <c r="A22" s="344">
        <v>2</v>
      </c>
      <c r="B22" s="345"/>
      <c r="C22" s="346"/>
      <c r="D22" s="347"/>
      <c r="E22" s="357" t="str">
        <f t="shared" ref="E22:E30" si="1">IF(B22="","",C22-D22)</f>
        <v/>
      </c>
    </row>
    <row r="23" spans="1:5" s="205" customFormat="1" ht="20.25" customHeight="1">
      <c r="A23" s="344">
        <v>3</v>
      </c>
      <c r="B23" s="345"/>
      <c r="C23" s="346"/>
      <c r="D23" s="347"/>
      <c r="E23" s="357" t="str">
        <f t="shared" si="1"/>
        <v/>
      </c>
    </row>
    <row r="24" spans="1:5" s="205" customFormat="1" ht="20.25" customHeight="1">
      <c r="A24" s="344">
        <v>4</v>
      </c>
      <c r="B24" s="345"/>
      <c r="C24" s="346"/>
      <c r="D24" s="347"/>
      <c r="E24" s="357" t="str">
        <f t="shared" si="1"/>
        <v/>
      </c>
    </row>
    <row r="25" spans="1:5" s="205" customFormat="1" ht="20.25" customHeight="1">
      <c r="A25" s="344">
        <v>5</v>
      </c>
      <c r="B25" s="345"/>
      <c r="C25" s="346"/>
      <c r="D25" s="347"/>
      <c r="E25" s="357" t="str">
        <f t="shared" si="1"/>
        <v/>
      </c>
    </row>
    <row r="26" spans="1:5" s="205" customFormat="1" ht="20.25" customHeight="1">
      <c r="A26" s="344">
        <v>6</v>
      </c>
      <c r="B26" s="345"/>
      <c r="C26" s="346"/>
      <c r="D26" s="347"/>
      <c r="E26" s="357" t="str">
        <f t="shared" si="1"/>
        <v/>
      </c>
    </row>
    <row r="27" spans="1:5" s="205" customFormat="1" ht="20.25" customHeight="1">
      <c r="A27" s="344">
        <v>7</v>
      </c>
      <c r="B27" s="345"/>
      <c r="C27" s="346"/>
      <c r="D27" s="347"/>
      <c r="E27" s="357" t="str">
        <f t="shared" si="1"/>
        <v/>
      </c>
    </row>
    <row r="28" spans="1:5" s="205" customFormat="1" ht="20.25" customHeight="1">
      <c r="A28" s="344">
        <v>8</v>
      </c>
      <c r="B28" s="345"/>
      <c r="C28" s="346"/>
      <c r="D28" s="347"/>
      <c r="E28" s="357" t="str">
        <f>IF(B28="","",C28-D29)</f>
        <v/>
      </c>
    </row>
    <row r="29" spans="1:5" s="205" customFormat="1" ht="20.25" customHeight="1">
      <c r="A29" s="344">
        <v>9</v>
      </c>
      <c r="B29" s="345"/>
      <c r="C29" s="346"/>
      <c r="D29" s="347"/>
      <c r="E29" s="357" t="str">
        <f>IF(B29="","",C29-#REF!)</f>
        <v/>
      </c>
    </row>
    <row r="30" spans="1:5" s="205" customFormat="1" ht="20.25" customHeight="1">
      <c r="A30" s="344">
        <v>10</v>
      </c>
      <c r="B30" s="345"/>
      <c r="C30" s="346"/>
      <c r="D30" s="347"/>
      <c r="E30" s="357" t="str">
        <f t="shared" si="1"/>
        <v/>
      </c>
    </row>
    <row r="31" spans="1:5" s="351" customFormat="1" ht="39.950000000000003" customHeight="1" thickBot="1">
      <c r="A31" s="344"/>
      <c r="B31" s="350" t="s">
        <v>889</v>
      </c>
      <c r="C31" s="355">
        <f>SUM(C21:C30)</f>
        <v>0</v>
      </c>
      <c r="D31" s="356">
        <f>SUM(D21:D30)</f>
        <v>0</v>
      </c>
      <c r="E31" s="357">
        <f>SUM(E21:E30)</f>
        <v>0</v>
      </c>
    </row>
    <row r="32" spans="1:5" ht="30" customHeight="1" thickBot="1">
      <c r="A32" s="352"/>
      <c r="B32" s="353" t="s">
        <v>890</v>
      </c>
      <c r="C32" s="358">
        <f>SUM(C19,C31)</f>
        <v>0</v>
      </c>
      <c r="D32" s="358">
        <f>SUM(D19,D31)</f>
        <v>7499988</v>
      </c>
      <c r="E32" s="359">
        <f>SUM(E19,E31)</f>
        <v>-7499988</v>
      </c>
    </row>
    <row r="33" spans="1:10" ht="17.100000000000001" customHeight="1">
      <c r="A33" s="450" t="s">
        <v>84</v>
      </c>
    </row>
    <row r="34" spans="1:10" ht="17.100000000000001" customHeight="1">
      <c r="A34" s="518"/>
      <c r="B34" s="519"/>
      <c r="C34" s="520"/>
      <c r="D34" s="520"/>
      <c r="E34" s="520"/>
    </row>
    <row r="35" spans="1:10" ht="17.100000000000001" customHeight="1">
      <c r="A35" s="518"/>
      <c r="B35" s="519"/>
      <c r="C35" s="520"/>
      <c r="D35" s="520"/>
      <c r="E35" s="520"/>
    </row>
    <row r="36" spans="1:10" ht="17.100000000000001" customHeight="1">
      <c r="A36" s="518"/>
      <c r="B36" s="519"/>
      <c r="C36" s="520"/>
      <c r="D36" s="520"/>
      <c r="E36" s="520"/>
    </row>
    <row r="37" spans="1:10" ht="17.100000000000001" customHeight="1">
      <c r="A37" s="518"/>
      <c r="B37" s="519"/>
      <c r="C37" s="520"/>
      <c r="D37" s="520"/>
      <c r="E37" s="520"/>
    </row>
    <row r="38" spans="1:10" ht="17.100000000000001" customHeight="1">
      <c r="A38" s="51" t="s">
        <v>255</v>
      </c>
      <c r="J38" s="354"/>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4"/>
  <sheetViews>
    <sheetView view="pageBreakPreview" topLeftCell="A52" zoomScaleSheetLayoutView="100" workbookViewId="0">
      <selection activeCell="F65" sqref="F65"/>
    </sheetView>
  </sheetViews>
  <sheetFormatPr baseColWidth="10" defaultColWidth="11.42578125" defaultRowHeight="15"/>
  <cols>
    <col min="1" max="1" width="40.28515625" customWidth="1"/>
    <col min="2" max="2" width="14" customWidth="1"/>
    <col min="3" max="3" width="16.85546875" customWidth="1"/>
    <col min="4" max="4" width="1.28515625" customWidth="1"/>
    <col min="5" max="5" width="40.28515625" customWidth="1"/>
    <col min="6" max="6" width="14" customWidth="1"/>
    <col min="7" max="7" width="15.5703125" customWidth="1"/>
  </cols>
  <sheetData>
    <row r="1" spans="1:7" ht="15.75">
      <c r="A1" s="1182" t="s">
        <v>23</v>
      </c>
      <c r="B1" s="1182"/>
      <c r="C1" s="1182"/>
      <c r="D1" s="1182"/>
      <c r="E1" s="1182"/>
      <c r="F1" s="1182"/>
      <c r="G1" s="1182"/>
    </row>
    <row r="2" spans="1:7" ht="14.25" customHeight="1">
      <c r="A2" s="1183" t="s">
        <v>86</v>
      </c>
      <c r="B2" s="1183"/>
      <c r="C2" s="1183"/>
      <c r="D2" s="1183"/>
      <c r="E2" s="1183"/>
      <c r="F2" s="1183"/>
      <c r="G2" s="1183"/>
    </row>
    <row r="3" spans="1:7" s="51" customFormat="1" ht="14.25" customHeight="1">
      <c r="A3" s="1183" t="str">
        <f>'ETCA-I-01'!A3:G3</f>
        <v>TELEVISORA DE HERMOSILLO, S.A. DE C.V.</v>
      </c>
      <c r="B3" s="1183"/>
      <c r="C3" s="1183"/>
      <c r="D3" s="1183"/>
      <c r="E3" s="1183"/>
      <c r="F3" s="1183"/>
      <c r="G3" s="1183"/>
    </row>
    <row r="4" spans="1:7" ht="12.75" customHeight="1">
      <c r="A4" s="1187" t="s">
        <v>1343</v>
      </c>
      <c r="B4" s="1187"/>
      <c r="C4" s="1187"/>
      <c r="D4" s="1187"/>
      <c r="E4" s="1187"/>
      <c r="F4" s="1187"/>
      <c r="G4" s="1187"/>
    </row>
    <row r="5" spans="1:7" ht="12" customHeight="1" thickBot="1">
      <c r="A5" s="1188" t="s">
        <v>87</v>
      </c>
      <c r="B5" s="1188"/>
      <c r="C5" s="1188"/>
      <c r="D5" s="1188"/>
      <c r="E5" s="1188"/>
      <c r="F5" s="1188"/>
      <c r="G5" s="1188"/>
    </row>
    <row r="6" spans="1:7" ht="26.25" thickBot="1">
      <c r="A6" s="692" t="s">
        <v>88</v>
      </c>
      <c r="B6" s="848">
        <v>2018</v>
      </c>
      <c r="C6" s="848" t="s">
        <v>1072</v>
      </c>
      <c r="D6" s="693"/>
      <c r="E6" s="694" t="s">
        <v>88</v>
      </c>
      <c r="F6" s="848">
        <v>2018</v>
      </c>
      <c r="G6" s="848" t="s">
        <v>1072</v>
      </c>
    </row>
    <row r="7" spans="1:7" ht="15.75" customHeight="1">
      <c r="A7" s="615" t="s">
        <v>26</v>
      </c>
      <c r="B7" s="698"/>
      <c r="C7" s="698"/>
      <c r="D7" s="699"/>
      <c r="E7" s="698" t="s">
        <v>27</v>
      </c>
      <c r="F7" s="698"/>
      <c r="G7" s="698"/>
    </row>
    <row r="8" spans="1:7" ht="10.5" customHeight="1">
      <c r="A8" s="615" t="s">
        <v>28</v>
      </c>
      <c r="B8" s="700"/>
      <c r="C8" s="700"/>
      <c r="D8" s="699"/>
      <c r="E8" s="698" t="s">
        <v>29</v>
      </c>
      <c r="F8" s="700"/>
      <c r="G8" s="700"/>
    </row>
    <row r="9" spans="1:7" s="663" customFormat="1" ht="25.5">
      <c r="A9" s="615" t="s">
        <v>89</v>
      </c>
      <c r="B9" s="671">
        <f>SUM(B10:B16)</f>
        <v>1896281</v>
      </c>
      <c r="C9" s="671">
        <f>SUM(C10:C16)</f>
        <v>2827050</v>
      </c>
      <c r="D9" s="701"/>
      <c r="E9" s="698" t="s">
        <v>90</v>
      </c>
      <c r="F9" s="671">
        <f>SUM(F10:F18)</f>
        <v>29509651</v>
      </c>
      <c r="G9" s="671">
        <f>SUM(G10:G18)</f>
        <v>26159828</v>
      </c>
    </row>
    <row r="10" spans="1:7">
      <c r="A10" s="702" t="s">
        <v>91</v>
      </c>
      <c r="B10" s="703">
        <v>26000</v>
      </c>
      <c r="C10" s="703">
        <v>26000</v>
      </c>
      <c r="D10" s="699"/>
      <c r="E10" s="700" t="s">
        <v>92</v>
      </c>
      <c r="F10" s="703">
        <v>0</v>
      </c>
      <c r="G10" s="703">
        <v>0</v>
      </c>
    </row>
    <row r="11" spans="1:7">
      <c r="A11" s="702" t="s">
        <v>93</v>
      </c>
      <c r="B11" s="703">
        <v>1870281</v>
      </c>
      <c r="C11" s="703">
        <v>2801050</v>
      </c>
      <c r="D11" s="699"/>
      <c r="E11" s="700" t="s">
        <v>94</v>
      </c>
      <c r="F11" s="703">
        <v>617088</v>
      </c>
      <c r="G11" s="703">
        <v>770248</v>
      </c>
    </row>
    <row r="12" spans="1:7">
      <c r="A12" s="702" t="s">
        <v>95</v>
      </c>
      <c r="B12" s="703">
        <v>0</v>
      </c>
      <c r="C12" s="703">
        <v>0</v>
      </c>
      <c r="D12" s="699"/>
      <c r="E12" s="700" t="s">
        <v>96</v>
      </c>
      <c r="F12" s="703">
        <v>0</v>
      </c>
      <c r="G12" s="703">
        <v>0</v>
      </c>
    </row>
    <row r="13" spans="1:7">
      <c r="A13" s="702" t="s">
        <v>97</v>
      </c>
      <c r="B13" s="703">
        <v>0</v>
      </c>
      <c r="C13" s="703">
        <v>0</v>
      </c>
      <c r="D13" s="699"/>
      <c r="E13" s="700" t="s">
        <v>98</v>
      </c>
      <c r="F13" s="703">
        <v>0</v>
      </c>
      <c r="G13" s="703">
        <v>0</v>
      </c>
    </row>
    <row r="14" spans="1:7">
      <c r="A14" s="702" t="s">
        <v>99</v>
      </c>
      <c r="B14" s="703">
        <v>0</v>
      </c>
      <c r="C14" s="703">
        <v>0</v>
      </c>
      <c r="D14" s="699"/>
      <c r="E14" s="700" t="s">
        <v>100</v>
      </c>
      <c r="F14" s="703">
        <v>0</v>
      </c>
      <c r="G14" s="703">
        <v>0</v>
      </c>
    </row>
    <row r="15" spans="1:7" ht="25.5">
      <c r="A15" s="702" t="s">
        <v>101</v>
      </c>
      <c r="B15" s="703">
        <v>0</v>
      </c>
      <c r="C15" s="703">
        <v>0</v>
      </c>
      <c r="D15" s="699"/>
      <c r="E15" s="700" t="s">
        <v>102</v>
      </c>
      <c r="F15" s="703">
        <v>0</v>
      </c>
      <c r="G15" s="703">
        <v>0</v>
      </c>
    </row>
    <row r="16" spans="1:7">
      <c r="A16" s="702" t="s">
        <v>103</v>
      </c>
      <c r="B16" s="703">
        <v>0</v>
      </c>
      <c r="C16" s="703">
        <v>0</v>
      </c>
      <c r="D16" s="699"/>
      <c r="E16" s="700" t="s">
        <v>104</v>
      </c>
      <c r="F16" s="703">
        <v>5182154</v>
      </c>
      <c r="G16" s="703">
        <f>9458941</f>
        <v>9458941</v>
      </c>
    </row>
    <row r="17" spans="1:7" ht="25.5">
      <c r="A17" s="624" t="s">
        <v>105</v>
      </c>
      <c r="B17" s="671">
        <f>SUM(B18:B24)</f>
        <v>27501636</v>
      </c>
      <c r="C17" s="671">
        <f>SUM(C18:C24)</f>
        <v>32673106</v>
      </c>
      <c r="D17" s="699"/>
      <c r="E17" s="700" t="s">
        <v>106</v>
      </c>
      <c r="F17" s="703">
        <v>0</v>
      </c>
      <c r="G17" s="703">
        <v>0</v>
      </c>
    </row>
    <row r="18" spans="1:7">
      <c r="A18" s="704" t="s">
        <v>107</v>
      </c>
      <c r="B18" s="703">
        <v>0</v>
      </c>
      <c r="C18" s="703">
        <v>0</v>
      </c>
      <c r="D18" s="699"/>
      <c r="E18" s="700" t="s">
        <v>108</v>
      </c>
      <c r="F18" s="703">
        <v>23710409</v>
      </c>
      <c r="G18" s="703">
        <v>15930639</v>
      </c>
    </row>
    <row r="19" spans="1:7" ht="19.5" customHeight="1">
      <c r="A19" s="704" t="s">
        <v>109</v>
      </c>
      <c r="B19" s="703">
        <v>17228693</v>
      </c>
      <c r="C19" s="703">
        <v>22908070</v>
      </c>
      <c r="D19" s="699"/>
      <c r="E19" s="698" t="s">
        <v>110</v>
      </c>
      <c r="F19" s="671">
        <f>SUM(F20:F22)</f>
        <v>0</v>
      </c>
      <c r="G19" s="671">
        <f>SUM(G20:G22)</f>
        <v>0</v>
      </c>
    </row>
    <row r="20" spans="1:7" ht="15.75" customHeight="1">
      <c r="A20" s="704" t="s">
        <v>111</v>
      </c>
      <c r="B20" s="703">
        <v>413346</v>
      </c>
      <c r="C20" s="703">
        <v>35474</v>
      </c>
      <c r="D20" s="699"/>
      <c r="E20" s="700" t="s">
        <v>112</v>
      </c>
      <c r="F20" s="703">
        <v>0</v>
      </c>
      <c r="G20" s="703">
        <v>0</v>
      </c>
    </row>
    <row r="21" spans="1:7" ht="25.5">
      <c r="A21" s="704" t="s">
        <v>113</v>
      </c>
      <c r="B21" s="703">
        <v>0</v>
      </c>
      <c r="C21" s="703">
        <v>0</v>
      </c>
      <c r="D21" s="699"/>
      <c r="E21" s="700" t="s">
        <v>114</v>
      </c>
      <c r="F21" s="703">
        <v>0</v>
      </c>
      <c r="G21" s="703">
        <v>0</v>
      </c>
    </row>
    <row r="22" spans="1:7" ht="14.25" customHeight="1">
      <c r="A22" s="704" t="s">
        <v>115</v>
      </c>
      <c r="B22" s="703">
        <v>0</v>
      </c>
      <c r="C22" s="703">
        <v>0</v>
      </c>
      <c r="D22" s="699"/>
      <c r="E22" s="700" t="s">
        <v>116</v>
      </c>
      <c r="F22" s="703">
        <v>0</v>
      </c>
      <c r="G22" s="703">
        <v>0</v>
      </c>
    </row>
    <row r="23" spans="1:7" ht="25.5">
      <c r="A23" s="704" t="s">
        <v>117</v>
      </c>
      <c r="B23" s="703">
        <v>0</v>
      </c>
      <c r="C23" s="703">
        <v>0</v>
      </c>
      <c r="D23" s="699"/>
      <c r="E23" s="698" t="s">
        <v>118</v>
      </c>
      <c r="F23" s="671">
        <f>SUM(F24:F25)</f>
        <v>9999984</v>
      </c>
      <c r="G23" s="671">
        <f>SUM(G24:G25)</f>
        <v>0</v>
      </c>
    </row>
    <row r="24" spans="1:7" ht="25.5">
      <c r="A24" s="704" t="s">
        <v>119</v>
      </c>
      <c r="B24" s="703">
        <v>9859597</v>
      </c>
      <c r="C24" s="703">
        <f>9729563-1</f>
        <v>9729562</v>
      </c>
      <c r="D24" s="699"/>
      <c r="E24" s="700" t="s">
        <v>120</v>
      </c>
      <c r="F24" s="703">
        <v>9999984</v>
      </c>
      <c r="G24" s="703">
        <v>0</v>
      </c>
    </row>
    <row r="25" spans="1:7" ht="25.5">
      <c r="A25" s="615" t="s">
        <v>121</v>
      </c>
      <c r="B25" s="671">
        <f>SUM(B26:B30)</f>
        <v>109441</v>
      </c>
      <c r="C25" s="671">
        <f>SUM(C26:C30)</f>
        <v>69132</v>
      </c>
      <c r="D25" s="699"/>
      <c r="E25" s="700" t="s">
        <v>122</v>
      </c>
      <c r="F25" s="703">
        <v>0</v>
      </c>
      <c r="G25" s="703">
        <v>0</v>
      </c>
    </row>
    <row r="26" spans="1:7" ht="25.5">
      <c r="A26" s="704" t="s">
        <v>123</v>
      </c>
      <c r="B26" s="703">
        <v>109441</v>
      </c>
      <c r="C26" s="703">
        <v>69132</v>
      </c>
      <c r="D26" s="699"/>
      <c r="E26" s="700" t="s">
        <v>124</v>
      </c>
      <c r="F26" s="703">
        <v>0</v>
      </c>
      <c r="G26" s="703">
        <v>0</v>
      </c>
    </row>
    <row r="27" spans="1:7" ht="25.5">
      <c r="A27" s="704" t="s">
        <v>125</v>
      </c>
      <c r="B27" s="703">
        <v>0</v>
      </c>
      <c r="C27" s="703">
        <v>0</v>
      </c>
      <c r="D27" s="699"/>
      <c r="E27" s="698" t="s">
        <v>126</v>
      </c>
      <c r="F27" s="671">
        <f>SUM(F28:F30)</f>
        <v>0</v>
      </c>
      <c r="G27" s="671">
        <f>SUM(G28:G30)</f>
        <v>0</v>
      </c>
    </row>
    <row r="28" spans="1:7" ht="25.5">
      <c r="A28" s="704" t="s">
        <v>127</v>
      </c>
      <c r="B28" s="703">
        <v>0</v>
      </c>
      <c r="C28" s="703">
        <v>0</v>
      </c>
      <c r="D28" s="699"/>
      <c r="E28" s="700" t="s">
        <v>128</v>
      </c>
      <c r="F28" s="703">
        <v>0</v>
      </c>
      <c r="G28" s="703">
        <v>0</v>
      </c>
    </row>
    <row r="29" spans="1:7" ht="17.25" customHeight="1">
      <c r="A29" s="704" t="s">
        <v>129</v>
      </c>
      <c r="B29" s="703">
        <v>0</v>
      </c>
      <c r="C29" s="703">
        <v>0</v>
      </c>
      <c r="D29" s="699"/>
      <c r="E29" s="700" t="s">
        <v>130</v>
      </c>
      <c r="F29" s="703">
        <v>0</v>
      </c>
      <c r="G29" s="703">
        <v>0</v>
      </c>
    </row>
    <row r="30" spans="1:7">
      <c r="A30" s="704" t="s">
        <v>131</v>
      </c>
      <c r="B30" s="703">
        <v>0</v>
      </c>
      <c r="C30" s="703">
        <v>0</v>
      </c>
      <c r="D30" s="699"/>
      <c r="E30" s="700" t="s">
        <v>132</v>
      </c>
      <c r="F30" s="703">
        <v>0</v>
      </c>
      <c r="G30" s="703">
        <v>0</v>
      </c>
    </row>
    <row r="31" spans="1:7" ht="25.5">
      <c r="A31" s="615" t="s">
        <v>133</v>
      </c>
      <c r="B31" s="671">
        <f>SUM(B32:B36)</f>
        <v>0</v>
      </c>
      <c r="C31" s="671">
        <f>SUM(C32:C36)</f>
        <v>0</v>
      </c>
      <c r="D31" s="699"/>
      <c r="E31" s="698" t="s">
        <v>134</v>
      </c>
      <c r="F31" s="671">
        <f>SUM(F32:F37)</f>
        <v>0</v>
      </c>
      <c r="G31" s="671">
        <f>SUM(G32:G37)</f>
        <v>0</v>
      </c>
    </row>
    <row r="32" spans="1:7" ht="12.75" customHeight="1">
      <c r="A32" s="704" t="s">
        <v>135</v>
      </c>
      <c r="B32" s="703">
        <v>0</v>
      </c>
      <c r="C32" s="703">
        <v>0</v>
      </c>
      <c r="D32" s="699"/>
      <c r="E32" s="700" t="s">
        <v>136</v>
      </c>
      <c r="F32" s="703">
        <v>0</v>
      </c>
      <c r="G32" s="703">
        <v>0</v>
      </c>
    </row>
    <row r="33" spans="1:7" ht="12.75" customHeight="1">
      <c r="A33" s="704" t="s">
        <v>137</v>
      </c>
      <c r="B33" s="703">
        <v>0</v>
      </c>
      <c r="C33" s="703">
        <v>0</v>
      </c>
      <c r="D33" s="699"/>
      <c r="E33" s="700" t="s">
        <v>138</v>
      </c>
      <c r="F33" s="703">
        <v>0</v>
      </c>
      <c r="G33" s="703">
        <v>0</v>
      </c>
    </row>
    <row r="34" spans="1:7" ht="12.75" customHeight="1">
      <c r="A34" s="704" t="s">
        <v>139</v>
      </c>
      <c r="B34" s="703">
        <v>0</v>
      </c>
      <c r="C34" s="703">
        <v>0</v>
      </c>
      <c r="D34" s="699"/>
      <c r="E34" s="700" t="s">
        <v>140</v>
      </c>
      <c r="F34" s="703">
        <v>0</v>
      </c>
      <c r="G34" s="703">
        <v>0</v>
      </c>
    </row>
    <row r="35" spans="1:7" ht="25.5">
      <c r="A35" s="704" t="s">
        <v>141</v>
      </c>
      <c r="B35" s="703">
        <v>0</v>
      </c>
      <c r="C35" s="703">
        <v>0</v>
      </c>
      <c r="D35" s="707"/>
      <c r="E35" s="700" t="s">
        <v>142</v>
      </c>
      <c r="F35" s="703">
        <v>0</v>
      </c>
      <c r="G35" s="703">
        <v>0</v>
      </c>
    </row>
    <row r="36" spans="1:7" ht="25.5">
      <c r="A36" s="704" t="s">
        <v>143</v>
      </c>
      <c r="B36" s="703">
        <v>0</v>
      </c>
      <c r="C36" s="703">
        <v>0</v>
      </c>
      <c r="D36" s="699"/>
      <c r="E36" s="700" t="s">
        <v>144</v>
      </c>
      <c r="F36" s="703">
        <v>0</v>
      </c>
      <c r="G36" s="703">
        <v>0</v>
      </c>
    </row>
    <row r="37" spans="1:7" ht="16.5" customHeight="1" thickBot="1">
      <c r="A37" s="626" t="s">
        <v>145</v>
      </c>
      <c r="B37" s="706">
        <v>0</v>
      </c>
      <c r="C37" s="706">
        <v>0</v>
      </c>
      <c r="D37" s="696"/>
      <c r="E37" s="697" t="s">
        <v>146</v>
      </c>
      <c r="F37" s="706">
        <v>0</v>
      </c>
      <c r="G37" s="706">
        <v>0</v>
      </c>
    </row>
    <row r="38" spans="1:7" ht="25.5">
      <c r="A38" s="722" t="s">
        <v>147</v>
      </c>
      <c r="B38" s="723">
        <f>SUM(B39:B40)</f>
        <v>-148728</v>
      </c>
      <c r="C38" s="723">
        <f>SUM(C39:C40)</f>
        <v>-148728</v>
      </c>
      <c r="D38" s="724"/>
      <c r="E38" s="725" t="s">
        <v>148</v>
      </c>
      <c r="F38" s="723">
        <f>SUM(F39:F41)</f>
        <v>0</v>
      </c>
      <c r="G38" s="723">
        <f>SUM(G39:G41)</f>
        <v>0</v>
      </c>
    </row>
    <row r="39" spans="1:7" ht="25.5">
      <c r="A39" s="704" t="s">
        <v>149</v>
      </c>
      <c r="B39" s="703">
        <v>-148728</v>
      </c>
      <c r="C39" s="703">
        <v>-148728</v>
      </c>
      <c r="D39" s="707"/>
      <c r="E39" s="700" t="s">
        <v>150</v>
      </c>
      <c r="F39" s="703">
        <v>0</v>
      </c>
      <c r="G39" s="703">
        <v>0</v>
      </c>
    </row>
    <row r="40" spans="1:7">
      <c r="A40" s="704" t="s">
        <v>151</v>
      </c>
      <c r="B40" s="703">
        <v>0</v>
      </c>
      <c r="C40" s="703">
        <v>0</v>
      </c>
      <c r="D40" s="699"/>
      <c r="E40" s="700" t="s">
        <v>152</v>
      </c>
      <c r="F40" s="703">
        <v>0</v>
      </c>
      <c r="G40" s="703">
        <v>0</v>
      </c>
    </row>
    <row r="41" spans="1:7" ht="12" customHeight="1">
      <c r="A41" s="615" t="s">
        <v>153</v>
      </c>
      <c r="B41" s="671">
        <f>SUM(B42:B45)</f>
        <v>0</v>
      </c>
      <c r="C41" s="671">
        <f>SUM(C42:C45)</f>
        <v>0</v>
      </c>
      <c r="D41" s="699"/>
      <c r="E41" s="700" t="s">
        <v>154</v>
      </c>
      <c r="F41" s="703">
        <v>0</v>
      </c>
      <c r="G41" s="703">
        <v>0</v>
      </c>
    </row>
    <row r="42" spans="1:7" ht="12" customHeight="1">
      <c r="A42" s="704" t="s">
        <v>155</v>
      </c>
      <c r="B42" s="703">
        <v>0</v>
      </c>
      <c r="C42" s="703">
        <v>0</v>
      </c>
      <c r="D42" s="699"/>
      <c r="E42" s="698" t="s">
        <v>156</v>
      </c>
      <c r="F42" s="683">
        <f>SUM(F43:F45)</f>
        <v>0</v>
      </c>
      <c r="G42" s="683">
        <f>SUM(G43:G45)</f>
        <v>0</v>
      </c>
    </row>
    <row r="43" spans="1:7" ht="12" customHeight="1">
      <c r="A43" s="704" t="s">
        <v>157</v>
      </c>
      <c r="B43" s="703">
        <v>0</v>
      </c>
      <c r="C43" s="703">
        <v>0</v>
      </c>
      <c r="D43" s="699"/>
      <c r="E43" s="700" t="s">
        <v>158</v>
      </c>
      <c r="F43" s="703">
        <v>0</v>
      </c>
      <c r="G43" s="703">
        <v>0</v>
      </c>
    </row>
    <row r="44" spans="1:7" ht="25.5">
      <c r="A44" s="704" t="s">
        <v>159</v>
      </c>
      <c r="B44" s="703">
        <v>0</v>
      </c>
      <c r="C44" s="703">
        <v>0</v>
      </c>
      <c r="D44" s="699"/>
      <c r="E44" s="700" t="s">
        <v>160</v>
      </c>
      <c r="F44" s="703">
        <v>0</v>
      </c>
      <c r="G44" s="703">
        <v>0</v>
      </c>
    </row>
    <row r="45" spans="1:7" ht="13.5" customHeight="1">
      <c r="A45" s="704" t="s">
        <v>161</v>
      </c>
      <c r="B45" s="703">
        <v>0</v>
      </c>
      <c r="C45" s="703">
        <v>0</v>
      </c>
      <c r="D45" s="699"/>
      <c r="E45" s="700" t="s">
        <v>162</v>
      </c>
      <c r="F45" s="703">
        <v>0</v>
      </c>
      <c r="G45" s="703">
        <v>0</v>
      </c>
    </row>
    <row r="46" spans="1:7" ht="24" customHeight="1">
      <c r="A46" s="615" t="s">
        <v>163</v>
      </c>
      <c r="B46" s="671">
        <f>+B41+B37+B38+B31+B25+B17+B9</f>
        <v>29358630</v>
      </c>
      <c r="C46" s="671">
        <f>+C41+C37+C38+C31+C25+C17+C9</f>
        <v>35420560</v>
      </c>
      <c r="D46" s="699"/>
      <c r="E46" s="698" t="s">
        <v>164</v>
      </c>
      <c r="F46" s="671">
        <f>+F42+F38+F31+F27+F26+F23+F19+F9</f>
        <v>39509635</v>
      </c>
      <c r="G46" s="671">
        <f>+G42+G38+G31+G27+G26+G23+G19+G9</f>
        <v>26159828</v>
      </c>
    </row>
    <row r="47" spans="1:7">
      <c r="A47" s="615" t="s">
        <v>47</v>
      </c>
      <c r="B47" s="705"/>
      <c r="C47" s="705"/>
      <c r="D47" s="707"/>
      <c r="E47" s="698" t="s">
        <v>48</v>
      </c>
      <c r="F47" s="705"/>
      <c r="G47" s="705"/>
    </row>
    <row r="48" spans="1:7" ht="12.75" customHeight="1">
      <c r="A48" s="704" t="s">
        <v>165</v>
      </c>
      <c r="B48" s="703">
        <v>0</v>
      </c>
      <c r="C48" s="703">
        <v>0</v>
      </c>
      <c r="D48" s="699"/>
      <c r="E48" s="700" t="s">
        <v>166</v>
      </c>
      <c r="F48" s="703">
        <v>0</v>
      </c>
      <c r="G48" s="703">
        <v>0</v>
      </c>
    </row>
    <row r="49" spans="1:8" ht="12.75" customHeight="1">
      <c r="A49" s="704" t="s">
        <v>167</v>
      </c>
      <c r="B49" s="703">
        <v>0</v>
      </c>
      <c r="C49" s="703">
        <v>0</v>
      </c>
      <c r="D49" s="699"/>
      <c r="E49" s="700" t="s">
        <v>168</v>
      </c>
      <c r="F49" s="703">
        <v>0</v>
      </c>
      <c r="G49" s="703">
        <v>72627815</v>
      </c>
    </row>
    <row r="50" spans="1:8" ht="15.75" customHeight="1">
      <c r="A50" s="704" t="s">
        <v>169</v>
      </c>
      <c r="B50" s="703">
        <v>21655591</v>
      </c>
      <c r="C50" s="703">
        <v>21655591</v>
      </c>
      <c r="D50" s="699"/>
      <c r="E50" s="700" t="s">
        <v>170</v>
      </c>
      <c r="F50" s="703">
        <v>55000056</v>
      </c>
      <c r="G50" s="703">
        <v>0</v>
      </c>
    </row>
    <row r="51" spans="1:8" ht="12" customHeight="1">
      <c r="A51" s="704" t="s">
        <v>171</v>
      </c>
      <c r="B51" s="703">
        <v>108756197</v>
      </c>
      <c r="C51" s="703">
        <v>109992034</v>
      </c>
      <c r="D51" s="699"/>
      <c r="E51" s="700" t="s">
        <v>172</v>
      </c>
      <c r="F51" s="703">
        <v>0</v>
      </c>
      <c r="G51" s="703">
        <v>0</v>
      </c>
    </row>
    <row r="52" spans="1:8" ht="25.5">
      <c r="A52" s="704" t="s">
        <v>173</v>
      </c>
      <c r="B52" s="703">
        <v>247385</v>
      </c>
      <c r="C52" s="703">
        <v>247385</v>
      </c>
      <c r="D52" s="699"/>
      <c r="E52" s="700" t="s">
        <v>174</v>
      </c>
      <c r="F52" s="703">
        <v>0</v>
      </c>
      <c r="G52" s="703">
        <v>0</v>
      </c>
    </row>
    <row r="53" spans="1:8">
      <c r="A53" s="704" t="s">
        <v>175</v>
      </c>
      <c r="B53" s="703">
        <v>-62281459</v>
      </c>
      <c r="C53" s="703">
        <v>-48242539</v>
      </c>
      <c r="D53" s="701"/>
      <c r="E53" s="700" t="s">
        <v>176</v>
      </c>
      <c r="F53" s="703">
        <v>585944</v>
      </c>
      <c r="G53" s="703">
        <v>3050206</v>
      </c>
    </row>
    <row r="54" spans="1:8" ht="11.25" customHeight="1">
      <c r="A54" s="704" t="s">
        <v>177</v>
      </c>
      <c r="B54" s="703">
        <v>12906352</v>
      </c>
      <c r="C54" s="703">
        <v>13254489</v>
      </c>
      <c r="D54" s="701"/>
      <c r="E54" s="698"/>
      <c r="F54" s="705"/>
      <c r="G54" s="705"/>
    </row>
    <row r="55" spans="1:8" ht="19.5" customHeight="1">
      <c r="A55" s="704" t="s">
        <v>178</v>
      </c>
      <c r="B55" s="703">
        <v>0</v>
      </c>
      <c r="C55" s="703">
        <v>0</v>
      </c>
      <c r="D55" s="701"/>
      <c r="E55" s="698" t="s">
        <v>179</v>
      </c>
      <c r="F55" s="671">
        <f>SUM(F47:F53)</f>
        <v>55586000</v>
      </c>
      <c r="G55" s="671">
        <f>SUM(G47:G53)</f>
        <v>75678021</v>
      </c>
    </row>
    <row r="56" spans="1:8" ht="13.5" customHeight="1">
      <c r="A56" s="704" t="s">
        <v>180</v>
      </c>
      <c r="B56" s="703">
        <v>13624403</v>
      </c>
      <c r="C56" s="703">
        <v>8004337</v>
      </c>
      <c r="D56" s="699"/>
      <c r="E56" s="617"/>
      <c r="F56" s="705"/>
      <c r="G56" s="705"/>
    </row>
    <row r="57" spans="1:8" ht="25.5">
      <c r="A57" s="615" t="s">
        <v>181</v>
      </c>
      <c r="B57" s="671">
        <f>SUM(B48:B56)</f>
        <v>94908469</v>
      </c>
      <c r="C57" s="671">
        <f>SUM(C48:C56)</f>
        <v>104911297</v>
      </c>
      <c r="D57" s="699"/>
      <c r="E57" s="698" t="s">
        <v>182</v>
      </c>
      <c r="F57" s="671">
        <f>+F46+F55-1</f>
        <v>95095634</v>
      </c>
      <c r="G57" s="671">
        <f>+G46+G55</f>
        <v>101837849</v>
      </c>
    </row>
    <row r="58" spans="1:8" ht="14.25" customHeight="1">
      <c r="A58" s="704"/>
      <c r="B58" s="705"/>
      <c r="C58" s="705"/>
      <c r="D58" s="701"/>
      <c r="E58" s="698" t="s">
        <v>183</v>
      </c>
      <c r="F58" s="705"/>
      <c r="G58" s="705"/>
    </row>
    <row r="59" spans="1:8" ht="15" customHeight="1">
      <c r="A59" s="615" t="s">
        <v>184</v>
      </c>
      <c r="B59" s="671">
        <f>+B46+B57</f>
        <v>124267099</v>
      </c>
      <c r="C59" s="671">
        <f>+C46+C57</f>
        <v>140331857</v>
      </c>
      <c r="D59" s="699"/>
      <c r="E59" s="698" t="s">
        <v>185</v>
      </c>
      <c r="F59" s="671">
        <f>SUM(F60:F62)</f>
        <v>90494826</v>
      </c>
      <c r="G59" s="671">
        <f>SUM(G60:G62)</f>
        <v>90494826</v>
      </c>
      <c r="H59" s="430" t="str">
        <f>IF(C59&lt;&gt;'ETCA-I-01'!C33,"ERROR!!!!! ELTOTAL DE ACTIVO, NO CONCUERDA CON LO REPORTADO EN EL ESTADO DE SITUACION FINANCIERA","")</f>
        <v/>
      </c>
    </row>
    <row r="60" spans="1:8" ht="12" customHeight="1">
      <c r="A60" s="704"/>
      <c r="B60" s="708"/>
      <c r="C60" s="708"/>
      <c r="D60" s="699"/>
      <c r="E60" s="700" t="s">
        <v>186</v>
      </c>
      <c r="F60" s="703">
        <v>90494826</v>
      </c>
      <c r="G60" s="703">
        <v>90494826</v>
      </c>
      <c r="H60" s="430" t="str">
        <f>IF(B59&lt;&gt;'ETCA-I-01'!B33,"ERROR!!!!! ELTOTAL DE ACTIVO, NO CONCUERDA CON LO REPORTADO EN EL ESTADO DE SITUACION FINANCIERA","")</f>
        <v/>
      </c>
    </row>
    <row r="61" spans="1:8" ht="11.25" customHeight="1">
      <c r="A61" s="704"/>
      <c r="B61" s="708"/>
      <c r="C61" s="708"/>
      <c r="D61" s="699"/>
      <c r="E61" s="700" t="s">
        <v>187</v>
      </c>
      <c r="F61" s="703">
        <v>0</v>
      </c>
      <c r="G61" s="703">
        <v>0</v>
      </c>
    </row>
    <row r="62" spans="1:8" ht="10.5" customHeight="1">
      <c r="A62" s="704"/>
      <c r="B62" s="708"/>
      <c r="C62" s="708"/>
      <c r="D62" s="699"/>
      <c r="E62" s="700" t="s">
        <v>188</v>
      </c>
      <c r="F62" s="703">
        <v>0</v>
      </c>
      <c r="G62" s="703">
        <v>0</v>
      </c>
    </row>
    <row r="63" spans="1:8" ht="25.5">
      <c r="A63" s="704"/>
      <c r="B63" s="708"/>
      <c r="C63" s="708"/>
      <c r="D63" s="699"/>
      <c r="E63" s="698" t="s">
        <v>189</v>
      </c>
      <c r="F63" s="671">
        <f>SUM(F64:F68)</f>
        <v>-66399661</v>
      </c>
      <c r="G63" s="671">
        <f>SUM(G64:G68)</f>
        <v>-57077118</v>
      </c>
    </row>
    <row r="64" spans="1:8">
      <c r="A64" s="704"/>
      <c r="B64" s="708"/>
      <c r="C64" s="708"/>
      <c r="D64" s="699"/>
      <c r="E64" s="700" t="s">
        <v>190</v>
      </c>
      <c r="F64" s="703">
        <v>-10797531</v>
      </c>
      <c r="G64" s="703">
        <v>-5189005</v>
      </c>
    </row>
    <row r="65" spans="1:8">
      <c r="A65" s="704"/>
      <c r="B65" s="708"/>
      <c r="C65" s="708"/>
      <c r="D65" s="699"/>
      <c r="E65" s="700" t="s">
        <v>191</v>
      </c>
      <c r="F65" s="703">
        <v>-82426461</v>
      </c>
      <c r="G65" s="703">
        <v>-80180316</v>
      </c>
    </row>
    <row r="66" spans="1:8" ht="12.75" customHeight="1">
      <c r="A66" s="704"/>
      <c r="B66" s="708"/>
      <c r="C66" s="708"/>
      <c r="D66" s="699"/>
      <c r="E66" s="700" t="s">
        <v>192</v>
      </c>
      <c r="F66" s="703">
        <v>28299319</v>
      </c>
      <c r="G66" s="703">
        <v>28299319</v>
      </c>
    </row>
    <row r="67" spans="1:8" ht="12" customHeight="1">
      <c r="A67" s="704"/>
      <c r="B67" s="708"/>
      <c r="C67" s="708"/>
      <c r="D67" s="699"/>
      <c r="E67" s="700" t="s">
        <v>193</v>
      </c>
      <c r="F67" s="703">
        <v>0</v>
      </c>
      <c r="G67" s="703">
        <v>0</v>
      </c>
    </row>
    <row r="68" spans="1:8" ht="17.25" customHeight="1">
      <c r="A68" s="704"/>
      <c r="B68" s="708"/>
      <c r="C68" s="708"/>
      <c r="D68" s="699"/>
      <c r="E68" s="700" t="s">
        <v>194</v>
      </c>
      <c r="F68" s="703">
        <v>-1474988</v>
      </c>
      <c r="G68" s="703">
        <v>-7116</v>
      </c>
    </row>
    <row r="69" spans="1:8" ht="25.5">
      <c r="A69" s="704"/>
      <c r="B69" s="708"/>
      <c r="C69" s="708"/>
      <c r="D69" s="699"/>
      <c r="E69" s="698" t="s">
        <v>195</v>
      </c>
      <c r="F69" s="671">
        <f>SUM(F70:F71)</f>
        <v>5076300</v>
      </c>
      <c r="G69" s="671">
        <f>SUM(G70:G71)</f>
        <v>5076300</v>
      </c>
    </row>
    <row r="70" spans="1:8">
      <c r="A70" s="704"/>
      <c r="B70" s="708"/>
      <c r="C70" s="708"/>
      <c r="D70" s="699"/>
      <c r="E70" s="700" t="s">
        <v>196</v>
      </c>
      <c r="F70" s="703">
        <v>0</v>
      </c>
      <c r="G70" s="703">
        <v>0</v>
      </c>
    </row>
    <row r="71" spans="1:8" ht="14.25" customHeight="1">
      <c r="A71" s="704"/>
      <c r="B71" s="708"/>
      <c r="C71" s="708"/>
      <c r="D71" s="699"/>
      <c r="E71" s="700" t="s">
        <v>197</v>
      </c>
      <c r="F71" s="703">
        <v>5076300</v>
      </c>
      <c r="G71" s="703">
        <v>5076300</v>
      </c>
    </row>
    <row r="72" spans="1:8" ht="15" customHeight="1">
      <c r="A72" s="704"/>
      <c r="B72" s="708"/>
      <c r="C72" s="708"/>
      <c r="D72" s="699"/>
      <c r="E72" s="698" t="s">
        <v>198</v>
      </c>
      <c r="F72" s="671">
        <f>+F59+F63+F69</f>
        <v>29171465</v>
      </c>
      <c r="G72" s="671">
        <f>+G59+G63+G69</f>
        <v>38494008</v>
      </c>
    </row>
    <row r="73" spans="1:8" ht="19.5" customHeight="1" thickBot="1">
      <c r="A73" s="626"/>
      <c r="B73" s="695"/>
      <c r="C73" s="695"/>
      <c r="D73" s="696"/>
      <c r="E73" s="627" t="s">
        <v>199</v>
      </c>
      <c r="F73" s="756">
        <f>+F57+F72</f>
        <v>124267099</v>
      </c>
      <c r="G73" s="709">
        <f>+G57+G72</f>
        <v>140331857</v>
      </c>
      <c r="H73" s="430" t="str">
        <f>IF((G73-'ETCA-I-01'!G52)&gt;0.9,"ERROR!!!!! ELTOTAL DE DEL PATRIMONIO Y HACIENDA PUBLICA, NO CONCUERDA CON LO REPORTADO EN EL ESTADO DE SITUACION FINANCIERA","")</f>
        <v/>
      </c>
    </row>
    <row r="74" spans="1:8">
      <c r="H74"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pageSetUpPr fitToPage="1"/>
  </sheetPr>
  <dimension ref="A1:I38"/>
  <sheetViews>
    <sheetView view="pageBreakPreview" topLeftCell="A16" zoomScale="90" zoomScaleSheetLayoutView="90" workbookViewId="0">
      <selection activeCell="D11" sqref="D11"/>
    </sheetView>
  </sheetViews>
  <sheetFormatPr baseColWidth="10" defaultColWidth="11.28515625" defaultRowHeight="16.5"/>
  <cols>
    <col min="1" max="1" width="4.85546875" style="125" customWidth="1"/>
    <col min="2" max="2" width="49.28515625" style="107" bestFit="1" customWidth="1"/>
    <col min="3" max="4" width="25.7109375" style="107" customWidth="1"/>
    <col min="5" max="16384" width="11.28515625" style="107"/>
  </cols>
  <sheetData>
    <row r="1" spans="1:6">
      <c r="A1" s="360"/>
      <c r="B1" s="1412" t="s">
        <v>23</v>
      </c>
      <c r="C1" s="1412"/>
      <c r="D1" s="1412"/>
    </row>
    <row r="2" spans="1:6">
      <c r="A2" s="107"/>
      <c r="B2" s="1416" t="s">
        <v>891</v>
      </c>
      <c r="C2" s="1416"/>
      <c r="D2" s="1416"/>
      <c r="F2" s="337"/>
    </row>
    <row r="3" spans="1:6">
      <c r="B3" s="1191" t="str">
        <f>'ETCA-I-01'!A3</f>
        <v>TELEVISORA DE HERMOSILLO, S.A. DE C.V.</v>
      </c>
      <c r="C3" s="1191"/>
      <c r="D3" s="1191"/>
    </row>
    <row r="4" spans="1:6">
      <c r="B4" s="1202" t="str">
        <f>'ETCA-I-03'!A4</f>
        <v>Del 01 de Enero al 30 de Septiembre de 2018</v>
      </c>
      <c r="C4" s="1202"/>
      <c r="D4" s="1202"/>
    </row>
    <row r="5" spans="1:6">
      <c r="A5" s="801"/>
      <c r="B5" s="1424" t="s">
        <v>892</v>
      </c>
      <c r="C5" s="1424"/>
      <c r="D5" s="249"/>
    </row>
    <row r="6" spans="1:6" ht="6.75" customHeight="1" thickBot="1"/>
    <row r="7" spans="1:6" s="205" customFormat="1" ht="27.95" customHeight="1">
      <c r="A7" s="1417" t="s">
        <v>880</v>
      </c>
      <c r="B7" s="1418"/>
      <c r="C7" s="1425" t="s">
        <v>475</v>
      </c>
      <c r="D7" s="1427" t="s">
        <v>724</v>
      </c>
    </row>
    <row r="8" spans="1:6" s="205" customFormat="1" ht="4.5" customHeight="1" thickBot="1">
      <c r="A8" s="1419"/>
      <c r="B8" s="1420"/>
      <c r="C8" s="1426"/>
      <c r="D8" s="1428"/>
    </row>
    <row r="9" spans="1:6" s="205" customFormat="1" ht="21" customHeight="1">
      <c r="A9" s="1421" t="s">
        <v>886</v>
      </c>
      <c r="B9" s="1422"/>
      <c r="C9" s="1422"/>
      <c r="D9" s="1423"/>
    </row>
    <row r="10" spans="1:6" s="205" customFormat="1" ht="18" customHeight="1">
      <c r="A10" s="344">
        <v>1</v>
      </c>
      <c r="B10" s="345" t="s">
        <v>1349</v>
      </c>
      <c r="C10" s="949">
        <v>4833694</v>
      </c>
      <c r="D10" s="950">
        <v>4833694</v>
      </c>
    </row>
    <row r="11" spans="1:6" s="205" customFormat="1" ht="18" customHeight="1">
      <c r="A11" s="344">
        <v>2</v>
      </c>
      <c r="B11" s="345"/>
      <c r="C11" s="361"/>
      <c r="D11" s="362"/>
    </row>
    <row r="12" spans="1:6" s="205" customFormat="1" ht="18" customHeight="1">
      <c r="A12" s="344">
        <v>3</v>
      </c>
      <c r="B12" s="345"/>
      <c r="C12" s="361"/>
      <c r="D12" s="362"/>
    </row>
    <row r="13" spans="1:6" s="205" customFormat="1" ht="18" customHeight="1">
      <c r="A13" s="344">
        <v>4</v>
      </c>
      <c r="B13" s="345"/>
      <c r="C13" s="361"/>
      <c r="D13" s="362"/>
    </row>
    <row r="14" spans="1:6" s="205" customFormat="1" ht="18" customHeight="1">
      <c r="A14" s="344">
        <v>5</v>
      </c>
      <c r="B14" s="345"/>
      <c r="C14" s="361"/>
      <c r="D14" s="362"/>
    </row>
    <row r="15" spans="1:6" s="205" customFormat="1" ht="18" customHeight="1">
      <c r="A15" s="344">
        <v>6</v>
      </c>
      <c r="B15" s="345"/>
      <c r="C15" s="361"/>
      <c r="D15" s="362"/>
    </row>
    <row r="16" spans="1:6" s="205" customFormat="1" ht="18" customHeight="1">
      <c r="A16" s="344">
        <v>7</v>
      </c>
      <c r="B16" s="345"/>
      <c r="C16" s="361"/>
      <c r="D16" s="362"/>
    </row>
    <row r="17" spans="1:4" s="205" customFormat="1" ht="18" customHeight="1">
      <c r="A17" s="344">
        <v>8</v>
      </c>
      <c r="B17" s="345"/>
      <c r="C17" s="361"/>
      <c r="D17" s="362"/>
    </row>
    <row r="18" spans="1:4" s="205" customFormat="1" ht="18" customHeight="1">
      <c r="A18" s="344">
        <v>9</v>
      </c>
      <c r="B18" s="345"/>
      <c r="C18" s="361"/>
      <c r="D18" s="362"/>
    </row>
    <row r="19" spans="1:4" s="205" customFormat="1" ht="18" customHeight="1">
      <c r="A19" s="344">
        <v>10</v>
      </c>
      <c r="B19" s="345"/>
      <c r="C19" s="361"/>
      <c r="D19" s="362"/>
    </row>
    <row r="20" spans="1:4" s="205" customFormat="1" ht="18" customHeight="1">
      <c r="A20" s="344"/>
      <c r="B20" s="349" t="s">
        <v>893</v>
      </c>
      <c r="C20" s="355">
        <f>SUM(C10:C19)</f>
        <v>4833694</v>
      </c>
      <c r="D20" s="357">
        <f>SUM(D10:D19)</f>
        <v>4833694</v>
      </c>
    </row>
    <row r="21" spans="1:4" s="205" customFormat="1" ht="21" customHeight="1">
      <c r="A21" s="1413" t="s">
        <v>888</v>
      </c>
      <c r="B21" s="1414"/>
      <c r="C21" s="1414"/>
      <c r="D21" s="1415"/>
    </row>
    <row r="22" spans="1:4" s="205" customFormat="1" ht="18" customHeight="1">
      <c r="A22" s="344">
        <v>1</v>
      </c>
      <c r="B22" s="345"/>
      <c r="C22" s="361"/>
      <c r="D22" s="362"/>
    </row>
    <row r="23" spans="1:4" s="205" customFormat="1" ht="18" customHeight="1">
      <c r="A23" s="344">
        <v>2</v>
      </c>
      <c r="B23" s="345"/>
      <c r="C23" s="361"/>
      <c r="D23" s="362"/>
    </row>
    <row r="24" spans="1:4" s="205" customFormat="1" ht="18" customHeight="1">
      <c r="A24" s="344">
        <v>3</v>
      </c>
      <c r="B24" s="345"/>
      <c r="C24" s="361"/>
      <c r="D24" s="362"/>
    </row>
    <row r="25" spans="1:4" s="205" customFormat="1" ht="18" customHeight="1">
      <c r="A25" s="344">
        <v>4</v>
      </c>
      <c r="B25" s="345"/>
      <c r="C25" s="361"/>
      <c r="D25" s="362"/>
    </row>
    <row r="26" spans="1:4" s="205" customFormat="1" ht="18" customHeight="1">
      <c r="A26" s="344">
        <v>5</v>
      </c>
      <c r="B26" s="345"/>
      <c r="C26" s="361"/>
      <c r="D26" s="362"/>
    </row>
    <row r="27" spans="1:4" s="205" customFormat="1" ht="18" customHeight="1">
      <c r="A27" s="344">
        <v>6</v>
      </c>
      <c r="B27" s="345"/>
      <c r="C27" s="361"/>
      <c r="D27" s="362"/>
    </row>
    <row r="28" spans="1:4" s="205" customFormat="1" ht="18" customHeight="1">
      <c r="A28" s="344">
        <v>7</v>
      </c>
      <c r="B28" s="345"/>
      <c r="C28" s="361"/>
      <c r="D28" s="362"/>
    </row>
    <row r="29" spans="1:4" s="205" customFormat="1" ht="18" customHeight="1">
      <c r="A29" s="344">
        <v>8</v>
      </c>
      <c r="B29" s="345"/>
      <c r="C29" s="361"/>
      <c r="D29" s="362"/>
    </row>
    <row r="30" spans="1:4" s="205" customFormat="1" ht="18" customHeight="1">
      <c r="A30" s="344">
        <v>9</v>
      </c>
      <c r="B30" s="345"/>
      <c r="C30" s="361"/>
      <c r="D30" s="362"/>
    </row>
    <row r="31" spans="1:4" s="205" customFormat="1" ht="18" customHeight="1">
      <c r="A31" s="344">
        <v>10</v>
      </c>
      <c r="B31" s="345"/>
      <c r="C31" s="361" t="s">
        <v>255</v>
      </c>
      <c r="D31" s="362"/>
    </row>
    <row r="32" spans="1:4" s="351" customFormat="1" ht="18" customHeight="1" thickBot="1">
      <c r="A32" s="344"/>
      <c r="B32" s="350" t="s">
        <v>894</v>
      </c>
      <c r="C32" s="355">
        <f>SUM(C22:C31)</f>
        <v>0</v>
      </c>
      <c r="D32" s="357">
        <f>SUM(D22:D31)</f>
        <v>0</v>
      </c>
    </row>
    <row r="33" spans="1:9" ht="27.95" customHeight="1" thickBot="1">
      <c r="A33" s="352"/>
      <c r="B33" s="353" t="s">
        <v>890</v>
      </c>
      <c r="C33" s="358">
        <f>SUM(C32,C20)</f>
        <v>4833694</v>
      </c>
      <c r="D33" s="363">
        <f>SUM(D32,D20)</f>
        <v>4833694</v>
      </c>
    </row>
    <row r="34" spans="1:9" s="521" customFormat="1" ht="18" customHeight="1">
      <c r="A34" s="450" t="s">
        <v>84</v>
      </c>
      <c r="B34" s="107"/>
      <c r="C34" s="107"/>
      <c r="D34" s="107"/>
      <c r="E34" s="107"/>
    </row>
    <row r="35" spans="1:9" s="521" customFormat="1" ht="18" customHeight="1">
      <c r="A35" s="51"/>
      <c r="B35" s="107"/>
      <c r="C35" s="107"/>
      <c r="D35" s="107"/>
      <c r="E35" s="107"/>
    </row>
    <row r="36" spans="1:9" s="521" customFormat="1" ht="18" customHeight="1">
      <c r="A36" s="51"/>
      <c r="B36" s="107"/>
      <c r="C36" s="107"/>
      <c r="D36" s="107"/>
      <c r="E36" s="107"/>
    </row>
    <row r="37" spans="1:9" s="522" customFormat="1" ht="17.100000000000001" customHeight="1">
      <c r="A37" s="518"/>
      <c r="B37" s="519"/>
      <c r="C37" s="520"/>
      <c r="D37" s="520"/>
    </row>
    <row r="38" spans="1:9" ht="17.100000000000001" customHeight="1">
      <c r="A38" s="51"/>
      <c r="I38" s="354"/>
    </row>
  </sheetData>
  <sheetProtection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 right="0" top="0" bottom="0" header="0" footer="0"/>
  <pageSetup scale="98"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28" zoomScaleSheetLayoutView="100" workbookViewId="0">
      <selection activeCell="G22" sqref="G22"/>
    </sheetView>
  </sheetViews>
  <sheetFormatPr baseColWidth="10" defaultColWidth="11.28515625" defaultRowHeight="15"/>
  <cols>
    <col min="1" max="1" width="47.7109375" style="374" bestFit="1" customWidth="1"/>
    <col min="2" max="2" width="11.28515625" style="364"/>
    <col min="3" max="3" width="12.28515625" style="364" customWidth="1"/>
    <col min="4" max="16384" width="11.28515625" style="364"/>
  </cols>
  <sheetData>
    <row r="1" spans="1:7" ht="16.5" customHeight="1">
      <c r="A1" s="1429" t="s">
        <v>23</v>
      </c>
      <c r="B1" s="1429"/>
      <c r="C1" s="1429"/>
      <c r="D1" s="1429"/>
      <c r="E1" s="1429"/>
      <c r="F1" s="1429"/>
      <c r="G1" s="1429"/>
    </row>
    <row r="2" spans="1:7" ht="16.5" customHeight="1">
      <c r="A2" s="1429" t="s">
        <v>895</v>
      </c>
      <c r="B2" s="1429"/>
      <c r="C2" s="1429"/>
      <c r="D2" s="1429"/>
      <c r="E2" s="1429"/>
      <c r="F2" s="1429"/>
      <c r="G2" s="1429"/>
    </row>
    <row r="3" spans="1:7" ht="15.75">
      <c r="A3" s="1431" t="str">
        <f>'ETCA-I-01'!A3:G3</f>
        <v>TELEVISORA DE HERMOSILLO, S.A. DE C.V.</v>
      </c>
      <c r="B3" s="1431"/>
      <c r="C3" s="1431"/>
      <c r="D3" s="1431"/>
      <c r="E3" s="1431"/>
      <c r="F3" s="1431"/>
      <c r="G3" s="1431"/>
    </row>
    <row r="4" spans="1:7" ht="16.5">
      <c r="A4" s="1430" t="str">
        <f>'ETCA-I-03'!A4:D4</f>
        <v>Del 01 de Enero al 30 de Septiembre de 2018</v>
      </c>
      <c r="B4" s="1430"/>
      <c r="C4" s="1430"/>
      <c r="D4" s="1430"/>
      <c r="E4" s="1430"/>
      <c r="F4" s="1430"/>
      <c r="G4" s="1430"/>
    </row>
    <row r="5" spans="1:7" ht="17.25" thickBot="1">
      <c r="A5" s="365"/>
      <c r="B5" s="1432" t="s">
        <v>896</v>
      </c>
      <c r="C5" s="1432"/>
      <c r="D5" s="1432"/>
      <c r="E5" s="167"/>
      <c r="F5" s="52"/>
      <c r="G5" s="527"/>
    </row>
    <row r="6" spans="1:7" ht="38.25">
      <c r="A6" s="1355" t="s">
        <v>257</v>
      </c>
      <c r="B6" s="202" t="s">
        <v>563</v>
      </c>
      <c r="C6" s="202" t="s">
        <v>473</v>
      </c>
      <c r="D6" s="202" t="s">
        <v>564</v>
      </c>
      <c r="E6" s="203" t="s">
        <v>897</v>
      </c>
      <c r="F6" s="203" t="s">
        <v>898</v>
      </c>
      <c r="G6" s="202" t="s">
        <v>567</v>
      </c>
    </row>
    <row r="7" spans="1:7" ht="15.75" thickBot="1">
      <c r="A7" s="1356"/>
      <c r="B7" s="300" t="s">
        <v>438</v>
      </c>
      <c r="C7" s="300" t="s">
        <v>439</v>
      </c>
      <c r="D7" s="300" t="s">
        <v>568</v>
      </c>
      <c r="E7" s="366" t="s">
        <v>441</v>
      </c>
      <c r="F7" s="366" t="s">
        <v>442</v>
      </c>
      <c r="G7" s="300" t="s">
        <v>569</v>
      </c>
    </row>
    <row r="8" spans="1:7" ht="16.5">
      <c r="A8" s="375"/>
      <c r="B8" s="367"/>
      <c r="C8" s="367"/>
      <c r="D8" s="367"/>
      <c r="E8" s="367"/>
      <c r="F8" s="367"/>
      <c r="G8" s="367"/>
    </row>
    <row r="9" spans="1:7" s="370" customFormat="1">
      <c r="A9" s="368" t="s">
        <v>899</v>
      </c>
      <c r="B9" s="369"/>
      <c r="C9" s="369"/>
      <c r="D9" s="369"/>
      <c r="E9" s="369"/>
      <c r="F9" s="369"/>
      <c r="G9" s="369"/>
    </row>
    <row r="10" spans="1:7" s="372" customFormat="1">
      <c r="A10" s="371" t="s">
        <v>900</v>
      </c>
      <c r="B10" s="453">
        <f>B11+B12+B13</f>
        <v>0</v>
      </c>
      <c r="C10" s="453">
        <f>C11+C12+C13</f>
        <v>0</v>
      </c>
      <c r="D10" s="453">
        <f>SUM(D11:D13)</f>
        <v>0</v>
      </c>
      <c r="E10" s="453">
        <f>E11+E12+E13</f>
        <v>0</v>
      </c>
      <c r="F10" s="453">
        <f>F11+F12+F13</f>
        <v>0</v>
      </c>
      <c r="G10" s="453">
        <f>SUM(G11:G13)</f>
        <v>0</v>
      </c>
    </row>
    <row r="11" spans="1:7" s="373" customFormat="1">
      <c r="A11" s="376" t="s">
        <v>901</v>
      </c>
      <c r="B11" s="454"/>
      <c r="C11" s="454"/>
      <c r="D11" s="455">
        <f>B11+C11</f>
        <v>0</v>
      </c>
      <c r="E11" s="454"/>
      <c r="F11" s="454"/>
      <c r="G11" s="455">
        <f>D11-E11</f>
        <v>0</v>
      </c>
    </row>
    <row r="12" spans="1:7" s="373" customFormat="1">
      <c r="A12" s="376" t="s">
        <v>902</v>
      </c>
      <c r="B12" s="454"/>
      <c r="C12" s="454"/>
      <c r="D12" s="455">
        <f>B12+C12</f>
        <v>0</v>
      </c>
      <c r="E12" s="454"/>
      <c r="F12" s="454"/>
      <c r="G12" s="455">
        <f>D12-E12</f>
        <v>0</v>
      </c>
    </row>
    <row r="13" spans="1:7" s="373" customFormat="1">
      <c r="A13" s="376" t="s">
        <v>903</v>
      </c>
      <c r="B13" s="454"/>
      <c r="C13" s="454"/>
      <c r="D13" s="455">
        <f>B13+C13</f>
        <v>0</v>
      </c>
      <c r="E13" s="454"/>
      <c r="F13" s="454"/>
      <c r="G13" s="455">
        <f>D13-E13</f>
        <v>0</v>
      </c>
    </row>
    <row r="14" spans="1:7" s="372" customFormat="1">
      <c r="A14" s="371" t="s">
        <v>904</v>
      </c>
      <c r="B14" s="453">
        <f t="shared" ref="B14:G14" si="0">SUM(B15:B22)</f>
        <v>115136460</v>
      </c>
      <c r="C14" s="453">
        <f t="shared" si="0"/>
        <v>56707</v>
      </c>
      <c r="D14" s="453">
        <f t="shared" si="0"/>
        <v>115193167</v>
      </c>
      <c r="E14" s="453">
        <f t="shared" si="0"/>
        <v>82444019</v>
      </c>
      <c r="F14" s="453">
        <f t="shared" si="0"/>
        <v>73560558</v>
      </c>
      <c r="G14" s="453">
        <f t="shared" si="0"/>
        <v>32749149</v>
      </c>
    </row>
    <row r="15" spans="1:7" s="373" customFormat="1">
      <c r="A15" s="376" t="s">
        <v>905</v>
      </c>
      <c r="B15" s="454"/>
      <c r="C15" s="454"/>
      <c r="D15" s="455">
        <f t="shared" ref="D15:D22" si="1">B15+C15</f>
        <v>0</v>
      </c>
      <c r="E15" s="454"/>
      <c r="F15" s="454"/>
      <c r="G15" s="455">
        <f>D15-E15</f>
        <v>0</v>
      </c>
    </row>
    <row r="16" spans="1:7" s="373" customFormat="1">
      <c r="A16" s="376" t="s">
        <v>906</v>
      </c>
      <c r="B16" s="454"/>
      <c r="C16" s="454"/>
      <c r="D16" s="455">
        <f t="shared" si="1"/>
        <v>0</v>
      </c>
      <c r="E16" s="454"/>
      <c r="F16" s="454"/>
      <c r="G16" s="455">
        <f t="shared" ref="G16:G39" si="2">D16-E16</f>
        <v>0</v>
      </c>
    </row>
    <row r="17" spans="1:7" s="373" customFormat="1">
      <c r="A17" s="376" t="s">
        <v>907</v>
      </c>
      <c r="B17" s="454"/>
      <c r="C17" s="454"/>
      <c r="D17" s="455">
        <f t="shared" si="1"/>
        <v>0</v>
      </c>
      <c r="E17" s="454"/>
      <c r="F17" s="454"/>
      <c r="G17" s="455">
        <f t="shared" si="2"/>
        <v>0</v>
      </c>
    </row>
    <row r="18" spans="1:7" s="373" customFormat="1">
      <c r="A18" s="376" t="s">
        <v>908</v>
      </c>
      <c r="B18" s="454"/>
      <c r="C18" s="454"/>
      <c r="D18" s="455">
        <f t="shared" si="1"/>
        <v>0</v>
      </c>
      <c r="E18" s="454"/>
      <c r="F18" s="454"/>
      <c r="G18" s="455">
        <f t="shared" si="2"/>
        <v>0</v>
      </c>
    </row>
    <row r="19" spans="1:7" s="373" customFormat="1">
      <c r="A19" s="376" t="s">
        <v>909</v>
      </c>
      <c r="B19" s="454"/>
      <c r="C19" s="454"/>
      <c r="D19" s="455">
        <f t="shared" si="1"/>
        <v>0</v>
      </c>
      <c r="E19" s="454"/>
      <c r="F19" s="454"/>
      <c r="G19" s="455">
        <f t="shared" si="2"/>
        <v>0</v>
      </c>
    </row>
    <row r="20" spans="1:7" s="373" customFormat="1" ht="27">
      <c r="A20" s="376" t="s">
        <v>910</v>
      </c>
      <c r="B20" s="454"/>
      <c r="C20" s="454"/>
      <c r="D20" s="455">
        <f t="shared" si="1"/>
        <v>0</v>
      </c>
      <c r="E20" s="454"/>
      <c r="F20" s="454"/>
      <c r="G20" s="455">
        <f t="shared" si="2"/>
        <v>0</v>
      </c>
    </row>
    <row r="21" spans="1:7" s="373" customFormat="1">
      <c r="A21" s="376" t="s">
        <v>911</v>
      </c>
      <c r="B21" s="454">
        <f>+'ETCA-II-13'!C131</f>
        <v>115136460</v>
      </c>
      <c r="C21" s="454">
        <f>+'ETCA-II-13'!D131</f>
        <v>56707</v>
      </c>
      <c r="D21" s="455">
        <f t="shared" si="1"/>
        <v>115193167</v>
      </c>
      <c r="E21" s="454">
        <f>+'ETCA-II-13'!F131</f>
        <v>82444019</v>
      </c>
      <c r="F21" s="454">
        <f>+'ETCA-II-13'!G131</f>
        <v>73560558</v>
      </c>
      <c r="G21" s="455">
        <f>D21-E21+3-3+1</f>
        <v>32749149</v>
      </c>
    </row>
    <row r="22" spans="1:7" s="373" customFormat="1">
      <c r="A22" s="376" t="s">
        <v>912</v>
      </c>
      <c r="B22" s="454"/>
      <c r="C22" s="454"/>
      <c r="D22" s="455">
        <f t="shared" si="1"/>
        <v>0</v>
      </c>
      <c r="E22" s="454"/>
      <c r="F22" s="454"/>
      <c r="G22" s="455">
        <f t="shared" si="2"/>
        <v>0</v>
      </c>
    </row>
    <row r="23" spans="1:7" s="372" customFormat="1">
      <c r="A23" s="371" t="s">
        <v>913</v>
      </c>
      <c r="B23" s="453">
        <f t="shared" ref="B23:G23" si="3">SUM(B24:B26)</f>
        <v>0</v>
      </c>
      <c r="C23" s="453">
        <f t="shared" si="3"/>
        <v>0</v>
      </c>
      <c r="D23" s="453">
        <f t="shared" si="3"/>
        <v>0</v>
      </c>
      <c r="E23" s="453">
        <f t="shared" si="3"/>
        <v>0</v>
      </c>
      <c r="F23" s="453">
        <f t="shared" si="3"/>
        <v>0</v>
      </c>
      <c r="G23" s="453">
        <f t="shared" si="3"/>
        <v>0</v>
      </c>
    </row>
    <row r="24" spans="1:7" s="373" customFormat="1" ht="27">
      <c r="A24" s="376" t="s">
        <v>914</v>
      </c>
      <c r="B24" s="454"/>
      <c r="C24" s="454"/>
      <c r="D24" s="455">
        <f>B24+C24</f>
        <v>0</v>
      </c>
      <c r="E24" s="454"/>
      <c r="F24" s="454"/>
      <c r="G24" s="455">
        <f t="shared" si="2"/>
        <v>0</v>
      </c>
    </row>
    <row r="25" spans="1:7" s="373" customFormat="1">
      <c r="A25" s="376" t="s">
        <v>915</v>
      </c>
      <c r="B25" s="454"/>
      <c r="C25" s="454"/>
      <c r="D25" s="455">
        <f>B25+C25</f>
        <v>0</v>
      </c>
      <c r="E25" s="454"/>
      <c r="F25" s="454"/>
      <c r="G25" s="455">
        <f t="shared" si="2"/>
        <v>0</v>
      </c>
    </row>
    <row r="26" spans="1:7" s="373" customFormat="1">
      <c r="A26" s="376" t="s">
        <v>916</v>
      </c>
      <c r="B26" s="454"/>
      <c r="C26" s="454"/>
      <c r="D26" s="455">
        <f>B26+C26</f>
        <v>0</v>
      </c>
      <c r="E26" s="454"/>
      <c r="F26" s="454"/>
      <c r="G26" s="455">
        <f t="shared" si="2"/>
        <v>0</v>
      </c>
    </row>
    <row r="27" spans="1:7" s="372" customFormat="1">
      <c r="A27" s="371" t="s">
        <v>917</v>
      </c>
      <c r="B27" s="453">
        <f>B28+B29</f>
        <v>0</v>
      </c>
      <c r="C27" s="453">
        <f>C28+C29</f>
        <v>0</v>
      </c>
      <c r="D27" s="453">
        <f>SUM(D28:D29)</f>
        <v>0</v>
      </c>
      <c r="E27" s="453">
        <f>E28+E29</f>
        <v>0</v>
      </c>
      <c r="F27" s="453">
        <f>F28+F29</f>
        <v>0</v>
      </c>
      <c r="G27" s="453">
        <f>SUM(G28:G29)</f>
        <v>0</v>
      </c>
    </row>
    <row r="28" spans="1:7" s="373" customFormat="1">
      <c r="A28" s="376" t="s">
        <v>918</v>
      </c>
      <c r="B28" s="454"/>
      <c r="C28" s="454"/>
      <c r="D28" s="455">
        <f>B28+C28</f>
        <v>0</v>
      </c>
      <c r="E28" s="454"/>
      <c r="F28" s="454"/>
      <c r="G28" s="455">
        <f t="shared" si="2"/>
        <v>0</v>
      </c>
    </row>
    <row r="29" spans="1:7" s="373" customFormat="1">
      <c r="A29" s="376" t="s">
        <v>919</v>
      </c>
      <c r="B29" s="454"/>
      <c r="C29" s="454"/>
      <c r="D29" s="455">
        <f>B29+C29</f>
        <v>0</v>
      </c>
      <c r="E29" s="454"/>
      <c r="F29" s="454"/>
      <c r="G29" s="455">
        <f t="shared" si="2"/>
        <v>0</v>
      </c>
    </row>
    <row r="30" spans="1:7" s="372" customFormat="1">
      <c r="A30" s="371" t="s">
        <v>920</v>
      </c>
      <c r="B30" s="453">
        <f>B31+B32+B33+B34</f>
        <v>0</v>
      </c>
      <c r="C30" s="453">
        <f>C31+C32+C33+C34</f>
        <v>0</v>
      </c>
      <c r="D30" s="453">
        <f>SUM(D31:D34)</f>
        <v>0</v>
      </c>
      <c r="E30" s="453">
        <f>E31+E32+E33+E34</f>
        <v>0</v>
      </c>
      <c r="F30" s="453">
        <f>F31+F32+F33+F34</f>
        <v>0</v>
      </c>
      <c r="G30" s="453">
        <f>SUM(G31:G34)</f>
        <v>0</v>
      </c>
    </row>
    <row r="31" spans="1:7" s="373" customFormat="1">
      <c r="A31" s="376" t="s">
        <v>229</v>
      </c>
      <c r="B31" s="454"/>
      <c r="C31" s="454"/>
      <c r="D31" s="455">
        <f>B31+C31</f>
        <v>0</v>
      </c>
      <c r="E31" s="454"/>
      <c r="F31" s="454"/>
      <c r="G31" s="455">
        <f t="shared" si="2"/>
        <v>0</v>
      </c>
    </row>
    <row r="32" spans="1:7" s="373" customFormat="1">
      <c r="A32" s="376" t="s">
        <v>921</v>
      </c>
      <c r="B32" s="454"/>
      <c r="C32" s="454"/>
      <c r="D32" s="455">
        <f>B32+C32</f>
        <v>0</v>
      </c>
      <c r="E32" s="454"/>
      <c r="F32" s="454"/>
      <c r="G32" s="455">
        <f t="shared" si="2"/>
        <v>0</v>
      </c>
    </row>
    <row r="33" spans="1:8" s="373" customFormat="1">
      <c r="A33" s="376" t="s">
        <v>922</v>
      </c>
      <c r="B33" s="454"/>
      <c r="C33" s="454"/>
      <c r="D33" s="455">
        <f>B33+C33</f>
        <v>0</v>
      </c>
      <c r="E33" s="454"/>
      <c r="F33" s="454"/>
      <c r="G33" s="455">
        <f t="shared" si="2"/>
        <v>0</v>
      </c>
    </row>
    <row r="34" spans="1:8" s="373" customFormat="1">
      <c r="A34" s="376" t="s">
        <v>923</v>
      </c>
      <c r="B34" s="454"/>
      <c r="C34" s="454"/>
      <c r="D34" s="455">
        <f>B34+C34</f>
        <v>0</v>
      </c>
      <c r="E34" s="454"/>
      <c r="F34" s="454"/>
      <c r="G34" s="455">
        <f t="shared" si="2"/>
        <v>0</v>
      </c>
    </row>
    <row r="35" spans="1:8" s="372" customFormat="1">
      <c r="A35" s="371" t="s">
        <v>924</v>
      </c>
      <c r="B35" s="453">
        <f t="shared" ref="B35:G35" si="4">B36</f>
        <v>0</v>
      </c>
      <c r="C35" s="453">
        <f t="shared" si="4"/>
        <v>0</v>
      </c>
      <c r="D35" s="453">
        <f t="shared" si="4"/>
        <v>0</v>
      </c>
      <c r="E35" s="453">
        <f t="shared" si="4"/>
        <v>0</v>
      </c>
      <c r="F35" s="453">
        <f t="shared" si="4"/>
        <v>0</v>
      </c>
      <c r="G35" s="453">
        <f t="shared" si="4"/>
        <v>0</v>
      </c>
    </row>
    <row r="36" spans="1:8" s="373" customFormat="1">
      <c r="A36" s="376" t="s">
        <v>925</v>
      </c>
      <c r="B36" s="454"/>
      <c r="C36" s="454"/>
      <c r="D36" s="455">
        <f>B36+C36</f>
        <v>0</v>
      </c>
      <c r="E36" s="454"/>
      <c r="F36" s="454"/>
      <c r="G36" s="455">
        <f t="shared" si="2"/>
        <v>0</v>
      </c>
    </row>
    <row r="37" spans="1:8" s="372" customFormat="1">
      <c r="A37" s="371" t="s">
        <v>926</v>
      </c>
      <c r="B37" s="456"/>
      <c r="C37" s="456"/>
      <c r="D37" s="453">
        <f>B37+C37</f>
        <v>0</v>
      </c>
      <c r="E37" s="456"/>
      <c r="F37" s="456"/>
      <c r="G37" s="453">
        <f t="shared" si="2"/>
        <v>0</v>
      </c>
    </row>
    <row r="38" spans="1:8" s="372" customFormat="1" ht="27">
      <c r="A38" s="371" t="s">
        <v>927</v>
      </c>
      <c r="B38" s="456"/>
      <c r="C38" s="456"/>
      <c r="D38" s="453">
        <f>B38+C38</f>
        <v>0</v>
      </c>
      <c r="E38" s="456"/>
      <c r="F38" s="456"/>
      <c r="G38" s="453">
        <f t="shared" si="2"/>
        <v>0</v>
      </c>
    </row>
    <row r="39" spans="1:8" s="372" customFormat="1" ht="15.75" thickBot="1">
      <c r="A39" s="371" t="s">
        <v>928</v>
      </c>
      <c r="B39" s="456"/>
      <c r="C39" s="456"/>
      <c r="D39" s="453">
        <f>B39+C39</f>
        <v>0</v>
      </c>
      <c r="E39" s="456"/>
      <c r="F39" s="456"/>
      <c r="G39" s="453">
        <f t="shared" si="2"/>
        <v>0</v>
      </c>
    </row>
    <row r="40" spans="1:8" ht="32.25" customHeight="1" thickBot="1">
      <c r="A40" s="377" t="s">
        <v>619</v>
      </c>
      <c r="B40" s="457">
        <f t="shared" ref="B40:F40" si="5">SUM(B$10,B$14,B$23,B$27,B$30,B$35,B$37,B$38,B$39)</f>
        <v>115136460</v>
      </c>
      <c r="C40" s="457">
        <f t="shared" si="5"/>
        <v>56707</v>
      </c>
      <c r="D40" s="457">
        <f t="shared" si="5"/>
        <v>115193167</v>
      </c>
      <c r="E40" s="457">
        <f t="shared" si="5"/>
        <v>82444019</v>
      </c>
      <c r="F40" s="457">
        <f t="shared" si="5"/>
        <v>73560558</v>
      </c>
      <c r="G40" s="457">
        <f>SUM(G$10,G$14,G$23,G$27,G$30,G$35,G$37,G$38,G$39)</f>
        <v>32749149</v>
      </c>
      <c r="H40" s="525" t="str">
        <f>IF((B40-'ETCA II-04'!B81)&gt;0.9,"ERROR!!!!! EL MONTO NO COINCIDE CON LO REPORTADO EN EL FORMATO ETCA-II-04 EN EL TOTAL APROBADO ANUAL DEL ANALÍTICO DE EGRESOS","")</f>
        <v/>
      </c>
    </row>
    <row r="41" spans="1:8" ht="18" customHeight="1">
      <c r="A41" s="523"/>
      <c r="B41" s="526"/>
      <c r="C41" s="526"/>
      <c r="D41" s="526"/>
      <c r="E41" s="526"/>
      <c r="F41" s="526"/>
      <c r="G41" s="526"/>
      <c r="H41" s="525" t="str">
        <f>IF((C40-'ETCA II-04'!C81)&gt;0.9,"ERROR!!!!! EL MONTO NO COINCIDE CON LO REPORTADO EN EL FORMATO ETCA-II-04 EN EL TOTAL DE AMPLIACIONES/REDUCCIONES PRESENTADO EN EL ANALÍTICO DE EGRESOS","")</f>
        <v/>
      </c>
    </row>
    <row r="42" spans="1:8" ht="18" customHeight="1">
      <c r="A42" s="523"/>
      <c r="B42" s="526"/>
      <c r="C42" s="526"/>
      <c r="D42" s="526"/>
      <c r="E42" s="526"/>
      <c r="F42" s="526"/>
      <c r="G42" s="526"/>
      <c r="H42" s="525" t="str">
        <f>IF((D40-'ETCA II-04'!D81)&gt;0.9,"ERROR!!!!! EL MONTO NO COINCIDE CON LO REPORTADO EN EL FORMATO ETCA-II-04 EN EL TOTAL MODIFICADO ANUAL PRESENTADO EN EL ANALÍTICO DE EGRESOS","")</f>
        <v/>
      </c>
    </row>
    <row r="43" spans="1:8" ht="18" customHeight="1">
      <c r="A43" s="523"/>
      <c r="B43" s="526"/>
      <c r="C43" s="526"/>
      <c r="D43" s="526"/>
      <c r="E43" s="526"/>
      <c r="F43" s="526"/>
      <c r="G43" s="526"/>
      <c r="H43" s="525" t="str">
        <f>IF((E40-'ETCA II-04'!E81)&gt;0.9,"ERROR!!!!! EL MONTO NO COINCIDE CON LO REPORTADO EN EL FORMATO ETCA-II-04 EN EL TOTAL DEVENGADO ANUAL PRESENTADO EN EL ANALÍTICO DE EGRESOS","")</f>
        <v/>
      </c>
    </row>
    <row r="44" spans="1:8" ht="18" customHeight="1">
      <c r="A44" s="523"/>
      <c r="B44" s="526"/>
      <c r="C44" s="526"/>
      <c r="D44" s="526"/>
      <c r="E44" s="526"/>
      <c r="F44" s="526"/>
      <c r="G44" s="526"/>
      <c r="H44" s="525" t="str">
        <f>IF((F40-'ETCA II-04'!F81)&gt;0.9,"ERROR!!!!! EL MONTO NO COINCIDE CON LO REPORTADO EN EL FORMATO ETCA-II-04 EN EL TOTAL PAGADO ANUAL PRESENTADO EN EL ANALÍTICO DE EGRESOS","")</f>
        <v/>
      </c>
    </row>
    <row r="45" spans="1:8" ht="18" customHeight="1">
      <c r="H45" s="525" t="str">
        <f>IF((G40-'ETCA II-04'!G81)&gt;0.9,"ERROR!!!!! EL MONTO NO COINCIDE CON LO REPORTADO EN EL FORMATO ETCA-II-04 EN EL TOTAL SUBEJERCICIO PRESENTADO EN EL ANALÍTICO DE EGRESOS","")</f>
        <v/>
      </c>
    </row>
  </sheetData>
  <sheetProtection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zoomScale="90" zoomScaleSheetLayoutView="90" workbookViewId="0">
      <selection activeCell="A4" sqref="A4:E4"/>
    </sheetView>
  </sheetViews>
  <sheetFormatPr baseColWidth="10" defaultColWidth="11.28515625" defaultRowHeight="16.5"/>
  <cols>
    <col min="1" max="1" width="1.85546875" style="380" customWidth="1"/>
    <col min="2" max="2" width="34.7109375" style="46" customWidth="1"/>
    <col min="3" max="3" width="20.85546875" style="46" customWidth="1"/>
    <col min="4" max="4" width="25.7109375" style="46" customWidth="1"/>
    <col min="5" max="5" width="19.85546875" style="46" customWidth="1"/>
    <col min="6" max="16384" width="11.28515625" style="46"/>
  </cols>
  <sheetData>
    <row r="1" spans="1:7" ht="16.5" customHeight="1">
      <c r="A1" s="1433" t="s">
        <v>929</v>
      </c>
      <c r="B1" s="1433"/>
      <c r="C1" s="1433"/>
      <c r="D1" s="1433"/>
      <c r="E1" s="1433"/>
    </row>
    <row r="2" spans="1:7">
      <c r="A2" s="1434" t="s">
        <v>930</v>
      </c>
      <c r="B2" s="1434"/>
      <c r="C2" s="1434"/>
      <c r="D2" s="1434"/>
      <c r="E2" s="1434"/>
    </row>
    <row r="3" spans="1:7">
      <c r="A3" s="1258" t="str">
        <f>'ETCA-I-01'!A3:G3</f>
        <v>TELEVISORA DE HERMOSILLO, S.A. DE C.V.</v>
      </c>
      <c r="B3" s="1258"/>
      <c r="C3" s="1258"/>
      <c r="D3" s="1258"/>
      <c r="E3" s="1258"/>
      <c r="G3" s="378"/>
    </row>
    <row r="4" spans="1:7">
      <c r="A4" s="1434" t="str">
        <f>'ETCA-I-03'!A4:D4</f>
        <v>Del 01 de Enero al 30 de Septiembre de 2018</v>
      </c>
      <c r="B4" s="1434"/>
      <c r="C4" s="1434"/>
      <c r="D4" s="1434"/>
      <c r="E4" s="1434"/>
    </row>
    <row r="5" spans="1:7">
      <c r="A5" s="806"/>
      <c r="B5" s="806"/>
      <c r="C5" s="806" t="s">
        <v>931</v>
      </c>
      <c r="D5" s="4"/>
      <c r="E5" s="379"/>
    </row>
    <row r="6" spans="1:7" ht="6.75" customHeight="1" thickBot="1"/>
    <row r="7" spans="1:7" s="381" customFormat="1" ht="17.25" customHeight="1">
      <c r="A7" s="1435"/>
      <c r="B7" s="1436"/>
      <c r="C7" s="807"/>
      <c r="D7" s="807"/>
      <c r="E7" s="394"/>
    </row>
    <row r="8" spans="1:7" s="381" customFormat="1" ht="20.25" customHeight="1">
      <c r="A8" s="383"/>
      <c r="B8" s="393" t="s">
        <v>932</v>
      </c>
      <c r="C8" s="382"/>
      <c r="D8" s="382"/>
      <c r="E8" s="384"/>
      <c r="F8" s="385"/>
    </row>
    <row r="9" spans="1:7" s="381" customFormat="1" ht="20.25" customHeight="1">
      <c r="A9" s="386"/>
      <c r="C9" s="382"/>
      <c r="D9" s="382"/>
      <c r="E9" s="384"/>
      <c r="F9" s="385"/>
    </row>
    <row r="10" spans="1:7" s="381" customFormat="1" ht="27.75" customHeight="1">
      <c r="A10" s="605"/>
      <c r="B10" s="612" t="s">
        <v>933</v>
      </c>
      <c r="C10" s="609"/>
      <c r="D10" s="604" t="s">
        <v>934</v>
      </c>
      <c r="E10" s="606" t="s">
        <v>935</v>
      </c>
      <c r="F10" s="385"/>
    </row>
    <row r="11" spans="1:7" s="381" customFormat="1" ht="20.25" customHeight="1">
      <c r="A11" s="383"/>
      <c r="C11" s="610"/>
      <c r="D11" s="607"/>
      <c r="E11" s="384"/>
      <c r="F11" s="385"/>
    </row>
    <row r="12" spans="1:7" s="381" customFormat="1" ht="20.25" customHeight="1">
      <c r="A12" s="386"/>
      <c r="C12" s="610"/>
      <c r="D12" s="607"/>
      <c r="E12" s="384"/>
      <c r="F12" s="385"/>
    </row>
    <row r="13" spans="1:7">
      <c r="A13" s="387"/>
      <c r="C13" s="611"/>
      <c r="D13" s="608"/>
      <c r="E13" s="388"/>
      <c r="F13" s="18"/>
    </row>
    <row r="14" spans="1:7">
      <c r="A14" s="387"/>
      <c r="B14" s="18"/>
      <c r="C14" s="611"/>
      <c r="D14" s="608"/>
      <c r="E14" s="388"/>
      <c r="F14" s="18"/>
    </row>
    <row r="15" spans="1:7">
      <c r="A15" s="387"/>
      <c r="B15" s="18"/>
      <c r="C15" s="611"/>
      <c r="D15" s="608"/>
      <c r="E15" s="388"/>
      <c r="F15" s="18"/>
    </row>
    <row r="16" spans="1:7">
      <c r="A16" s="387"/>
      <c r="B16" s="18"/>
      <c r="C16" s="611"/>
      <c r="D16" s="608"/>
      <c r="E16" s="388"/>
      <c r="F16" s="18"/>
    </row>
    <row r="17" spans="1:6">
      <c r="A17" s="387"/>
      <c r="B17" s="18"/>
      <c r="C17" s="611"/>
      <c r="D17" s="608"/>
      <c r="E17" s="388"/>
      <c r="F17" s="18"/>
    </row>
    <row r="18" spans="1:6">
      <c r="A18" s="387"/>
      <c r="B18" s="18"/>
      <c r="C18" s="611"/>
      <c r="D18" s="608"/>
      <c r="E18" s="388"/>
      <c r="F18" s="18"/>
    </row>
    <row r="19" spans="1:6">
      <c r="A19" s="387"/>
      <c r="B19" s="18"/>
      <c r="C19" s="611"/>
      <c r="D19" s="608"/>
      <c r="E19" s="388"/>
      <c r="F19" s="18"/>
    </row>
    <row r="20" spans="1:6">
      <c r="A20" s="387"/>
      <c r="B20" s="18"/>
      <c r="C20" s="611"/>
      <c r="D20" s="608"/>
      <c r="E20" s="388"/>
      <c r="F20" s="18"/>
    </row>
    <row r="21" spans="1:6">
      <c r="A21" s="387"/>
      <c r="B21" s="18"/>
      <c r="C21" s="611"/>
      <c r="D21" s="608"/>
      <c r="E21" s="388"/>
      <c r="F21" s="18"/>
    </row>
    <row r="22" spans="1:6">
      <c r="A22" s="387"/>
      <c r="B22" s="18"/>
      <c r="C22" s="611"/>
      <c r="D22" s="608"/>
      <c r="E22" s="388"/>
      <c r="F22" s="18"/>
    </row>
    <row r="23" spans="1:6">
      <c r="A23" s="387"/>
      <c r="B23" s="18"/>
      <c r="C23" s="611"/>
      <c r="D23" s="608"/>
      <c r="E23" s="388"/>
      <c r="F23" s="18"/>
    </row>
    <row r="24" spans="1:6">
      <c r="A24" s="387"/>
      <c r="B24" s="18"/>
      <c r="C24" s="611"/>
      <c r="D24" s="608"/>
      <c r="E24" s="388"/>
      <c r="F24" s="18"/>
    </row>
    <row r="25" spans="1:6">
      <c r="A25" s="387"/>
      <c r="B25" s="18"/>
      <c r="C25" s="611"/>
      <c r="D25" s="608"/>
      <c r="E25" s="388"/>
      <c r="F25" s="18"/>
    </row>
    <row r="26" spans="1:6">
      <c r="A26" s="387"/>
      <c r="B26" s="18"/>
      <c r="C26" s="611"/>
      <c r="D26" s="608"/>
      <c r="E26" s="388"/>
      <c r="F26" s="18"/>
    </row>
    <row r="27" spans="1:6">
      <c r="A27" s="387"/>
      <c r="B27" s="18"/>
      <c r="C27" s="611"/>
      <c r="D27" s="608"/>
      <c r="E27" s="388"/>
      <c r="F27" s="18"/>
    </row>
    <row r="28" spans="1:6">
      <c r="A28" s="387"/>
      <c r="B28" s="18"/>
      <c r="C28" s="611"/>
      <c r="D28" s="608"/>
      <c r="E28" s="388"/>
      <c r="F28" s="18"/>
    </row>
    <row r="29" spans="1:6">
      <c r="A29" s="387"/>
      <c r="B29" s="18"/>
      <c r="C29" s="611"/>
      <c r="D29" s="608"/>
      <c r="E29" s="388"/>
      <c r="F29" s="18"/>
    </row>
    <row r="30" spans="1:6">
      <c r="A30" s="387"/>
      <c r="B30" s="18"/>
      <c r="C30" s="611"/>
      <c r="D30" s="608"/>
      <c r="E30" s="388"/>
      <c r="F30" s="18"/>
    </row>
    <row r="31" spans="1:6">
      <c r="A31" s="387"/>
      <c r="B31" s="18"/>
      <c r="C31" s="611"/>
      <c r="D31" s="608"/>
      <c r="E31" s="388"/>
      <c r="F31" s="18"/>
    </row>
    <row r="32" spans="1:6">
      <c r="A32" s="387"/>
      <c r="B32" s="18"/>
      <c r="C32" s="611"/>
      <c r="D32" s="608"/>
      <c r="E32" s="388"/>
      <c r="F32" s="18"/>
    </row>
    <row r="33" spans="1:6">
      <c r="A33" s="387"/>
      <c r="B33" s="18"/>
      <c r="C33" s="611"/>
      <c r="D33" s="608"/>
      <c r="E33" s="388"/>
      <c r="F33" s="18"/>
    </row>
    <row r="34" spans="1:6">
      <c r="A34" s="387"/>
      <c r="B34" s="18"/>
      <c r="C34" s="611"/>
      <c r="D34" s="608"/>
      <c r="E34" s="388"/>
      <c r="F34" s="18"/>
    </row>
    <row r="35" spans="1:6" ht="17.25" thickBot="1">
      <c r="A35" s="389"/>
      <c r="B35" s="390"/>
      <c r="C35" s="611"/>
      <c r="D35" s="608"/>
      <c r="E35" s="388"/>
      <c r="F35" s="18"/>
    </row>
    <row r="36" spans="1:6" ht="25.5">
      <c r="A36" s="391" t="s">
        <v>936</v>
      </c>
      <c r="B36" s="46" t="s">
        <v>937</v>
      </c>
      <c r="C36" s="613"/>
      <c r="D36" s="613"/>
      <c r="E36" s="613"/>
      <c r="F36" s="18"/>
    </row>
    <row r="37" spans="1:6">
      <c r="B37" s="46" t="s">
        <v>938</v>
      </c>
      <c r="C37" s="18"/>
      <c r="D37" s="18"/>
      <c r="E37" s="18"/>
      <c r="F37" s="18"/>
    </row>
    <row r="38" spans="1:6">
      <c r="A38" s="452" t="s">
        <v>84</v>
      </c>
      <c r="C38" s="392"/>
      <c r="D38" s="392"/>
      <c r="E38" s="18"/>
      <c r="F38" s="18"/>
    </row>
    <row r="39" spans="1:6" ht="10.5" customHeight="1">
      <c r="A39" s="614"/>
      <c r="B39" s="392"/>
      <c r="C39" s="392"/>
      <c r="D39" s="392"/>
      <c r="E39" s="18"/>
    </row>
    <row r="40" spans="1:6">
      <c r="A40" s="614"/>
      <c r="B40" s="18"/>
      <c r="C40" s="18"/>
      <c r="D40" s="18"/>
      <c r="E40" s="18"/>
    </row>
    <row r="42" spans="1:6">
      <c r="A42" s="452"/>
    </row>
    <row r="43" spans="1:6">
      <c r="A43" s="452"/>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W90"/>
  <sheetViews>
    <sheetView topLeftCell="B103" zoomScale="50" zoomScaleNormal="50" zoomScalePageLayoutView="75" workbookViewId="0">
      <selection activeCell="X98" sqref="X98"/>
    </sheetView>
  </sheetViews>
  <sheetFormatPr baseColWidth="10" defaultColWidth="11.42578125" defaultRowHeight="14.25"/>
  <cols>
    <col min="1" max="1" width="8.42578125" style="1070" hidden="1" customWidth="1"/>
    <col min="2" max="2" width="5.140625" style="1070" customWidth="1"/>
    <col min="3" max="3" width="7.140625" style="1070" bestFit="1" customWidth="1"/>
    <col min="4" max="4" width="7.42578125" style="1070" customWidth="1"/>
    <col min="5" max="5" width="25.85546875" style="1070" bestFit="1" customWidth="1"/>
    <col min="6" max="6" width="6.7109375" style="1070" bestFit="1" customWidth="1"/>
    <col min="7" max="7" width="62.7109375" style="1166" customWidth="1"/>
    <col min="8" max="8" width="10.42578125" style="1167" customWidth="1"/>
    <col min="9" max="9" width="13" style="1070" customWidth="1"/>
    <col min="10" max="10" width="14.28515625" style="1168" customWidth="1"/>
    <col min="11" max="11" width="11.85546875" style="1070" bestFit="1" customWidth="1"/>
    <col min="12" max="12" width="11.7109375" style="1070" customWidth="1"/>
    <col min="13" max="13" width="14.85546875" style="1070" customWidth="1"/>
    <col min="14" max="14" width="14" style="1070" customWidth="1"/>
    <col min="15" max="15" width="12.28515625" style="1070" customWidth="1"/>
    <col min="16" max="16" width="16.5703125" style="1070" customWidth="1"/>
    <col min="17" max="17" width="12.140625" style="1070" customWidth="1"/>
    <col min="18" max="18" width="10.7109375" style="1070" customWidth="1"/>
    <col min="19" max="19" width="14.42578125" style="1070" customWidth="1"/>
    <col min="20" max="20" width="17.5703125" style="1075" customWidth="1"/>
    <col min="21" max="21" width="20.5703125" style="1066" customWidth="1"/>
    <col min="22" max="22" width="13.140625" style="1066" customWidth="1"/>
    <col min="23" max="23" width="14.85546875" style="1066" customWidth="1"/>
    <col min="24" max="24" width="14.140625" style="1066" customWidth="1"/>
    <col min="25" max="25" width="11.5703125" style="1066" bestFit="1" customWidth="1"/>
    <col min="26" max="16384" width="11.42578125" style="1066"/>
  </cols>
  <sheetData>
    <row r="1" spans="1:22" ht="22.9" customHeight="1">
      <c r="A1" s="1466" t="s">
        <v>1370</v>
      </c>
      <c r="B1" s="1466"/>
      <c r="C1" s="1466"/>
      <c r="D1" s="1466"/>
      <c r="E1" s="1466"/>
      <c r="F1" s="1466"/>
      <c r="G1" s="1466"/>
      <c r="H1" s="1466"/>
      <c r="I1" s="1466"/>
      <c r="J1" s="1466"/>
      <c r="K1" s="1466"/>
      <c r="L1" s="1466"/>
      <c r="M1" s="1466"/>
      <c r="N1" s="1466"/>
      <c r="O1" s="1467"/>
      <c r="P1" s="1467"/>
      <c r="Q1" s="1467"/>
      <c r="R1" s="1467"/>
      <c r="S1" s="1467"/>
      <c r="T1" s="1467"/>
    </row>
    <row r="2" spans="1:22" ht="22.9" customHeight="1">
      <c r="A2" s="1067"/>
      <c r="B2" s="1466" t="s">
        <v>1371</v>
      </c>
      <c r="C2" s="1468"/>
      <c r="D2" s="1468"/>
      <c r="E2" s="1468"/>
      <c r="F2" s="1468"/>
      <c r="G2" s="1468"/>
      <c r="H2" s="1468"/>
      <c r="I2" s="1468"/>
      <c r="J2" s="1468"/>
      <c r="K2" s="1468"/>
      <c r="L2" s="1468"/>
      <c r="M2" s="1468"/>
      <c r="N2" s="1468"/>
      <c r="O2" s="1468"/>
      <c r="P2" s="1468"/>
      <c r="Q2" s="1468"/>
      <c r="R2" s="1468"/>
      <c r="S2" s="1468"/>
      <c r="T2" s="1468"/>
    </row>
    <row r="3" spans="1:22" ht="12" customHeight="1">
      <c r="A3" s="1067"/>
      <c r="B3" s="1067"/>
      <c r="C3" s="1067"/>
      <c r="D3" s="1067"/>
      <c r="E3" s="1067"/>
      <c r="F3" s="1067"/>
      <c r="G3" s="1068"/>
      <c r="H3" s="1067"/>
      <c r="I3" s="1067"/>
      <c r="J3" s="1067"/>
      <c r="K3" s="1067"/>
      <c r="L3" s="1067"/>
      <c r="M3" s="1067"/>
      <c r="N3" s="1067"/>
      <c r="O3" s="1069"/>
      <c r="P3" s="1069"/>
      <c r="S3" s="1469" t="s">
        <v>1372</v>
      </c>
      <c r="T3" s="1469"/>
    </row>
    <row r="4" spans="1:22" ht="12" customHeight="1">
      <c r="A4" s="1067" t="s">
        <v>255</v>
      </c>
      <c r="B4" s="1470" t="s">
        <v>1373</v>
      </c>
      <c r="C4" s="1471"/>
      <c r="D4" s="1471"/>
      <c r="E4" s="1471"/>
      <c r="F4" s="1471"/>
      <c r="G4" s="1471"/>
      <c r="H4" s="1471"/>
      <c r="I4" s="1471"/>
      <c r="J4" s="1471"/>
      <c r="K4" s="1471"/>
      <c r="L4" s="1471"/>
      <c r="M4" s="1471"/>
      <c r="N4" s="1471"/>
      <c r="O4" s="1471"/>
      <c r="P4" s="1471"/>
      <c r="Q4" s="1471"/>
      <c r="R4" s="1471"/>
      <c r="S4" s="1471"/>
      <c r="T4" s="1471"/>
    </row>
    <row r="5" spans="1:22" ht="1.5" customHeight="1" thickBot="1">
      <c r="A5" s="1071"/>
      <c r="B5" s="1071"/>
      <c r="C5" s="1071"/>
      <c r="D5" s="1071"/>
      <c r="E5" s="1071"/>
      <c r="F5" s="1071"/>
      <c r="G5" s="1072"/>
      <c r="H5" s="1073"/>
      <c r="I5" s="1071"/>
      <c r="J5" s="1074"/>
      <c r="K5" s="1071"/>
      <c r="L5" s="1071"/>
      <c r="M5" s="1071"/>
      <c r="N5" s="1071" t="s">
        <v>255</v>
      </c>
      <c r="O5" s="1069"/>
      <c r="P5" s="1069"/>
    </row>
    <row r="6" spans="1:22" ht="25.15" customHeight="1" thickTop="1">
      <c r="A6" s="1472" t="s">
        <v>1374</v>
      </c>
      <c r="B6" s="1472"/>
      <c r="C6" s="1472"/>
      <c r="D6" s="1472"/>
      <c r="E6" s="1472"/>
      <c r="F6" s="1472"/>
      <c r="G6" s="1472"/>
      <c r="H6" s="1473"/>
      <c r="I6" s="1473"/>
      <c r="J6" s="1473"/>
      <c r="K6" s="1473"/>
      <c r="L6" s="1473"/>
      <c r="M6" s="1473"/>
      <c r="N6" s="1473"/>
      <c r="O6" s="1076"/>
      <c r="P6" s="1076"/>
      <c r="Q6" s="1076"/>
      <c r="R6" s="1076"/>
      <c r="S6" s="1076"/>
      <c r="T6" s="1077"/>
    </row>
    <row r="7" spans="1:22" ht="18" customHeight="1" thickBot="1">
      <c r="A7" s="1450" t="s">
        <v>1375</v>
      </c>
      <c r="B7" s="1451" t="s">
        <v>1376</v>
      </c>
      <c r="C7" s="1452"/>
      <c r="D7" s="1453"/>
      <c r="E7" s="1443" t="s">
        <v>1377</v>
      </c>
      <c r="F7" s="1456" t="s">
        <v>1378</v>
      </c>
      <c r="G7" s="1445" t="s">
        <v>1379</v>
      </c>
      <c r="H7" s="1078" t="s">
        <v>1380</v>
      </c>
      <c r="I7" s="1459" t="s">
        <v>1381</v>
      </c>
      <c r="J7" s="1459"/>
      <c r="K7" s="1459"/>
      <c r="L7" s="1459"/>
      <c r="M7" s="1459"/>
      <c r="N7" s="1460"/>
      <c r="O7" s="1079"/>
      <c r="P7" s="1079"/>
      <c r="Q7" s="1079"/>
      <c r="R7" s="1079"/>
      <c r="S7" s="1079"/>
      <c r="T7" s="1461" t="s">
        <v>1382</v>
      </c>
    </row>
    <row r="8" spans="1:22" ht="12.75" hidden="1" customHeight="1">
      <c r="A8" s="1450"/>
      <c r="B8" s="1080"/>
      <c r="C8" s="1081"/>
      <c r="D8" s="1081"/>
      <c r="E8" s="1454"/>
      <c r="F8" s="1457"/>
      <c r="G8" s="1445"/>
      <c r="H8" s="1081"/>
      <c r="I8" s="1082"/>
      <c r="J8" s="1083"/>
      <c r="K8" s="1084"/>
      <c r="L8" s="1084"/>
      <c r="M8" s="1084"/>
      <c r="N8" s="1084"/>
      <c r="O8" s="1085"/>
      <c r="P8" s="1085"/>
      <c r="Q8" s="1085"/>
      <c r="R8" s="1086"/>
      <c r="S8" s="1086"/>
      <c r="T8" s="1462"/>
    </row>
    <row r="9" spans="1:22" ht="12.75" hidden="1" customHeight="1">
      <c r="A9" s="1450"/>
      <c r="B9" s="1080"/>
      <c r="C9" s="1081"/>
      <c r="D9" s="1081"/>
      <c r="E9" s="1454"/>
      <c r="F9" s="1457"/>
      <c r="G9" s="1445"/>
      <c r="H9" s="1081"/>
      <c r="I9" s="1082"/>
      <c r="J9" s="1083"/>
      <c r="K9" s="1084"/>
      <c r="L9" s="1084"/>
      <c r="M9" s="1084"/>
      <c r="N9" s="1084"/>
      <c r="O9" s="1085"/>
      <c r="P9" s="1085"/>
      <c r="Q9" s="1085"/>
      <c r="R9" s="1086"/>
      <c r="S9" s="1086"/>
      <c r="T9" s="1462"/>
    </row>
    <row r="10" spans="1:22" ht="16.899999999999999" customHeight="1" thickTop="1" thickBot="1">
      <c r="A10" s="1450"/>
      <c r="B10" s="1464" t="s">
        <v>1383</v>
      </c>
      <c r="C10" s="1441" t="s">
        <v>1384</v>
      </c>
      <c r="D10" s="1443" t="s">
        <v>1385</v>
      </c>
      <c r="E10" s="1454"/>
      <c r="F10" s="1457"/>
      <c r="G10" s="1445"/>
      <c r="H10" s="1081" t="s">
        <v>1386</v>
      </c>
      <c r="I10" s="1445" t="s">
        <v>1387</v>
      </c>
      <c r="J10" s="1446" t="s">
        <v>1388</v>
      </c>
      <c r="K10" s="1447" t="s">
        <v>1389</v>
      </c>
      <c r="L10" s="1448"/>
      <c r="M10" s="1448"/>
      <c r="N10" s="1449"/>
      <c r="O10" s="1474" t="s">
        <v>1390</v>
      </c>
      <c r="P10" s="1474"/>
      <c r="Q10" s="1474"/>
      <c r="R10" s="1474"/>
      <c r="S10" s="1474"/>
      <c r="T10" s="1462"/>
    </row>
    <row r="11" spans="1:22" ht="33" customHeight="1" thickTop="1" thickBot="1">
      <c r="A11" s="1450"/>
      <c r="B11" s="1465"/>
      <c r="C11" s="1442"/>
      <c r="D11" s="1444"/>
      <c r="E11" s="1455"/>
      <c r="F11" s="1458"/>
      <c r="G11" s="1445"/>
      <c r="H11" s="1087" t="s">
        <v>1391</v>
      </c>
      <c r="I11" s="1445"/>
      <c r="J11" s="1446"/>
      <c r="K11" s="1088" t="s">
        <v>1392</v>
      </c>
      <c r="L11" s="1087" t="s">
        <v>1393</v>
      </c>
      <c r="M11" s="1087" t="s">
        <v>1394</v>
      </c>
      <c r="N11" s="1089" t="s">
        <v>1395</v>
      </c>
      <c r="O11" s="1090" t="s">
        <v>1392</v>
      </c>
      <c r="P11" s="1091" t="s">
        <v>1393</v>
      </c>
      <c r="Q11" s="1092" t="s">
        <v>1394</v>
      </c>
      <c r="R11" s="1093" t="s">
        <v>1395</v>
      </c>
      <c r="S11" s="1094" t="s">
        <v>1396</v>
      </c>
      <c r="T11" s="1463"/>
    </row>
    <row r="12" spans="1:22" ht="30.75" customHeight="1" thickTop="1">
      <c r="A12" s="1095" t="s">
        <v>1397</v>
      </c>
      <c r="B12" s="1095" t="s">
        <v>1398</v>
      </c>
      <c r="C12" s="1096" t="s">
        <v>1399</v>
      </c>
      <c r="D12" s="1096" t="s">
        <v>1400</v>
      </c>
      <c r="E12" s="1096" t="s">
        <v>1401</v>
      </c>
      <c r="F12" s="1097" t="s">
        <v>1402</v>
      </c>
      <c r="G12" s="1098" t="s">
        <v>1403</v>
      </c>
      <c r="H12" s="1099" t="s">
        <v>1404</v>
      </c>
      <c r="I12" s="1099">
        <v>4</v>
      </c>
      <c r="J12" s="1100">
        <v>4</v>
      </c>
      <c r="K12" s="1101">
        <v>1</v>
      </c>
      <c r="L12" s="1102">
        <v>1</v>
      </c>
      <c r="M12" s="1102">
        <v>1</v>
      </c>
      <c r="N12" s="1103">
        <v>1</v>
      </c>
      <c r="O12" s="1104">
        <v>1</v>
      </c>
      <c r="P12" s="1105">
        <v>1</v>
      </c>
      <c r="Q12" s="1106">
        <v>1</v>
      </c>
      <c r="R12" s="1107"/>
      <c r="S12" s="1108">
        <f>R12+Q12+P12+O12</f>
        <v>3</v>
      </c>
      <c r="T12" s="1109">
        <f>S12/I12</f>
        <v>0.75</v>
      </c>
    </row>
    <row r="13" spans="1:22" ht="46.9" customHeight="1">
      <c r="A13" s="1110" t="s">
        <v>1405</v>
      </c>
      <c r="B13" s="1110" t="s">
        <v>1402</v>
      </c>
      <c r="C13" s="1111" t="s">
        <v>1406</v>
      </c>
      <c r="D13" s="1111" t="s">
        <v>1407</v>
      </c>
      <c r="E13" s="1111" t="s">
        <v>1408</v>
      </c>
      <c r="F13" s="1112" t="s">
        <v>1409</v>
      </c>
      <c r="G13" s="1113" t="s">
        <v>1410</v>
      </c>
      <c r="H13" s="1099" t="s">
        <v>1411</v>
      </c>
      <c r="I13" s="1114">
        <v>2400</v>
      </c>
      <c r="J13" s="1115">
        <v>2400</v>
      </c>
      <c r="K13" s="1116">
        <v>600</v>
      </c>
      <c r="L13" s="1117">
        <v>600</v>
      </c>
      <c r="M13" s="1117">
        <v>600</v>
      </c>
      <c r="N13" s="1118">
        <v>600</v>
      </c>
      <c r="O13" s="1119">
        <v>605</v>
      </c>
      <c r="P13" s="1120">
        <v>633</v>
      </c>
      <c r="Q13" s="1121">
        <v>618</v>
      </c>
      <c r="R13" s="1121"/>
      <c r="S13" s="1122">
        <f>R13+Q13+P13+O13</f>
        <v>1856</v>
      </c>
      <c r="T13" s="1109">
        <f t="shared" ref="T13:T22" si="0">S13/I13</f>
        <v>0.77333333333333332</v>
      </c>
      <c r="V13" s="1123"/>
    </row>
    <row r="14" spans="1:22" ht="84.75" customHeight="1">
      <c r="A14" s="1110" t="s">
        <v>1412</v>
      </c>
      <c r="B14" s="1110" t="s">
        <v>1402</v>
      </c>
      <c r="C14" s="1111" t="s">
        <v>1406</v>
      </c>
      <c r="D14" s="1111" t="s">
        <v>1413</v>
      </c>
      <c r="E14" s="1111" t="s">
        <v>1408</v>
      </c>
      <c r="F14" s="1112" t="s">
        <v>1414</v>
      </c>
      <c r="G14" s="1124" t="s">
        <v>1415</v>
      </c>
      <c r="H14" s="1099" t="s">
        <v>1416</v>
      </c>
      <c r="I14" s="1114">
        <v>2000</v>
      </c>
      <c r="J14" s="1115">
        <v>2000</v>
      </c>
      <c r="K14" s="1125">
        <v>500</v>
      </c>
      <c r="L14" s="1117">
        <v>500</v>
      </c>
      <c r="M14" s="1117">
        <v>500</v>
      </c>
      <c r="N14" s="1118">
        <v>500</v>
      </c>
      <c r="O14" s="1119">
        <v>445</v>
      </c>
      <c r="P14" s="1120">
        <v>400</v>
      </c>
      <c r="Q14" s="1121">
        <v>399</v>
      </c>
      <c r="R14" s="1121"/>
      <c r="S14" s="1122">
        <f t="shared" ref="S14:S22" si="1">R14+Q14+P14+O14</f>
        <v>1244</v>
      </c>
      <c r="T14" s="1109">
        <f t="shared" si="0"/>
        <v>0.622</v>
      </c>
    </row>
    <row r="15" spans="1:22" ht="87" customHeight="1">
      <c r="A15" s="1110"/>
      <c r="B15" s="1110" t="s">
        <v>1417</v>
      </c>
      <c r="C15" s="1111" t="s">
        <v>1418</v>
      </c>
      <c r="D15" s="1111" t="s">
        <v>1419</v>
      </c>
      <c r="E15" s="1111" t="s">
        <v>1420</v>
      </c>
      <c r="F15" s="1112" t="s">
        <v>1421</v>
      </c>
      <c r="G15" s="1124" t="s">
        <v>1422</v>
      </c>
      <c r="H15" s="1099" t="s">
        <v>1411</v>
      </c>
      <c r="I15" s="1114">
        <v>12</v>
      </c>
      <c r="J15" s="1115">
        <v>12</v>
      </c>
      <c r="K15" s="1126">
        <v>3</v>
      </c>
      <c r="L15" s="1127">
        <v>3</v>
      </c>
      <c r="M15" s="1127">
        <v>3</v>
      </c>
      <c r="N15" s="1128">
        <v>3</v>
      </c>
      <c r="O15" s="1119">
        <v>3</v>
      </c>
      <c r="P15" s="1120">
        <v>3</v>
      </c>
      <c r="Q15" s="1121">
        <v>3</v>
      </c>
      <c r="R15" s="1121"/>
      <c r="S15" s="1122">
        <f t="shared" si="1"/>
        <v>9</v>
      </c>
      <c r="T15" s="1109">
        <f t="shared" si="0"/>
        <v>0.75</v>
      </c>
    </row>
    <row r="16" spans="1:22" ht="78" customHeight="1">
      <c r="A16" s="1110"/>
      <c r="B16" s="1110" t="s">
        <v>1417</v>
      </c>
      <c r="C16" s="1111" t="s">
        <v>1418</v>
      </c>
      <c r="D16" s="1111" t="s">
        <v>1419</v>
      </c>
      <c r="E16" s="1111" t="s">
        <v>1420</v>
      </c>
      <c r="F16" s="1112" t="s">
        <v>1417</v>
      </c>
      <c r="G16" s="1124" t="s">
        <v>1423</v>
      </c>
      <c r="H16" s="1099" t="s">
        <v>1424</v>
      </c>
      <c r="I16" s="1114">
        <v>72</v>
      </c>
      <c r="J16" s="1115">
        <v>72</v>
      </c>
      <c r="K16" s="1126">
        <v>18</v>
      </c>
      <c r="L16" s="1127">
        <v>18</v>
      </c>
      <c r="M16" s="1127">
        <v>18</v>
      </c>
      <c r="N16" s="1128">
        <v>18</v>
      </c>
      <c r="O16" s="1119">
        <v>18</v>
      </c>
      <c r="P16" s="1120">
        <v>18</v>
      </c>
      <c r="Q16" s="1121">
        <v>18</v>
      </c>
      <c r="R16" s="1121"/>
      <c r="S16" s="1122">
        <f t="shared" si="1"/>
        <v>54</v>
      </c>
      <c r="T16" s="1109">
        <f t="shared" si="0"/>
        <v>0.75</v>
      </c>
    </row>
    <row r="17" spans="1:23" ht="78.75" customHeight="1">
      <c r="A17" s="1110"/>
      <c r="B17" s="1110" t="s">
        <v>1417</v>
      </c>
      <c r="C17" s="1111" t="s">
        <v>1418</v>
      </c>
      <c r="D17" s="1111" t="s">
        <v>1419</v>
      </c>
      <c r="E17" s="1111" t="s">
        <v>1420</v>
      </c>
      <c r="F17" s="1112" t="s">
        <v>1398</v>
      </c>
      <c r="G17" s="1124" t="s">
        <v>1425</v>
      </c>
      <c r="H17" s="1099" t="s">
        <v>1411</v>
      </c>
      <c r="I17" s="1114">
        <v>4</v>
      </c>
      <c r="J17" s="1115">
        <v>4</v>
      </c>
      <c r="K17" s="1126">
        <v>1</v>
      </c>
      <c r="L17" s="1127">
        <v>1</v>
      </c>
      <c r="M17" s="1127">
        <v>1</v>
      </c>
      <c r="N17" s="1128">
        <v>1</v>
      </c>
      <c r="O17" s="1119">
        <v>1</v>
      </c>
      <c r="P17" s="1120">
        <v>1</v>
      </c>
      <c r="Q17" s="1121">
        <v>1</v>
      </c>
      <c r="R17" s="1121"/>
      <c r="S17" s="1122">
        <f t="shared" si="1"/>
        <v>3</v>
      </c>
      <c r="T17" s="1109">
        <f t="shared" si="0"/>
        <v>0.75</v>
      </c>
      <c r="W17" s="1129"/>
    </row>
    <row r="18" spans="1:23" ht="74.25" customHeight="1">
      <c r="A18" s="1110" t="s">
        <v>1426</v>
      </c>
      <c r="B18" s="1110" t="s">
        <v>1417</v>
      </c>
      <c r="C18" s="1111" t="s">
        <v>1418</v>
      </c>
      <c r="D18" s="1111" t="s">
        <v>1427</v>
      </c>
      <c r="E18" s="1111" t="s">
        <v>1428</v>
      </c>
      <c r="F18" s="1112" t="s">
        <v>1429</v>
      </c>
      <c r="G18" s="1124" t="s">
        <v>1430</v>
      </c>
      <c r="H18" s="1099" t="s">
        <v>1431</v>
      </c>
      <c r="I18" s="1114">
        <v>2622</v>
      </c>
      <c r="J18" s="1115">
        <v>2622</v>
      </c>
      <c r="K18" s="1130" t="s">
        <v>1432</v>
      </c>
      <c r="L18" s="1117">
        <v>692</v>
      </c>
      <c r="M18" s="1117">
        <v>702</v>
      </c>
      <c r="N18" s="1118">
        <v>652</v>
      </c>
      <c r="O18" s="1119">
        <v>595</v>
      </c>
      <c r="P18" s="1120">
        <v>687</v>
      </c>
      <c r="Q18" s="1121">
        <v>697</v>
      </c>
      <c r="R18" s="1121"/>
      <c r="S18" s="1122">
        <f t="shared" si="1"/>
        <v>1979</v>
      </c>
      <c r="T18" s="1109">
        <f t="shared" si="0"/>
        <v>0.75476735316552246</v>
      </c>
    </row>
    <row r="19" spans="1:23" ht="29.25" customHeight="1">
      <c r="A19" s="1110" t="s">
        <v>1433</v>
      </c>
      <c r="B19" s="1110" t="s">
        <v>1398</v>
      </c>
      <c r="C19" s="1111" t="s">
        <v>1399</v>
      </c>
      <c r="D19" s="1111" t="s">
        <v>1434</v>
      </c>
      <c r="E19" s="1111" t="s">
        <v>1435</v>
      </c>
      <c r="F19" s="1112" t="s">
        <v>1436</v>
      </c>
      <c r="G19" s="1113" t="s">
        <v>1437</v>
      </c>
      <c r="H19" s="1099" t="s">
        <v>1438</v>
      </c>
      <c r="I19" s="1131">
        <v>25114983.719999999</v>
      </c>
      <c r="J19" s="1118">
        <v>25114983.719999999</v>
      </c>
      <c r="K19" s="1132">
        <v>6278745.9299999997</v>
      </c>
      <c r="L19" s="1133">
        <v>6278745.9299999997</v>
      </c>
      <c r="M19" s="1133">
        <v>6278745.9299999997</v>
      </c>
      <c r="N19" s="1134">
        <v>6278745.9299999997</v>
      </c>
      <c r="O19" s="1135">
        <v>4137699.09</v>
      </c>
      <c r="P19" s="1136">
        <v>3635304.8</v>
      </c>
      <c r="Q19" s="1137">
        <v>2984273.72</v>
      </c>
      <c r="R19" s="1137"/>
      <c r="S19" s="1122">
        <f t="shared" si="1"/>
        <v>10757277.609999999</v>
      </c>
      <c r="T19" s="1109">
        <f t="shared" si="0"/>
        <v>0.42832110623402786</v>
      </c>
    </row>
    <row r="20" spans="1:23" ht="33" customHeight="1">
      <c r="A20" s="1110" t="s">
        <v>1439</v>
      </c>
      <c r="B20" s="1110" t="s">
        <v>1421</v>
      </c>
      <c r="C20" s="1111" t="s">
        <v>1440</v>
      </c>
      <c r="D20" s="1111" t="s">
        <v>1441</v>
      </c>
      <c r="E20" s="1111" t="s">
        <v>1442</v>
      </c>
      <c r="F20" s="1112" t="s">
        <v>1443</v>
      </c>
      <c r="G20" s="1098" t="s">
        <v>1444</v>
      </c>
      <c r="H20" s="1099" t="s">
        <v>1438</v>
      </c>
      <c r="I20" s="1114">
        <v>72021475.819999993</v>
      </c>
      <c r="J20" s="1115">
        <v>72021476</v>
      </c>
      <c r="K20" s="1116">
        <v>72021476</v>
      </c>
      <c r="L20" s="1117"/>
      <c r="M20" s="1117"/>
      <c r="N20" s="1118"/>
      <c r="O20" s="1138">
        <v>65878162</v>
      </c>
      <c r="P20" s="1136">
        <v>3583121.53</v>
      </c>
      <c r="Q20" s="1137">
        <v>0</v>
      </c>
      <c r="R20" s="1137"/>
      <c r="S20" s="1122">
        <f t="shared" si="1"/>
        <v>69461283.530000001</v>
      </c>
      <c r="T20" s="1109">
        <f t="shared" si="0"/>
        <v>0.96445237672720618</v>
      </c>
    </row>
    <row r="21" spans="1:23" ht="59.25" customHeight="1">
      <c r="A21" s="1110" t="s">
        <v>1445</v>
      </c>
      <c r="B21" s="1110" t="s">
        <v>1421</v>
      </c>
      <c r="C21" s="1111" t="s">
        <v>1440</v>
      </c>
      <c r="D21" s="1111" t="s">
        <v>1446</v>
      </c>
      <c r="E21" s="1111" t="s">
        <v>1408</v>
      </c>
      <c r="F21" s="1112" t="s">
        <v>1439</v>
      </c>
      <c r="G21" s="1139" t="s">
        <v>1447</v>
      </c>
      <c r="H21" s="1099" t="s">
        <v>1448</v>
      </c>
      <c r="I21" s="1102">
        <v>130</v>
      </c>
      <c r="J21" s="1140">
        <v>130</v>
      </c>
      <c r="K21" s="1141">
        <v>32</v>
      </c>
      <c r="L21" s="1102">
        <v>32</v>
      </c>
      <c r="M21" s="1102">
        <v>33</v>
      </c>
      <c r="N21" s="1103">
        <v>33</v>
      </c>
      <c r="O21" s="1142">
        <v>35</v>
      </c>
      <c r="P21" s="1120">
        <v>17</v>
      </c>
      <c r="Q21" s="1143">
        <v>62</v>
      </c>
      <c r="R21" s="1121"/>
      <c r="S21" s="1122">
        <f t="shared" si="1"/>
        <v>114</v>
      </c>
      <c r="T21" s="1109">
        <f t="shared" si="0"/>
        <v>0.87692307692307692</v>
      </c>
    </row>
    <row r="22" spans="1:23" ht="61.9" customHeight="1" thickBot="1">
      <c r="A22" s="1110" t="s">
        <v>1449</v>
      </c>
      <c r="B22" s="1110" t="s">
        <v>1398</v>
      </c>
      <c r="C22" s="1144" t="s">
        <v>1399</v>
      </c>
      <c r="D22" s="1144" t="s">
        <v>1450</v>
      </c>
      <c r="E22" s="1144" t="s">
        <v>1451</v>
      </c>
      <c r="F22" s="1145" t="s">
        <v>1445</v>
      </c>
      <c r="G22" s="1113" t="s">
        <v>1452</v>
      </c>
      <c r="H22" s="1099" t="s">
        <v>1404</v>
      </c>
      <c r="I22" s="1146">
        <v>12</v>
      </c>
      <c r="J22" s="1147">
        <v>12</v>
      </c>
      <c r="K22" s="1148">
        <v>3</v>
      </c>
      <c r="L22" s="1149">
        <v>3</v>
      </c>
      <c r="M22" s="1149">
        <v>3</v>
      </c>
      <c r="N22" s="1150">
        <v>3</v>
      </c>
      <c r="O22" s="1151">
        <v>3</v>
      </c>
      <c r="P22" s="1152">
        <v>3</v>
      </c>
      <c r="Q22" s="1153">
        <v>3</v>
      </c>
      <c r="R22" s="1154"/>
      <c r="S22" s="1155">
        <f t="shared" si="1"/>
        <v>9</v>
      </c>
      <c r="T22" s="1156">
        <f t="shared" si="0"/>
        <v>0.75</v>
      </c>
    </row>
    <row r="23" spans="1:23" ht="14.25" customHeight="1" thickTop="1">
      <c r="A23" s="1437"/>
      <c r="B23" s="1437"/>
      <c r="C23" s="1437"/>
      <c r="D23" s="1437"/>
      <c r="E23" s="1437"/>
      <c r="F23" s="1437"/>
      <c r="G23" s="1437"/>
      <c r="H23" s="1437"/>
      <c r="I23" s="1437"/>
      <c r="J23" s="1437"/>
      <c r="K23" s="1157"/>
      <c r="L23" s="1157"/>
      <c r="M23" s="1157"/>
      <c r="N23" s="1157"/>
    </row>
    <row r="24" spans="1:23" ht="14.25" customHeight="1">
      <c r="A24" s="1158"/>
      <c r="B24" s="1158"/>
      <c r="C24" s="1158"/>
      <c r="D24" s="1158"/>
      <c r="E24" s="1158"/>
      <c r="F24" s="1158"/>
      <c r="G24" s="1159"/>
      <c r="H24" s="1158"/>
      <c r="I24" s="1069"/>
      <c r="J24" s="1069"/>
      <c r="K24" s="1160"/>
      <c r="L24" s="1160"/>
      <c r="M24" s="1160"/>
      <c r="N24" s="1160"/>
    </row>
    <row r="25" spans="1:23" ht="16.5" customHeight="1">
      <c r="A25" s="1161"/>
      <c r="B25" s="1161"/>
      <c r="C25" s="1161"/>
      <c r="D25" s="1161"/>
      <c r="E25" s="1161"/>
      <c r="F25" s="1161"/>
      <c r="G25" s="1162"/>
      <c r="H25" s="1163"/>
      <c r="I25" s="1164"/>
      <c r="J25" s="1160"/>
      <c r="K25" s="1160"/>
      <c r="L25" s="1160"/>
      <c r="M25" s="1165"/>
      <c r="N25" s="1160"/>
      <c r="T25" s="1066"/>
    </row>
    <row r="26" spans="1:23">
      <c r="G26" s="1169"/>
      <c r="T26" s="1066"/>
    </row>
    <row r="27" spans="1:23" ht="15">
      <c r="G27" s="1169"/>
      <c r="K27" s="1170"/>
      <c r="L27" s="1170"/>
      <c r="M27" s="1170"/>
      <c r="N27" s="1170"/>
      <c r="T27" s="1066"/>
    </row>
    <row r="28" spans="1:23" ht="18.75" customHeight="1">
      <c r="G28" s="1171" t="s">
        <v>1338</v>
      </c>
      <c r="K28" s="1170"/>
      <c r="L28" s="1438" t="s">
        <v>1453</v>
      </c>
      <c r="M28" s="1439"/>
      <c r="N28" s="1439"/>
      <c r="O28" s="1439"/>
      <c r="P28" s="1439"/>
      <c r="T28" s="1066"/>
    </row>
    <row r="29" spans="1:23" ht="18">
      <c r="A29" s="1066"/>
      <c r="B29" s="1066"/>
      <c r="C29" s="1066"/>
      <c r="D29" s="1066"/>
      <c r="E29" s="1066"/>
      <c r="F29" s="1066"/>
      <c r="G29" s="1172" t="s">
        <v>1454</v>
      </c>
      <c r="H29" s="1169"/>
      <c r="K29" s="1170"/>
      <c r="L29" s="1438" t="s">
        <v>1455</v>
      </c>
      <c r="M29" s="1440"/>
      <c r="N29" s="1440"/>
      <c r="O29" s="1440"/>
      <c r="P29" s="1440"/>
      <c r="Q29" s="1066"/>
      <c r="R29" s="1066"/>
      <c r="S29" s="1066"/>
      <c r="T29" s="1066"/>
    </row>
    <row r="30" spans="1:23">
      <c r="A30" s="1066"/>
      <c r="B30" s="1066"/>
      <c r="C30" s="1066"/>
      <c r="D30" s="1066"/>
      <c r="E30" s="1066"/>
      <c r="F30" s="1066"/>
      <c r="G30" s="1169"/>
      <c r="H30" s="1169"/>
      <c r="O30" s="1066"/>
      <c r="P30" s="1066"/>
      <c r="Q30" s="1066"/>
      <c r="R30" s="1066"/>
      <c r="S30" s="1066"/>
    </row>
    <row r="31" spans="1:23">
      <c r="A31" s="1066"/>
      <c r="B31" s="1066"/>
      <c r="C31" s="1066"/>
      <c r="D31" s="1066"/>
      <c r="E31" s="1066"/>
      <c r="F31" s="1066"/>
      <c r="G31" s="1169"/>
      <c r="H31" s="1169"/>
      <c r="O31" s="1066"/>
      <c r="P31" s="1066"/>
      <c r="Q31" s="1066"/>
      <c r="R31" s="1066"/>
      <c r="S31" s="1066"/>
    </row>
    <row r="32" spans="1:23">
      <c r="A32" s="1066"/>
      <c r="B32" s="1066"/>
      <c r="C32" s="1066"/>
      <c r="D32" s="1066"/>
      <c r="E32" s="1066"/>
      <c r="F32" s="1066"/>
      <c r="G32" s="1169"/>
      <c r="H32" s="1169"/>
      <c r="O32" s="1066"/>
      <c r="P32" s="1066"/>
      <c r="Q32" s="1066"/>
      <c r="R32" s="1066"/>
      <c r="S32" s="1066"/>
    </row>
    <row r="33" spans="1:19">
      <c r="A33" s="1066"/>
      <c r="B33" s="1066"/>
      <c r="C33" s="1066"/>
      <c r="D33" s="1066"/>
      <c r="E33" s="1066"/>
      <c r="F33" s="1066"/>
      <c r="G33" s="1169"/>
      <c r="H33" s="1169"/>
      <c r="O33" s="1066"/>
      <c r="P33" s="1066"/>
      <c r="Q33" s="1066"/>
      <c r="R33" s="1066"/>
      <c r="S33" s="1066"/>
    </row>
    <row r="34" spans="1:19">
      <c r="A34" s="1066"/>
      <c r="B34" s="1066"/>
      <c r="C34" s="1066"/>
      <c r="D34" s="1066"/>
      <c r="E34" s="1066"/>
      <c r="F34" s="1066"/>
      <c r="G34" s="1169"/>
      <c r="H34" s="1169"/>
      <c r="O34" s="1066"/>
      <c r="P34" s="1066"/>
      <c r="Q34" s="1066"/>
      <c r="R34" s="1066"/>
      <c r="S34" s="1066"/>
    </row>
    <row r="35" spans="1:19">
      <c r="A35" s="1066"/>
      <c r="B35" s="1066"/>
      <c r="C35" s="1066"/>
      <c r="D35" s="1066"/>
      <c r="E35" s="1066"/>
      <c r="F35" s="1066"/>
      <c r="G35" s="1169"/>
      <c r="H35" s="1169"/>
      <c r="O35" s="1066"/>
      <c r="P35" s="1066"/>
      <c r="Q35" s="1066"/>
      <c r="R35" s="1066"/>
      <c r="S35" s="1066"/>
    </row>
    <row r="36" spans="1:19">
      <c r="A36" s="1066"/>
      <c r="B36" s="1066"/>
      <c r="C36" s="1066"/>
      <c r="D36" s="1066"/>
      <c r="E36" s="1066"/>
      <c r="F36" s="1066"/>
      <c r="G36" s="1169"/>
      <c r="H36" s="1169"/>
      <c r="O36" s="1066"/>
      <c r="P36" s="1066"/>
      <c r="Q36" s="1066"/>
      <c r="R36" s="1066"/>
      <c r="S36" s="1066"/>
    </row>
    <row r="37" spans="1:19">
      <c r="A37" s="1066"/>
      <c r="B37" s="1066"/>
      <c r="C37" s="1066"/>
      <c r="D37" s="1066"/>
      <c r="E37" s="1066"/>
      <c r="F37" s="1066"/>
      <c r="G37" s="1169"/>
      <c r="H37" s="1169"/>
      <c r="O37" s="1066"/>
      <c r="P37" s="1066"/>
      <c r="Q37" s="1066"/>
      <c r="R37" s="1066"/>
      <c r="S37" s="1066"/>
    </row>
    <row r="38" spans="1:19">
      <c r="A38" s="1066"/>
      <c r="B38" s="1066"/>
      <c r="C38" s="1066"/>
      <c r="D38" s="1066"/>
      <c r="E38" s="1066"/>
      <c r="F38" s="1066"/>
      <c r="G38" s="1169"/>
      <c r="H38" s="1169"/>
      <c r="O38" s="1066"/>
      <c r="P38" s="1066"/>
      <c r="Q38" s="1066"/>
      <c r="R38" s="1066"/>
      <c r="S38" s="1066"/>
    </row>
    <row r="39" spans="1:19">
      <c r="A39" s="1066"/>
      <c r="B39" s="1066"/>
      <c r="C39" s="1066"/>
      <c r="D39" s="1066"/>
      <c r="E39" s="1066"/>
      <c r="F39" s="1066"/>
      <c r="G39" s="1169"/>
      <c r="H39" s="1169"/>
      <c r="O39" s="1066"/>
      <c r="P39" s="1066"/>
      <c r="Q39" s="1066"/>
      <c r="R39" s="1066"/>
      <c r="S39" s="1066"/>
    </row>
    <row r="40" spans="1:19">
      <c r="A40" s="1066"/>
      <c r="B40" s="1066"/>
      <c r="C40" s="1066"/>
      <c r="D40" s="1066"/>
      <c r="E40" s="1066"/>
      <c r="F40" s="1066"/>
      <c r="G40" s="1169"/>
      <c r="H40" s="1169"/>
      <c r="O40" s="1066"/>
      <c r="P40" s="1066"/>
      <c r="Q40" s="1066"/>
      <c r="R40" s="1066"/>
      <c r="S40" s="1066"/>
    </row>
    <row r="41" spans="1:19">
      <c r="A41" s="1066"/>
      <c r="B41" s="1066"/>
      <c r="C41" s="1066"/>
      <c r="D41" s="1066"/>
      <c r="E41" s="1066"/>
      <c r="F41" s="1066"/>
      <c r="G41" s="1169"/>
      <c r="H41" s="1169"/>
      <c r="O41" s="1066"/>
      <c r="P41" s="1066"/>
      <c r="Q41" s="1066"/>
      <c r="R41" s="1066"/>
      <c r="S41" s="1066"/>
    </row>
    <row r="42" spans="1:19">
      <c r="A42" s="1066"/>
      <c r="B42" s="1066"/>
      <c r="C42" s="1066"/>
      <c r="D42" s="1066"/>
      <c r="E42" s="1066"/>
      <c r="F42" s="1066"/>
      <c r="G42" s="1169"/>
      <c r="H42" s="1169"/>
      <c r="O42" s="1066"/>
      <c r="P42" s="1066"/>
      <c r="Q42" s="1066"/>
      <c r="R42" s="1066"/>
      <c r="S42" s="1066"/>
    </row>
    <row r="43" spans="1:19">
      <c r="A43" s="1066"/>
      <c r="B43" s="1066"/>
      <c r="C43" s="1066"/>
      <c r="D43" s="1066"/>
      <c r="E43" s="1066"/>
      <c r="F43" s="1066"/>
      <c r="G43" s="1169"/>
      <c r="H43" s="1169"/>
      <c r="O43" s="1066"/>
      <c r="P43" s="1066"/>
      <c r="Q43" s="1066"/>
      <c r="R43" s="1066"/>
      <c r="S43" s="1066"/>
    </row>
    <row r="44" spans="1:19">
      <c r="A44" s="1066"/>
      <c r="B44" s="1066"/>
      <c r="C44" s="1066"/>
      <c r="D44" s="1066"/>
      <c r="E44" s="1066"/>
      <c r="F44" s="1066"/>
      <c r="G44" s="1169"/>
      <c r="H44" s="1169"/>
      <c r="O44" s="1066"/>
      <c r="P44" s="1066"/>
      <c r="Q44" s="1066"/>
      <c r="R44" s="1066"/>
      <c r="S44" s="1066"/>
    </row>
    <row r="45" spans="1:19">
      <c r="A45" s="1066"/>
      <c r="B45" s="1066"/>
      <c r="C45" s="1066"/>
      <c r="D45" s="1066"/>
      <c r="E45" s="1066"/>
      <c r="F45" s="1066"/>
      <c r="G45" s="1169"/>
      <c r="H45" s="1169"/>
      <c r="O45" s="1066"/>
      <c r="P45" s="1066"/>
      <c r="Q45" s="1066"/>
      <c r="R45" s="1066"/>
      <c r="S45" s="1066"/>
    </row>
    <row r="46" spans="1:19">
      <c r="A46" s="1066"/>
      <c r="B46" s="1066"/>
      <c r="C46" s="1066"/>
      <c r="D46" s="1066"/>
      <c r="E46" s="1066"/>
      <c r="F46" s="1066"/>
      <c r="G46" s="1169"/>
      <c r="H46" s="1169"/>
      <c r="O46" s="1066"/>
      <c r="P46" s="1066"/>
      <c r="Q46" s="1066"/>
      <c r="R46" s="1066"/>
      <c r="S46" s="1066"/>
    </row>
    <row r="47" spans="1:19">
      <c r="A47" s="1066"/>
      <c r="B47" s="1066"/>
      <c r="C47" s="1066"/>
      <c r="D47" s="1066"/>
      <c r="E47" s="1066"/>
      <c r="F47" s="1066"/>
      <c r="G47" s="1169"/>
      <c r="H47" s="1169"/>
      <c r="O47" s="1066"/>
      <c r="P47" s="1066"/>
      <c r="Q47" s="1066"/>
      <c r="R47" s="1066"/>
      <c r="S47" s="1066"/>
    </row>
    <row r="48" spans="1:19">
      <c r="A48" s="1066"/>
      <c r="B48" s="1066"/>
      <c r="C48" s="1066"/>
      <c r="D48" s="1066"/>
      <c r="E48" s="1066"/>
      <c r="F48" s="1066"/>
      <c r="G48" s="1169"/>
      <c r="H48" s="1169"/>
      <c r="O48" s="1066"/>
      <c r="P48" s="1066"/>
      <c r="Q48" s="1066"/>
      <c r="R48" s="1066"/>
      <c r="S48" s="1066"/>
    </row>
    <row r="49" spans="1:19">
      <c r="A49" s="1066"/>
      <c r="B49" s="1066"/>
      <c r="C49" s="1066"/>
      <c r="D49" s="1066"/>
      <c r="E49" s="1066"/>
      <c r="F49" s="1066"/>
      <c r="G49" s="1169"/>
      <c r="H49" s="1169"/>
      <c r="O49" s="1066"/>
      <c r="P49" s="1066"/>
      <c r="Q49" s="1066"/>
      <c r="R49" s="1066"/>
      <c r="S49" s="1066"/>
    </row>
    <row r="50" spans="1:19">
      <c r="A50" s="1066"/>
      <c r="B50" s="1066"/>
      <c r="C50" s="1066"/>
      <c r="D50" s="1066"/>
      <c r="E50" s="1066"/>
      <c r="F50" s="1066"/>
      <c r="G50" s="1169"/>
      <c r="H50" s="1169"/>
      <c r="O50" s="1066"/>
      <c r="P50" s="1066"/>
      <c r="Q50" s="1066"/>
      <c r="R50" s="1066"/>
      <c r="S50" s="1066"/>
    </row>
    <row r="51" spans="1:19">
      <c r="A51" s="1066"/>
      <c r="B51" s="1066"/>
      <c r="C51" s="1066"/>
      <c r="D51" s="1066"/>
      <c r="E51" s="1066"/>
      <c r="F51" s="1066"/>
      <c r="G51" s="1169"/>
      <c r="H51" s="1169"/>
      <c r="O51" s="1066"/>
      <c r="P51" s="1066"/>
      <c r="Q51" s="1066"/>
      <c r="R51" s="1066"/>
      <c r="S51" s="1066"/>
    </row>
    <row r="52" spans="1:19">
      <c r="A52" s="1066"/>
      <c r="B52" s="1066"/>
      <c r="C52" s="1066"/>
      <c r="D52" s="1066"/>
      <c r="E52" s="1066"/>
      <c r="F52" s="1066"/>
      <c r="G52" s="1169"/>
      <c r="H52" s="1169"/>
      <c r="O52" s="1066"/>
      <c r="P52" s="1066"/>
      <c r="Q52" s="1066"/>
      <c r="R52" s="1066"/>
      <c r="S52" s="1066"/>
    </row>
    <row r="53" spans="1:19">
      <c r="A53" s="1066"/>
      <c r="B53" s="1066"/>
      <c r="C53" s="1066"/>
      <c r="D53" s="1066"/>
      <c r="E53" s="1066"/>
      <c r="F53" s="1066"/>
      <c r="G53" s="1169"/>
      <c r="H53" s="1169"/>
      <c r="O53" s="1066"/>
      <c r="P53" s="1066"/>
      <c r="Q53" s="1066"/>
      <c r="R53" s="1066"/>
      <c r="S53" s="1066"/>
    </row>
    <row r="54" spans="1:19">
      <c r="A54" s="1066"/>
      <c r="B54" s="1066"/>
      <c r="C54" s="1066"/>
      <c r="D54" s="1066"/>
      <c r="E54" s="1066"/>
      <c r="F54" s="1066"/>
      <c r="G54" s="1169"/>
      <c r="H54" s="1169"/>
      <c r="O54" s="1066"/>
      <c r="P54" s="1066"/>
      <c r="Q54" s="1066"/>
      <c r="R54" s="1066"/>
      <c r="S54" s="1066"/>
    </row>
    <row r="55" spans="1:19">
      <c r="A55" s="1066"/>
      <c r="B55" s="1066"/>
      <c r="C55" s="1066"/>
      <c r="D55" s="1066"/>
      <c r="E55" s="1066"/>
      <c r="F55" s="1066"/>
      <c r="G55" s="1169"/>
      <c r="H55" s="1169"/>
      <c r="O55" s="1066"/>
      <c r="P55" s="1066"/>
      <c r="Q55" s="1066"/>
      <c r="R55" s="1066"/>
      <c r="S55" s="1066"/>
    </row>
    <row r="56" spans="1:19">
      <c r="A56" s="1066"/>
      <c r="B56" s="1066"/>
      <c r="C56" s="1066"/>
      <c r="D56" s="1066"/>
      <c r="E56" s="1066"/>
      <c r="F56" s="1066"/>
      <c r="G56" s="1169"/>
      <c r="H56" s="1169"/>
      <c r="O56" s="1066"/>
      <c r="P56" s="1066"/>
      <c r="Q56" s="1066"/>
      <c r="R56" s="1066"/>
      <c r="S56" s="1066"/>
    </row>
    <row r="57" spans="1:19">
      <c r="A57" s="1066"/>
      <c r="B57" s="1066"/>
      <c r="C57" s="1066"/>
      <c r="D57" s="1066"/>
      <c r="E57" s="1066"/>
      <c r="F57" s="1066"/>
      <c r="G57" s="1169"/>
      <c r="H57" s="1169"/>
      <c r="O57" s="1066"/>
      <c r="P57" s="1066"/>
      <c r="Q57" s="1066"/>
      <c r="R57" s="1066"/>
      <c r="S57" s="1066"/>
    </row>
    <row r="58" spans="1:19">
      <c r="A58" s="1066"/>
      <c r="B58" s="1066"/>
      <c r="C58" s="1066"/>
      <c r="D58" s="1066"/>
      <c r="E58" s="1066"/>
      <c r="F58" s="1066"/>
      <c r="G58" s="1169"/>
      <c r="H58" s="1169"/>
      <c r="O58" s="1066"/>
      <c r="P58" s="1066"/>
      <c r="Q58" s="1066"/>
      <c r="R58" s="1066"/>
      <c r="S58" s="1066"/>
    </row>
    <row r="59" spans="1:19">
      <c r="A59" s="1066"/>
      <c r="B59" s="1066"/>
      <c r="C59" s="1066"/>
      <c r="D59" s="1066"/>
      <c r="E59" s="1066"/>
      <c r="F59" s="1066"/>
      <c r="G59" s="1169"/>
      <c r="H59" s="1169"/>
      <c r="O59" s="1066"/>
      <c r="P59" s="1066"/>
      <c r="Q59" s="1066"/>
      <c r="R59" s="1066"/>
      <c r="S59" s="1066"/>
    </row>
    <row r="60" spans="1:19">
      <c r="A60" s="1066"/>
      <c r="B60" s="1066"/>
      <c r="C60" s="1066"/>
      <c r="D60" s="1066"/>
      <c r="E60" s="1066"/>
      <c r="F60" s="1066"/>
      <c r="G60" s="1169"/>
      <c r="H60" s="1169"/>
      <c r="O60" s="1066"/>
      <c r="P60" s="1066"/>
      <c r="Q60" s="1066"/>
      <c r="R60" s="1066"/>
      <c r="S60" s="1066"/>
    </row>
    <row r="61" spans="1:19">
      <c r="A61" s="1066"/>
      <c r="B61" s="1066"/>
      <c r="C61" s="1066"/>
      <c r="D61" s="1066"/>
      <c r="E61" s="1066"/>
      <c r="F61" s="1066"/>
      <c r="G61" s="1169"/>
      <c r="H61" s="1169"/>
      <c r="O61" s="1066"/>
      <c r="P61" s="1066"/>
      <c r="Q61" s="1066"/>
      <c r="R61" s="1066"/>
      <c r="S61" s="1066"/>
    </row>
    <row r="62" spans="1:19">
      <c r="A62" s="1066"/>
      <c r="B62" s="1066"/>
      <c r="C62" s="1066"/>
      <c r="D62" s="1066"/>
      <c r="E62" s="1066"/>
      <c r="F62" s="1066"/>
      <c r="G62" s="1169"/>
      <c r="H62" s="1169"/>
      <c r="O62" s="1066"/>
      <c r="P62" s="1066"/>
      <c r="Q62" s="1066"/>
      <c r="R62" s="1066"/>
      <c r="S62" s="1066"/>
    </row>
    <row r="63" spans="1:19">
      <c r="A63" s="1066"/>
      <c r="B63" s="1066"/>
      <c r="C63" s="1066"/>
      <c r="D63" s="1066"/>
      <c r="E63" s="1066"/>
      <c r="F63" s="1066"/>
      <c r="G63" s="1169"/>
      <c r="H63" s="1169"/>
      <c r="O63" s="1066"/>
      <c r="P63" s="1066"/>
      <c r="Q63" s="1066"/>
      <c r="R63" s="1066"/>
      <c r="S63" s="1066"/>
    </row>
    <row r="64" spans="1:19">
      <c r="A64" s="1066"/>
      <c r="B64" s="1066"/>
      <c r="C64" s="1066"/>
      <c r="D64" s="1066"/>
      <c r="E64" s="1066"/>
      <c r="F64" s="1066"/>
      <c r="G64" s="1169"/>
      <c r="H64" s="1169"/>
      <c r="O64" s="1066"/>
      <c r="P64" s="1066"/>
      <c r="Q64" s="1066"/>
      <c r="R64" s="1066"/>
      <c r="S64" s="1066"/>
    </row>
    <row r="65" spans="1:19">
      <c r="A65" s="1066"/>
      <c r="B65" s="1066"/>
      <c r="C65" s="1066"/>
      <c r="D65" s="1066"/>
      <c r="E65" s="1066"/>
      <c r="F65" s="1066"/>
      <c r="G65" s="1169"/>
      <c r="H65" s="1169"/>
      <c r="O65" s="1066"/>
      <c r="P65" s="1066"/>
      <c r="Q65" s="1066"/>
      <c r="R65" s="1066"/>
      <c r="S65" s="1066"/>
    </row>
    <row r="66" spans="1:19">
      <c r="A66" s="1066"/>
      <c r="B66" s="1066"/>
      <c r="C66" s="1066"/>
      <c r="D66" s="1066"/>
      <c r="E66" s="1066"/>
      <c r="F66" s="1066"/>
      <c r="G66" s="1169"/>
      <c r="H66" s="1169"/>
      <c r="O66" s="1066"/>
      <c r="P66" s="1066"/>
      <c r="Q66" s="1066"/>
      <c r="R66" s="1066"/>
      <c r="S66" s="1066"/>
    </row>
    <row r="67" spans="1:19">
      <c r="A67" s="1066"/>
      <c r="B67" s="1066"/>
      <c r="C67" s="1066"/>
      <c r="D67" s="1066"/>
      <c r="E67" s="1066"/>
      <c r="F67" s="1066"/>
      <c r="G67" s="1169"/>
      <c r="H67" s="1169"/>
      <c r="O67" s="1066"/>
      <c r="P67" s="1066"/>
      <c r="Q67" s="1066"/>
      <c r="R67" s="1066"/>
      <c r="S67" s="1066"/>
    </row>
    <row r="68" spans="1:19">
      <c r="A68" s="1066"/>
      <c r="B68" s="1066"/>
      <c r="C68" s="1066"/>
      <c r="D68" s="1066"/>
      <c r="E68" s="1066"/>
      <c r="F68" s="1066"/>
      <c r="G68" s="1169"/>
      <c r="H68" s="1169"/>
      <c r="O68" s="1066"/>
      <c r="P68" s="1066"/>
      <c r="Q68" s="1066"/>
      <c r="R68" s="1066"/>
      <c r="S68" s="1066"/>
    </row>
    <row r="69" spans="1:19">
      <c r="A69" s="1066"/>
      <c r="B69" s="1066"/>
      <c r="C69" s="1066"/>
      <c r="D69" s="1066"/>
      <c r="E69" s="1066"/>
      <c r="F69" s="1066"/>
      <c r="G69" s="1169"/>
      <c r="H69" s="1169"/>
      <c r="O69" s="1066"/>
      <c r="P69" s="1066"/>
      <c r="Q69" s="1066"/>
      <c r="R69" s="1066"/>
      <c r="S69" s="1066"/>
    </row>
    <row r="70" spans="1:19">
      <c r="A70" s="1066"/>
      <c r="B70" s="1066"/>
      <c r="C70" s="1066"/>
      <c r="D70" s="1066"/>
      <c r="E70" s="1066"/>
      <c r="F70" s="1066"/>
      <c r="G70" s="1169"/>
      <c r="H70" s="1169"/>
      <c r="O70" s="1066"/>
      <c r="P70" s="1066"/>
      <c r="Q70" s="1066"/>
      <c r="R70" s="1066"/>
      <c r="S70" s="1066"/>
    </row>
    <row r="71" spans="1:19">
      <c r="A71" s="1066"/>
      <c r="B71" s="1066"/>
      <c r="C71" s="1066"/>
      <c r="D71" s="1066"/>
      <c r="E71" s="1066"/>
      <c r="F71" s="1066"/>
      <c r="G71" s="1169"/>
      <c r="H71" s="1169"/>
      <c r="O71" s="1066"/>
      <c r="P71" s="1066"/>
      <c r="Q71" s="1066"/>
      <c r="R71" s="1066"/>
      <c r="S71" s="1066"/>
    </row>
    <row r="72" spans="1:19">
      <c r="A72" s="1066"/>
      <c r="B72" s="1066"/>
      <c r="C72" s="1066"/>
      <c r="D72" s="1066"/>
      <c r="E72" s="1066"/>
      <c r="F72" s="1066"/>
      <c r="G72" s="1169"/>
      <c r="H72" s="1169"/>
      <c r="O72" s="1066"/>
      <c r="P72" s="1066"/>
      <c r="Q72" s="1066"/>
      <c r="R72" s="1066"/>
      <c r="S72" s="1066"/>
    </row>
    <row r="73" spans="1:19">
      <c r="A73" s="1066"/>
      <c r="B73" s="1066"/>
      <c r="C73" s="1066"/>
      <c r="D73" s="1066"/>
      <c r="E73" s="1066"/>
      <c r="F73" s="1066"/>
      <c r="G73" s="1169"/>
      <c r="H73" s="1169"/>
      <c r="O73" s="1066"/>
      <c r="P73" s="1066"/>
      <c r="Q73" s="1066"/>
      <c r="R73" s="1066"/>
      <c r="S73" s="1066"/>
    </row>
    <row r="74" spans="1:19">
      <c r="A74" s="1066"/>
      <c r="B74" s="1066"/>
      <c r="C74" s="1066"/>
      <c r="D74" s="1066"/>
      <c r="E74" s="1066"/>
      <c r="F74" s="1066"/>
      <c r="G74" s="1169"/>
      <c r="H74" s="1169"/>
      <c r="O74" s="1066"/>
      <c r="P74" s="1066"/>
      <c r="Q74" s="1066"/>
      <c r="R74" s="1066"/>
      <c r="S74" s="1066"/>
    </row>
    <row r="75" spans="1:19">
      <c r="A75" s="1066"/>
      <c r="B75" s="1066"/>
      <c r="C75" s="1066"/>
      <c r="D75" s="1066"/>
      <c r="E75" s="1066"/>
      <c r="F75" s="1066"/>
      <c r="G75" s="1169"/>
      <c r="H75" s="1169"/>
      <c r="O75" s="1066"/>
      <c r="P75" s="1066"/>
      <c r="Q75" s="1066"/>
      <c r="R75" s="1066"/>
      <c r="S75" s="1066"/>
    </row>
    <row r="76" spans="1:19">
      <c r="A76" s="1066"/>
      <c r="B76" s="1066"/>
      <c r="C76" s="1066"/>
      <c r="D76" s="1066"/>
      <c r="E76" s="1066"/>
      <c r="F76" s="1066"/>
      <c r="G76" s="1169"/>
      <c r="H76" s="1169"/>
      <c r="O76" s="1066"/>
      <c r="P76" s="1066"/>
      <c r="Q76" s="1066"/>
      <c r="R76" s="1066"/>
      <c r="S76" s="1066"/>
    </row>
    <row r="77" spans="1:19">
      <c r="A77" s="1066"/>
      <c r="B77" s="1066"/>
      <c r="C77" s="1066"/>
      <c r="D77" s="1066"/>
      <c r="E77" s="1066"/>
      <c r="F77" s="1066"/>
      <c r="G77" s="1169"/>
      <c r="H77" s="1169"/>
      <c r="O77" s="1066"/>
      <c r="P77" s="1066"/>
      <c r="Q77" s="1066"/>
      <c r="R77" s="1066"/>
      <c r="S77" s="1066"/>
    </row>
    <row r="78" spans="1:19">
      <c r="A78" s="1066"/>
      <c r="B78" s="1066"/>
      <c r="C78" s="1066"/>
      <c r="D78" s="1066"/>
      <c r="E78" s="1066"/>
      <c r="F78" s="1066"/>
      <c r="G78" s="1169"/>
      <c r="H78" s="1169"/>
      <c r="O78" s="1066"/>
      <c r="P78" s="1066"/>
      <c r="Q78" s="1066"/>
      <c r="R78" s="1066"/>
      <c r="S78" s="1066"/>
    </row>
    <row r="79" spans="1:19">
      <c r="A79" s="1066"/>
      <c r="B79" s="1066"/>
      <c r="C79" s="1066"/>
      <c r="D79" s="1066"/>
      <c r="E79" s="1066"/>
      <c r="F79" s="1066"/>
      <c r="G79" s="1169"/>
      <c r="H79" s="1169"/>
      <c r="O79" s="1066"/>
      <c r="P79" s="1066"/>
      <c r="Q79" s="1066"/>
      <c r="R79" s="1066"/>
      <c r="S79" s="1066"/>
    </row>
    <row r="80" spans="1:19">
      <c r="A80" s="1066"/>
      <c r="B80" s="1066"/>
      <c r="C80" s="1066"/>
      <c r="D80" s="1066"/>
      <c r="E80" s="1066"/>
      <c r="F80" s="1066"/>
      <c r="G80" s="1169"/>
      <c r="H80" s="1169"/>
      <c r="O80" s="1066"/>
      <c r="P80" s="1066"/>
      <c r="Q80" s="1066"/>
      <c r="R80" s="1066"/>
      <c r="S80" s="1066"/>
    </row>
    <row r="81" spans="1:19">
      <c r="A81" s="1066"/>
      <c r="B81" s="1066"/>
      <c r="C81" s="1066"/>
      <c r="D81" s="1066"/>
      <c r="E81" s="1066"/>
      <c r="F81" s="1066"/>
      <c r="G81" s="1169"/>
      <c r="H81" s="1169"/>
      <c r="O81" s="1066"/>
      <c r="P81" s="1066"/>
      <c r="Q81" s="1066"/>
      <c r="R81" s="1066"/>
      <c r="S81" s="1066"/>
    </row>
    <row r="82" spans="1:19">
      <c r="A82" s="1066"/>
      <c r="B82" s="1066"/>
      <c r="C82" s="1066"/>
      <c r="D82" s="1066"/>
      <c r="E82" s="1066"/>
      <c r="F82" s="1066"/>
      <c r="G82" s="1169"/>
      <c r="H82" s="1169"/>
      <c r="O82" s="1066"/>
      <c r="P82" s="1066"/>
      <c r="Q82" s="1066"/>
      <c r="R82" s="1066"/>
      <c r="S82" s="1066"/>
    </row>
    <row r="83" spans="1:19">
      <c r="A83" s="1066"/>
      <c r="B83" s="1066"/>
      <c r="C83" s="1066"/>
      <c r="D83" s="1066"/>
      <c r="E83" s="1066"/>
      <c r="F83" s="1066"/>
      <c r="G83" s="1169"/>
      <c r="H83" s="1169"/>
      <c r="O83" s="1066"/>
      <c r="P83" s="1066"/>
      <c r="Q83" s="1066"/>
      <c r="R83" s="1066"/>
      <c r="S83" s="1066"/>
    </row>
    <row r="84" spans="1:19">
      <c r="A84" s="1066"/>
      <c r="B84" s="1066"/>
      <c r="C84" s="1066"/>
      <c r="D84" s="1066"/>
      <c r="E84" s="1066"/>
      <c r="F84" s="1066"/>
      <c r="G84" s="1169"/>
      <c r="H84" s="1169"/>
      <c r="O84" s="1066"/>
      <c r="P84" s="1066"/>
      <c r="Q84" s="1066"/>
      <c r="R84" s="1066"/>
      <c r="S84" s="1066"/>
    </row>
    <row r="85" spans="1:19">
      <c r="A85" s="1066"/>
      <c r="B85" s="1066"/>
      <c r="C85" s="1066"/>
      <c r="D85" s="1066"/>
      <c r="E85" s="1066"/>
      <c r="F85" s="1066"/>
      <c r="G85" s="1169"/>
      <c r="H85" s="1169"/>
      <c r="O85" s="1066"/>
      <c r="P85" s="1066"/>
      <c r="Q85" s="1066"/>
      <c r="R85" s="1066"/>
      <c r="S85" s="1066"/>
    </row>
    <row r="86" spans="1:19">
      <c r="A86" s="1066"/>
      <c r="B86" s="1066"/>
      <c r="C86" s="1066"/>
      <c r="D86" s="1066"/>
      <c r="E86" s="1066"/>
      <c r="F86" s="1066"/>
      <c r="G86" s="1169"/>
      <c r="H86" s="1169"/>
      <c r="O86" s="1066"/>
      <c r="P86" s="1066"/>
      <c r="Q86" s="1066"/>
      <c r="R86" s="1066"/>
      <c r="S86" s="1066"/>
    </row>
    <row r="87" spans="1:19">
      <c r="A87" s="1066"/>
      <c r="B87" s="1066"/>
      <c r="C87" s="1066"/>
      <c r="D87" s="1066"/>
      <c r="E87" s="1066"/>
      <c r="F87" s="1066"/>
      <c r="G87" s="1169"/>
      <c r="H87" s="1169"/>
      <c r="O87" s="1066"/>
      <c r="P87" s="1066"/>
      <c r="Q87" s="1066"/>
      <c r="R87" s="1066"/>
      <c r="S87" s="1066"/>
    </row>
    <row r="88" spans="1:19">
      <c r="A88" s="1066"/>
      <c r="B88" s="1066"/>
      <c r="C88" s="1066"/>
      <c r="D88" s="1066"/>
      <c r="E88" s="1066"/>
      <c r="F88" s="1066"/>
      <c r="G88" s="1169"/>
      <c r="H88" s="1169"/>
      <c r="O88" s="1066"/>
      <c r="P88" s="1066"/>
      <c r="Q88" s="1066"/>
      <c r="R88" s="1066"/>
      <c r="S88" s="1066"/>
    </row>
    <row r="89" spans="1:19">
      <c r="A89" s="1066"/>
      <c r="B89" s="1066"/>
      <c r="C89" s="1066"/>
      <c r="D89" s="1066"/>
      <c r="E89" s="1066"/>
      <c r="F89" s="1066"/>
      <c r="G89" s="1169"/>
      <c r="H89" s="1169"/>
      <c r="O89" s="1066"/>
      <c r="P89" s="1066"/>
      <c r="Q89" s="1066"/>
      <c r="R89" s="1066"/>
      <c r="S89" s="1066"/>
    </row>
    <row r="90" spans="1:19" ht="15">
      <c r="A90" s="1066"/>
      <c r="B90" s="1066"/>
      <c r="C90" s="1066"/>
      <c r="D90" s="1066"/>
      <c r="E90" s="1066"/>
      <c r="F90" s="1066"/>
      <c r="G90" s="1173"/>
      <c r="H90" s="1169"/>
      <c r="O90" s="1066"/>
      <c r="P90" s="1066"/>
      <c r="Q90" s="1066"/>
      <c r="R90" s="1066"/>
      <c r="S90" s="1066"/>
    </row>
  </sheetData>
  <protectedRanges>
    <protectedRange sqref="A11:F11 A14:F25 A26:F218" name="Rango2"/>
    <protectedRange sqref="O1:P4 T1:T4 T91:T65555 O10:P11 O91:P65555 O30:P90 T30:T90 T10:T25 O14:P25 O26:P29 T26:T29" name="Rango1"/>
  </protectedRanges>
  <mergeCells count="22">
    <mergeCell ref="T7:T11"/>
    <mergeCell ref="B10:B11"/>
    <mergeCell ref="A1:T1"/>
    <mergeCell ref="B2:T2"/>
    <mergeCell ref="S3:T3"/>
    <mergeCell ref="B4:T4"/>
    <mergeCell ref="A6:N6"/>
    <mergeCell ref="O10:S10"/>
    <mergeCell ref="A23:J23"/>
    <mergeCell ref="L28:P28"/>
    <mergeCell ref="L29:P29"/>
    <mergeCell ref="C10:C11"/>
    <mergeCell ref="D10:D11"/>
    <mergeCell ref="I10:I11"/>
    <mergeCell ref="J10:J11"/>
    <mergeCell ref="K10:N10"/>
    <mergeCell ref="A7:A11"/>
    <mergeCell ref="B7:D7"/>
    <mergeCell ref="E7:E11"/>
    <mergeCell ref="F7:F11"/>
    <mergeCell ref="G7:G11"/>
    <mergeCell ref="I7:N7"/>
  </mergeCells>
  <pageMargins left="0.35433070866141736" right="0.35433070866141736" top="1.1811023622047245" bottom="0.39370078740157483" header="0.31496062992125984" footer="0.31496062992125984"/>
  <pageSetup paperSize="5" scale="54" fitToHeight="10" orientation="landscape" r:id="rId1"/>
  <colBreaks count="1" manualBreakCount="1">
    <brk id="1" max="1048575" man="1"/>
  </colBreaks>
  <drawing r:id="rId2"/>
  <legacyDrawingHF r:id="rId3"/>
</worksheet>
</file>

<file path=xl/worksheets/sheet34.xml><?xml version="1.0" encoding="utf-8"?>
<worksheet xmlns="http://schemas.openxmlformats.org/spreadsheetml/2006/main" xmlns:r="http://schemas.openxmlformats.org/officeDocument/2006/relationships">
  <dimension ref="A1:M25"/>
  <sheetViews>
    <sheetView zoomScalePageLayoutView="70" workbookViewId="0">
      <selection activeCell="L9" sqref="L9"/>
    </sheetView>
  </sheetViews>
  <sheetFormatPr baseColWidth="10" defaultRowHeight="15"/>
  <cols>
    <col min="1" max="1" width="16.140625" customWidth="1"/>
    <col min="2" max="2" width="39.28515625" customWidth="1"/>
    <col min="3" max="3" width="25.42578125" customWidth="1"/>
    <col min="4" max="4" width="31.85546875" customWidth="1"/>
    <col min="5" max="5" width="12.28515625" customWidth="1"/>
    <col min="6" max="6" width="12.42578125" customWidth="1"/>
    <col min="7" max="7" width="11.85546875" customWidth="1"/>
    <col min="8" max="8" width="17.28515625" customWidth="1"/>
    <col min="9" max="9" width="17" customWidth="1"/>
    <col min="10" max="10" width="20.5703125" customWidth="1"/>
    <col min="11" max="11" width="23.7109375" customWidth="1"/>
    <col min="12" max="12" width="8.5703125" customWidth="1"/>
    <col min="13" max="13" width="8.42578125" customWidth="1"/>
    <col min="14" max="14" width="7.28515625" customWidth="1"/>
  </cols>
  <sheetData>
    <row r="1" spans="1:13" ht="16.5" thickBot="1">
      <c r="A1" s="1492" t="s">
        <v>1076</v>
      </c>
      <c r="B1" s="1493"/>
      <c r="C1" s="1494"/>
      <c r="D1" s="1495"/>
      <c r="E1" s="1495"/>
      <c r="F1" s="1495"/>
      <c r="G1" s="1495"/>
      <c r="H1" s="1495"/>
      <c r="I1" s="1495"/>
      <c r="J1" s="1495"/>
      <c r="K1" s="1496"/>
    </row>
    <row r="2" spans="1:13" ht="16.5" thickBot="1">
      <c r="A2" s="1492" t="s">
        <v>1077</v>
      </c>
      <c r="B2" s="1493"/>
      <c r="C2" s="1494"/>
      <c r="D2" s="1495"/>
      <c r="E2" s="1495"/>
      <c r="F2" s="1495"/>
      <c r="G2" s="1495"/>
      <c r="H2" s="1495"/>
      <c r="I2" s="1495"/>
      <c r="J2" s="1495"/>
      <c r="K2" s="1496"/>
    </row>
    <row r="3" spans="1:13" ht="17.25" customHeight="1" thickBot="1">
      <c r="A3" s="1492" t="s">
        <v>1078</v>
      </c>
      <c r="B3" s="1493"/>
      <c r="C3" s="1494"/>
      <c r="D3" s="1495"/>
      <c r="E3" s="1495"/>
      <c r="F3" s="1495"/>
      <c r="G3" s="1495"/>
      <c r="H3" s="1495"/>
      <c r="I3" s="1495"/>
      <c r="J3" s="1495"/>
      <c r="K3" s="1496"/>
    </row>
    <row r="4" spans="1:13" ht="16.5" thickBot="1">
      <c r="A4" s="1492" t="s">
        <v>1079</v>
      </c>
      <c r="B4" s="1493"/>
      <c r="C4" s="1494"/>
      <c r="D4" s="1495"/>
      <c r="E4" s="1495"/>
      <c r="F4" s="1495"/>
      <c r="G4" s="1495"/>
      <c r="H4" s="1495"/>
      <c r="I4" s="1495"/>
      <c r="J4" s="1495"/>
      <c r="K4" s="1496"/>
    </row>
    <row r="5" spans="1:13" ht="16.5" thickBot="1">
      <c r="A5" s="1492" t="s">
        <v>1080</v>
      </c>
      <c r="B5" s="1493"/>
      <c r="C5" s="1494"/>
      <c r="D5" s="1495"/>
      <c r="E5" s="1495"/>
      <c r="F5" s="1495"/>
      <c r="G5" s="1495"/>
      <c r="H5" s="1495"/>
      <c r="I5" s="1495"/>
      <c r="J5" s="1495"/>
      <c r="K5" s="1496"/>
    </row>
    <row r="6" spans="1:13" ht="16.5" customHeight="1"/>
    <row r="7" spans="1:13" ht="31.5" customHeight="1">
      <c r="A7" s="1497"/>
      <c r="B7" s="893" t="s">
        <v>1081</v>
      </c>
      <c r="C7" s="1499" t="s">
        <v>1082</v>
      </c>
      <c r="D7" s="1499"/>
      <c r="E7" s="1499"/>
      <c r="F7" s="1499"/>
      <c r="G7" s="1499"/>
      <c r="H7" s="893" t="s">
        <v>1083</v>
      </c>
      <c r="I7" s="1500" t="s">
        <v>1084</v>
      </c>
      <c r="J7" s="894" t="s">
        <v>1085</v>
      </c>
      <c r="K7" s="1501" t="s">
        <v>1086</v>
      </c>
      <c r="L7" s="1488" t="s">
        <v>1087</v>
      </c>
      <c r="M7" s="1488" t="s">
        <v>1088</v>
      </c>
    </row>
    <row r="8" spans="1:13" ht="33.75" customHeight="1">
      <c r="A8" s="1498"/>
      <c r="B8" s="895" t="s">
        <v>1089</v>
      </c>
      <c r="C8" s="895" t="s">
        <v>1090</v>
      </c>
      <c r="D8" s="895" t="s">
        <v>1091</v>
      </c>
      <c r="E8" s="895" t="s">
        <v>1092</v>
      </c>
      <c r="F8" s="896" t="s">
        <v>1093</v>
      </c>
      <c r="G8" s="896" t="s">
        <v>1094</v>
      </c>
      <c r="H8" s="895" t="s">
        <v>1095</v>
      </c>
      <c r="I8" s="1500"/>
      <c r="J8" s="897" t="s">
        <v>1096</v>
      </c>
      <c r="K8" s="1501"/>
      <c r="L8" s="1488"/>
      <c r="M8" s="1488"/>
    </row>
    <row r="9" spans="1:13" ht="144.75" customHeight="1">
      <c r="A9" s="895" t="s">
        <v>1097</v>
      </c>
      <c r="B9" s="898"/>
      <c r="C9" s="898"/>
      <c r="D9" s="898"/>
      <c r="E9" s="898"/>
      <c r="F9" s="898"/>
      <c r="G9" s="898"/>
      <c r="H9" s="899"/>
      <c r="I9" s="900"/>
      <c r="J9" s="898"/>
      <c r="K9" s="898"/>
      <c r="L9" s="901"/>
      <c r="M9" s="902"/>
    </row>
    <row r="10" spans="1:13" ht="74.25" customHeight="1">
      <c r="A10" s="903" t="s">
        <v>1098</v>
      </c>
      <c r="B10" s="1489"/>
      <c r="C10" s="1483"/>
      <c r="D10" s="1483"/>
      <c r="E10" s="1483"/>
      <c r="F10" s="1483"/>
      <c r="G10" s="1483"/>
      <c r="H10" s="1490"/>
      <c r="I10" s="1477"/>
      <c r="J10" s="1477"/>
      <c r="K10" s="1483"/>
      <c r="L10" s="904"/>
      <c r="M10" s="905"/>
    </row>
    <row r="11" spans="1:13" ht="115.5" customHeight="1">
      <c r="A11" s="906"/>
      <c r="B11" s="1489"/>
      <c r="C11" s="1484"/>
      <c r="D11" s="1484"/>
      <c r="E11" s="1484"/>
      <c r="F11" s="1484"/>
      <c r="G11" s="1484"/>
      <c r="H11" s="1491"/>
      <c r="I11" s="1478"/>
      <c r="J11" s="1478"/>
      <c r="K11" s="1484"/>
      <c r="L11" s="907"/>
      <c r="M11" s="908"/>
    </row>
    <row r="12" spans="1:13" ht="69.75" customHeight="1">
      <c r="A12" s="1485" t="s">
        <v>1099</v>
      </c>
      <c r="B12" s="898"/>
      <c r="C12" s="898"/>
      <c r="D12" s="898"/>
      <c r="E12" s="898"/>
      <c r="F12" s="898"/>
      <c r="G12" s="898"/>
      <c r="H12" s="909"/>
      <c r="I12" s="899"/>
      <c r="J12" s="898"/>
      <c r="K12" s="898"/>
      <c r="L12" s="910"/>
      <c r="M12" s="911"/>
    </row>
    <row r="13" spans="1:13" ht="95.25" customHeight="1">
      <c r="A13" s="1486"/>
      <c r="B13" s="898"/>
      <c r="C13" s="898"/>
      <c r="D13" s="898"/>
      <c r="E13" s="898"/>
      <c r="F13" s="898"/>
      <c r="G13" s="898"/>
      <c r="H13" s="912"/>
      <c r="I13" s="909"/>
      <c r="J13" s="898"/>
      <c r="K13" s="898"/>
      <c r="L13" s="913"/>
      <c r="M13" s="914"/>
    </row>
    <row r="14" spans="1:13" ht="71.25" customHeight="1">
      <c r="A14" s="1486"/>
      <c r="B14" s="1483"/>
      <c r="C14" s="1477"/>
      <c r="D14" s="1477"/>
      <c r="E14" s="1477"/>
      <c r="F14" s="1477"/>
      <c r="G14" s="1477"/>
      <c r="H14" s="1479"/>
      <c r="I14" s="1481"/>
      <c r="J14" s="1483"/>
      <c r="K14" s="915"/>
      <c r="L14" s="916"/>
      <c r="M14" s="917"/>
    </row>
    <row r="15" spans="1:13" ht="32.25" customHeight="1">
      <c r="A15" s="1486"/>
      <c r="B15" s="1484"/>
      <c r="C15" s="1478"/>
      <c r="D15" s="1478"/>
      <c r="E15" s="1478"/>
      <c r="F15" s="1478"/>
      <c r="G15" s="1478"/>
      <c r="H15" s="1480"/>
      <c r="I15" s="1482"/>
      <c r="J15" s="1484"/>
      <c r="K15" s="918"/>
      <c r="L15" s="919"/>
      <c r="M15" s="920"/>
    </row>
    <row r="16" spans="1:13">
      <c r="A16" s="1487"/>
      <c r="B16" s="921"/>
      <c r="C16" s="922"/>
      <c r="D16" s="922"/>
      <c r="E16" s="922"/>
      <c r="F16" s="922"/>
      <c r="G16" s="922"/>
      <c r="H16" s="923"/>
      <c r="I16" s="924"/>
      <c r="J16" s="925"/>
      <c r="K16" s="898"/>
      <c r="L16" s="926"/>
      <c r="M16" s="914"/>
    </row>
    <row r="17" spans="1:13">
      <c r="A17" s="1475" t="s">
        <v>1100</v>
      </c>
      <c r="B17" s="898"/>
      <c r="C17" s="898"/>
      <c r="D17" s="898"/>
      <c r="E17" s="898"/>
      <c r="F17" s="898"/>
      <c r="G17" s="898"/>
      <c r="H17" s="909"/>
      <c r="I17" s="927"/>
      <c r="J17" s="898"/>
      <c r="K17" s="898"/>
      <c r="L17" s="928"/>
      <c r="M17" s="929"/>
    </row>
    <row r="18" spans="1:13">
      <c r="A18" s="1476"/>
      <c r="B18" s="898"/>
      <c r="C18" s="898"/>
      <c r="D18" s="898"/>
      <c r="E18" s="898"/>
      <c r="F18" s="898"/>
      <c r="G18" s="898"/>
      <c r="H18" s="909"/>
      <c r="I18" s="927"/>
      <c r="J18" s="921"/>
      <c r="K18" s="921"/>
      <c r="L18" s="930"/>
      <c r="M18" s="917"/>
    </row>
    <row r="19" spans="1:13" ht="68.25" customHeight="1">
      <c r="A19" s="1476"/>
      <c r="B19" s="898"/>
      <c r="C19" s="898"/>
      <c r="D19" s="898"/>
      <c r="E19" s="898"/>
      <c r="F19" s="898"/>
      <c r="G19" s="898"/>
      <c r="H19" s="909"/>
      <c r="I19" s="909"/>
      <c r="J19" s="898"/>
      <c r="K19" s="898"/>
      <c r="L19" s="931"/>
      <c r="M19" s="914"/>
    </row>
    <row r="20" spans="1:13" ht="59.25" customHeight="1">
      <c r="A20" s="1476"/>
      <c r="B20" s="898"/>
      <c r="C20" s="898"/>
      <c r="D20" s="898"/>
      <c r="E20" s="898"/>
      <c r="F20" s="898"/>
      <c r="G20" s="898"/>
      <c r="H20" s="909"/>
      <c r="I20" s="909"/>
      <c r="J20" s="898"/>
      <c r="K20" s="898"/>
      <c r="L20" s="913"/>
      <c r="M20" s="917"/>
    </row>
    <row r="21" spans="1:13" ht="64.5" customHeight="1">
      <c r="A21" s="1476"/>
      <c r="B21" s="898"/>
      <c r="C21" s="898"/>
      <c r="D21" s="898"/>
      <c r="E21" s="898"/>
      <c r="F21" s="898"/>
      <c r="G21" s="898"/>
      <c r="H21" s="909"/>
      <c r="I21" s="909"/>
      <c r="J21" s="921"/>
      <c r="K21" s="921"/>
      <c r="L21" s="932"/>
      <c r="M21" s="917"/>
    </row>
    <row r="22" spans="1:13" ht="64.5" customHeight="1">
      <c r="A22" s="1476"/>
      <c r="B22" s="898"/>
      <c r="C22" s="898"/>
      <c r="D22" s="898"/>
      <c r="E22" s="898"/>
      <c r="F22" s="898"/>
      <c r="G22" s="898"/>
      <c r="H22" s="909"/>
      <c r="I22" s="909"/>
      <c r="J22" s="933"/>
      <c r="K22" s="915"/>
      <c r="L22" s="934"/>
      <c r="M22" s="911"/>
    </row>
    <row r="23" spans="1:13">
      <c r="A23" s="1476"/>
      <c r="B23" s="935"/>
      <c r="C23" s="935"/>
      <c r="D23" s="935"/>
      <c r="E23" s="935"/>
      <c r="F23" s="935"/>
      <c r="G23" s="935"/>
      <c r="H23" s="936"/>
      <c r="I23" s="937"/>
      <c r="J23" s="935"/>
      <c r="K23" s="938"/>
      <c r="L23" s="939"/>
      <c r="M23" s="940"/>
    </row>
    <row r="24" spans="1:13">
      <c r="I24" s="941"/>
    </row>
    <row r="25" spans="1:13">
      <c r="B25" s="942"/>
      <c r="C25" s="943"/>
      <c r="D25" s="943"/>
      <c r="E25" s="943"/>
      <c r="F25" s="943"/>
      <c r="G25" s="943"/>
    </row>
  </sheetData>
  <mergeCells count="37">
    <mergeCell ref="A1:B1"/>
    <mergeCell ref="C1:K1"/>
    <mergeCell ref="A2:B2"/>
    <mergeCell ref="C2:K2"/>
    <mergeCell ref="A3:B3"/>
    <mergeCell ref="C3:K3"/>
    <mergeCell ref="A4:B4"/>
    <mergeCell ref="C4:K4"/>
    <mergeCell ref="A5:B5"/>
    <mergeCell ref="C5:K5"/>
    <mergeCell ref="A7:A8"/>
    <mergeCell ref="C7:G7"/>
    <mergeCell ref="I7:I8"/>
    <mergeCell ref="K7:K8"/>
    <mergeCell ref="L7:L8"/>
    <mergeCell ref="M7:M8"/>
    <mergeCell ref="B10:B11"/>
    <mergeCell ref="C10:C11"/>
    <mergeCell ref="D10:D11"/>
    <mergeCell ref="E10:E11"/>
    <mergeCell ref="F10:F11"/>
    <mergeCell ref="G10:G11"/>
    <mergeCell ref="H10:H11"/>
    <mergeCell ref="I10:I11"/>
    <mergeCell ref="J10:J11"/>
    <mergeCell ref="K10:K11"/>
    <mergeCell ref="J14:J15"/>
    <mergeCell ref="A12:A16"/>
    <mergeCell ref="B14:B15"/>
    <mergeCell ref="C14:C15"/>
    <mergeCell ref="D14:D15"/>
    <mergeCell ref="E14:E15"/>
    <mergeCell ref="A17:A23"/>
    <mergeCell ref="F14:F15"/>
    <mergeCell ref="G14:G15"/>
    <mergeCell ref="H14:H15"/>
    <mergeCell ref="I14:I15"/>
  </mergeCells>
  <pageMargins left="0.27559055118110237" right="0.23622047244094491" top="0.94488188976377963" bottom="0.47244094488188981" header="0.39370078740157483" footer="0.31496062992125984"/>
  <pageSetup paperSize="5" scale="70" orientation="landscape" r:id="rId1"/>
  <headerFooter>
    <oddHeader>&amp;L&amp;8&amp;G&amp;C&amp;"-,Negrita"&amp;16&amp;14MATRIZ DE INDICADORES DE RESULTADOS&amp;R&amp;"-,Negrita"&amp;16    MIR 2017</oddHeader>
  </headerFooter>
  <legacyDrawingHF r:id="rId2"/>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zoomScaleSheetLayoutView="100" workbookViewId="0">
      <selection activeCell="D20" sqref="D20"/>
    </sheetView>
  </sheetViews>
  <sheetFormatPr baseColWidth="10" defaultColWidth="11.28515625" defaultRowHeight="16.5"/>
  <cols>
    <col min="1" max="1" width="4.28515625" style="125" customWidth="1"/>
    <col min="2" max="2" width="41" style="107" customWidth="1"/>
    <col min="3" max="5" width="15.7109375" style="107" customWidth="1"/>
    <col min="6" max="16384" width="11.28515625" style="107"/>
  </cols>
  <sheetData>
    <row r="1" spans="1:7">
      <c r="A1" s="771"/>
      <c r="B1" s="1502" t="s">
        <v>23</v>
      </c>
      <c r="C1" s="1502"/>
      <c r="D1" s="1502"/>
      <c r="E1" s="1502"/>
    </row>
    <row r="2" spans="1:7">
      <c r="A2" s="338"/>
      <c r="B2" s="1416" t="s">
        <v>939</v>
      </c>
      <c r="C2" s="1416"/>
      <c r="D2" s="1416"/>
      <c r="E2" s="1416"/>
    </row>
    <row r="3" spans="1:7">
      <c r="A3" s="772"/>
      <c r="B3" s="1503" t="str">
        <f>'ETCA-I-01'!A3</f>
        <v>TELEVISORA DE HERMOSILLO, S.A. DE C.V.</v>
      </c>
      <c r="C3" s="1503"/>
      <c r="D3" s="1503"/>
      <c r="E3" s="1503"/>
      <c r="G3" s="395"/>
    </row>
    <row r="4" spans="1:7">
      <c r="A4" s="1504" t="str">
        <f>'ETCA-I-03'!A4</f>
        <v>Del 01 de Enero al 30 de Septiembre de 2018</v>
      </c>
      <c r="B4" s="1504"/>
      <c r="C4" s="1504"/>
      <c r="D4" s="1504"/>
      <c r="E4" s="1504"/>
    </row>
    <row r="5" spans="1:7">
      <c r="A5" s="801"/>
      <c r="B5" s="1416" t="s">
        <v>940</v>
      </c>
      <c r="C5" s="1416"/>
      <c r="D5" s="773"/>
      <c r="E5" s="338"/>
    </row>
    <row r="6" spans="1:7" ht="6.75" customHeight="1" thickBot="1">
      <c r="A6" s="771"/>
      <c r="B6" s="774"/>
      <c r="C6" s="774"/>
      <c r="D6" s="774"/>
      <c r="E6" s="774"/>
    </row>
    <row r="7" spans="1:7" s="205" customFormat="1">
      <c r="A7" s="1505" t="s">
        <v>257</v>
      </c>
      <c r="B7" s="1506"/>
      <c r="C7" s="1509" t="s">
        <v>941</v>
      </c>
      <c r="D7" s="1509" t="s">
        <v>475</v>
      </c>
      <c r="E7" s="1511" t="s">
        <v>942</v>
      </c>
    </row>
    <row r="8" spans="1:7" s="205" customFormat="1" ht="17.25" thickBot="1">
      <c r="A8" s="1507"/>
      <c r="B8" s="1508"/>
      <c r="C8" s="1510"/>
      <c r="D8" s="1510"/>
      <c r="E8" s="1512"/>
    </row>
    <row r="9" spans="1:7" s="205" customFormat="1" ht="20.25" customHeight="1">
      <c r="A9" s="396" t="s">
        <v>943</v>
      </c>
      <c r="B9" s="345"/>
      <c r="C9" s="355">
        <f>C10+C11</f>
        <v>115136460</v>
      </c>
      <c r="D9" s="355">
        <f>D10+D11</f>
        <v>75208148</v>
      </c>
      <c r="E9" s="402">
        <f>E10+E11</f>
        <v>69002420</v>
      </c>
      <c r="F9" s="430" t="str">
        <f>IF((C9-'ETCA-II-01'!C51)&gt;0.9,"ERROR!!!!! EL MONTO NO COINCIDE CON LO REPORTADO EN EL FORMATO ETCA-II-01 EN EL TOTAL DEVENGADO DEL ANALÍTICO DE INGRESOS","")</f>
        <v/>
      </c>
    </row>
    <row r="10" spans="1:7" s="205" customFormat="1" ht="20.25" customHeight="1">
      <c r="A10" s="344"/>
      <c r="B10" s="398" t="s">
        <v>944</v>
      </c>
      <c r="C10" s="346"/>
      <c r="D10" s="346"/>
      <c r="E10" s="397"/>
    </row>
    <row r="11" spans="1:7" s="205" customFormat="1" ht="20.25" customHeight="1">
      <c r="A11" s="344"/>
      <c r="B11" s="398" t="s">
        <v>945</v>
      </c>
      <c r="C11" s="346">
        <v>115136460</v>
      </c>
      <c r="D11" s="346">
        <v>75208148</v>
      </c>
      <c r="E11" s="397">
        <v>69002420</v>
      </c>
    </row>
    <row r="12" spans="1:7" s="205" customFormat="1" ht="20.25" customHeight="1">
      <c r="A12" s="396" t="s">
        <v>946</v>
      </c>
      <c r="B12" s="398"/>
      <c r="C12" s="355">
        <f>C13+C14</f>
        <v>115136460</v>
      </c>
      <c r="D12" s="355">
        <f>D13+D14</f>
        <v>82444019</v>
      </c>
      <c r="E12" s="402">
        <f>E13+E14</f>
        <v>73560558</v>
      </c>
      <c r="F12" s="430" t="str">
        <f>IF((C12-'ETCA II-04'!B81)&gt;0.9,"ERROR!!!!! EL MONTO NO COINCIDE CON LO REPORTADO EN EL FORMATO ETCA-II-04 EN EL TOTAL DEVENGADO DEL ANALÍTICO DE INGRESOS","")</f>
        <v/>
      </c>
    </row>
    <row r="13" spans="1:7" s="205" customFormat="1" ht="20.25" customHeight="1">
      <c r="A13" s="344"/>
      <c r="B13" s="398" t="s">
        <v>947</v>
      </c>
      <c r="C13" s="346"/>
      <c r="D13" s="346"/>
      <c r="E13" s="397"/>
    </row>
    <row r="14" spans="1:7" s="205" customFormat="1" ht="20.25" customHeight="1">
      <c r="A14" s="344"/>
      <c r="B14" s="398" t="s">
        <v>948</v>
      </c>
      <c r="C14" s="346">
        <v>115136460</v>
      </c>
      <c r="D14" s="346">
        <v>82444019</v>
      </c>
      <c r="E14" s="397">
        <v>73560558</v>
      </c>
    </row>
    <row r="15" spans="1:7" s="205" customFormat="1" ht="20.25" customHeight="1">
      <c r="A15" s="396" t="s">
        <v>949</v>
      </c>
      <c r="B15" s="398"/>
      <c r="C15" s="355">
        <f>C9-C12</f>
        <v>0</v>
      </c>
      <c r="D15" s="355">
        <f>D9-D12</f>
        <v>-7235871</v>
      </c>
      <c r="E15" s="402">
        <f>E9-E12</f>
        <v>-4558138</v>
      </c>
    </row>
    <row r="16" spans="1:7" s="205" customFormat="1" ht="20.25" customHeight="1" thickBot="1">
      <c r="A16" s="344"/>
      <c r="B16" s="345"/>
      <c r="C16" s="346"/>
      <c r="D16" s="346"/>
      <c r="E16" s="348"/>
    </row>
    <row r="17" spans="1:6" s="205" customFormat="1">
      <c r="A17" s="1505" t="s">
        <v>257</v>
      </c>
      <c r="B17" s="1506"/>
      <c r="C17" s="1509" t="s">
        <v>941</v>
      </c>
      <c r="D17" s="1509" t="s">
        <v>475</v>
      </c>
      <c r="E17" s="1513" t="s">
        <v>942</v>
      </c>
    </row>
    <row r="18" spans="1:6" s="205" customFormat="1" ht="12" customHeight="1" thickBot="1">
      <c r="A18" s="1507"/>
      <c r="B18" s="1508"/>
      <c r="C18" s="1510"/>
      <c r="D18" s="1510"/>
      <c r="E18" s="1514"/>
    </row>
    <row r="19" spans="1:6" s="205" customFormat="1" ht="20.25" customHeight="1">
      <c r="A19" s="396" t="s">
        <v>950</v>
      </c>
      <c r="B19" s="345"/>
      <c r="C19" s="355">
        <f>C15</f>
        <v>0</v>
      </c>
      <c r="D19" s="355">
        <f>D15</f>
        <v>-7235871</v>
      </c>
      <c r="E19" s="603">
        <f>E15</f>
        <v>-4558138</v>
      </c>
    </row>
    <row r="20" spans="1:6" s="205" customFormat="1" ht="20.25" customHeight="1">
      <c r="A20" s="396" t="s">
        <v>951</v>
      </c>
      <c r="B20" s="345"/>
      <c r="C20" s="346">
        <v>6691235</v>
      </c>
      <c r="D20" s="346">
        <v>4833694</v>
      </c>
      <c r="E20" s="397">
        <v>4833694</v>
      </c>
      <c r="F20" s="430" t="str">
        <f>IF((D20-'ETCA-I-03'!C48)&gt;0.9,"ERROR!!!!! EL MONTO NO COINCIDE CON LO REPORTADO EN EL FORMATO ETCA-I-03 POR CONCEPTO DE INTERESES, COMISIONES Y GASTOS DE LA DEUDA","")</f>
        <v/>
      </c>
    </row>
    <row r="21" spans="1:6" s="205" customFormat="1" ht="20.25" customHeight="1">
      <c r="A21" s="396" t="s">
        <v>952</v>
      </c>
      <c r="B21" s="345"/>
      <c r="C21" s="355">
        <f>C19-C20</f>
        <v>-6691235</v>
      </c>
      <c r="D21" s="355">
        <f>D19-D20</f>
        <v>-12069565</v>
      </c>
      <c r="E21" s="402">
        <f>E19-E20</f>
        <v>-9391832</v>
      </c>
    </row>
    <row r="22" spans="1:6" s="205" customFormat="1" ht="20.25" customHeight="1" thickBot="1">
      <c r="A22" s="344"/>
      <c r="B22" s="345"/>
      <c r="C22" s="361"/>
      <c r="D22" s="361"/>
      <c r="E22" s="805"/>
    </row>
    <row r="23" spans="1:6" s="205" customFormat="1" ht="28.5" customHeight="1">
      <c r="A23" s="1505" t="s">
        <v>257</v>
      </c>
      <c r="B23" s="1506"/>
      <c r="C23" s="1509" t="s">
        <v>941</v>
      </c>
      <c r="D23" s="399" t="s">
        <v>475</v>
      </c>
      <c r="E23" s="1513" t="s">
        <v>942</v>
      </c>
    </row>
    <row r="24" spans="1:6" s="205" customFormat="1" ht="0.75" customHeight="1" thickBot="1">
      <c r="A24" s="1507"/>
      <c r="B24" s="1508"/>
      <c r="C24" s="1510"/>
      <c r="D24" s="400"/>
      <c r="E24" s="1514"/>
    </row>
    <row r="25" spans="1:6" s="205" customFormat="1" ht="20.25" customHeight="1">
      <c r="A25" s="396" t="s">
        <v>953</v>
      </c>
      <c r="B25" s="345"/>
      <c r="C25" s="346"/>
      <c r="D25" s="346"/>
      <c r="E25" s="348"/>
    </row>
    <row r="26" spans="1:6" s="205" customFormat="1" ht="20.25" customHeight="1">
      <c r="A26" s="396" t="s">
        <v>954</v>
      </c>
      <c r="B26" s="345"/>
      <c r="C26" s="346">
        <v>7499988</v>
      </c>
      <c r="D26" s="346">
        <v>7499988</v>
      </c>
      <c r="E26" s="348">
        <v>7499988</v>
      </c>
    </row>
    <row r="27" spans="1:6" s="205" customFormat="1" ht="20.25" customHeight="1">
      <c r="A27" s="396" t="s">
        <v>955</v>
      </c>
      <c r="B27" s="345"/>
      <c r="C27" s="355">
        <f>C25-C26</f>
        <v>-7499988</v>
      </c>
      <c r="D27" s="355">
        <f>D25-D26</f>
        <v>-7499988</v>
      </c>
      <c r="E27" s="402">
        <f>E25-E26</f>
        <v>-7499988</v>
      </c>
    </row>
    <row r="28" spans="1:6" s="205" customFormat="1" ht="20.25" customHeight="1" thickBot="1">
      <c r="A28" s="802"/>
      <c r="B28" s="803"/>
      <c r="C28" s="804"/>
      <c r="D28" s="804"/>
      <c r="E28" s="401"/>
    </row>
    <row r="29" spans="1:6" s="205" customFormat="1" ht="18" customHeight="1">
      <c r="A29" s="775" t="s">
        <v>84</v>
      </c>
      <c r="B29" s="776"/>
      <c r="C29" s="776"/>
      <c r="D29" s="776"/>
      <c r="E29" s="776"/>
    </row>
    <row r="30" spans="1:6" s="205" customFormat="1" ht="18" customHeight="1">
      <c r="A30" s="518"/>
      <c r="B30" s="518"/>
      <c r="C30" s="518"/>
      <c r="D30" s="518"/>
      <c r="E30" s="518"/>
    </row>
    <row r="31" spans="1:6" s="205" customFormat="1" ht="18" customHeight="1">
      <c r="A31" s="518"/>
      <c r="B31" s="518"/>
      <c r="C31" s="518"/>
      <c r="D31" s="518"/>
      <c r="E31" s="518"/>
    </row>
    <row r="32" spans="1:6" s="205" customFormat="1" ht="18" customHeight="1">
      <c r="A32" s="518"/>
      <c r="B32" s="518"/>
      <c r="C32" s="518"/>
      <c r="D32" s="518"/>
      <c r="E32" s="518"/>
    </row>
    <row r="33" spans="1:10" ht="18" customHeight="1">
      <c r="A33" s="775" t="s">
        <v>255</v>
      </c>
      <c r="B33" s="782" t="s">
        <v>956</v>
      </c>
      <c r="C33" s="776"/>
      <c r="D33" s="776"/>
      <c r="E33" s="776"/>
      <c r="J33" s="354"/>
    </row>
    <row r="34" spans="1:10" ht="49.5" customHeight="1">
      <c r="A34" s="1515" t="s">
        <v>957</v>
      </c>
      <c r="B34" s="1515"/>
      <c r="C34" s="1515"/>
      <c r="D34" s="1515"/>
      <c r="E34" s="1515"/>
    </row>
    <row r="35" spans="1:10">
      <c r="A35" s="772"/>
      <c r="B35" s="776"/>
      <c r="C35" s="776"/>
      <c r="D35" s="776"/>
      <c r="E35" s="776"/>
    </row>
    <row r="36" spans="1:10" ht="75" customHeight="1">
      <c r="A36" s="1515" t="s">
        <v>958</v>
      </c>
      <c r="B36" s="1515"/>
      <c r="C36" s="1515"/>
      <c r="D36" s="1515"/>
      <c r="E36" s="1515"/>
    </row>
    <row r="37" spans="1:10" ht="5.25" customHeight="1">
      <c r="A37" s="772"/>
      <c r="B37" s="776"/>
      <c r="C37" s="776"/>
      <c r="D37" s="776"/>
      <c r="E37" s="776"/>
    </row>
    <row r="38" spans="1:10" ht="13.5" customHeight="1">
      <c r="A38" s="1515" t="s">
        <v>959</v>
      </c>
      <c r="B38" s="1515"/>
      <c r="C38" s="1515"/>
      <c r="D38" s="1515"/>
      <c r="E38" s="1515"/>
    </row>
  </sheetData>
  <sheetProtection sheet="1" scenarios="1" insertHyperlinks="0"/>
  <mergeCells count="19">
    <mergeCell ref="A36:E36"/>
    <mergeCell ref="A38:E38"/>
    <mergeCell ref="A23:B24"/>
    <mergeCell ref="C23:C24"/>
    <mergeCell ref="E23:E24"/>
    <mergeCell ref="A34:E34"/>
    <mergeCell ref="A7:B8"/>
    <mergeCell ref="C7:C8"/>
    <mergeCell ref="E7:E8"/>
    <mergeCell ref="C17:C18"/>
    <mergeCell ref="E17:E18"/>
    <mergeCell ref="A17:B18"/>
    <mergeCell ref="D7:D8"/>
    <mergeCell ref="D17:D18"/>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9"/>
  <sheetViews>
    <sheetView view="pageBreakPreview" topLeftCell="A52" zoomScaleSheetLayoutView="100" workbookViewId="0">
      <selection activeCell="E105" sqref="E105"/>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182" t="s">
        <v>23</v>
      </c>
      <c r="B1" s="1182"/>
      <c r="C1" s="1182"/>
      <c r="D1" s="1182"/>
      <c r="E1" s="1182"/>
    </row>
    <row r="2" spans="1:6" ht="15.75" customHeight="1">
      <c r="A2" s="1183" t="s">
        <v>960</v>
      </c>
      <c r="B2" s="1183"/>
      <c r="C2" s="1183"/>
      <c r="D2" s="1183"/>
      <c r="E2" s="1183"/>
    </row>
    <row r="3" spans="1:6" ht="16.5" customHeight="1">
      <c r="A3" s="1183" t="str">
        <f>'ETCA-I-01'!A3:G3</f>
        <v>TELEVISORA DE HERMOSILLO, S.A. DE C.V.</v>
      </c>
      <c r="B3" s="1183"/>
      <c r="C3" s="1183"/>
      <c r="D3" s="1183"/>
      <c r="E3" s="1183"/>
    </row>
    <row r="4" spans="1:6" ht="15.75" customHeight="1">
      <c r="A4" s="1227" t="str">
        <f>'ETCA-I-03'!A4:D4</f>
        <v>Del 01 de Enero al 30 de Septiembre de 2018</v>
      </c>
      <c r="B4" s="1227"/>
      <c r="C4" s="1227"/>
      <c r="D4" s="1227"/>
      <c r="E4" s="1227"/>
    </row>
    <row r="5" spans="1:6" ht="15.75" customHeight="1">
      <c r="A5" s="1534" t="s">
        <v>87</v>
      </c>
      <c r="B5" s="1534"/>
      <c r="C5" s="1534"/>
      <c r="D5" s="1534"/>
      <c r="E5" s="1534"/>
    </row>
    <row r="6" spans="1:6" ht="15.75" customHeight="1" thickBot="1">
      <c r="A6" s="813"/>
      <c r="B6" s="813"/>
      <c r="C6" s="813"/>
      <c r="D6" s="813"/>
      <c r="E6" s="813"/>
    </row>
    <row r="7" spans="1:6">
      <c r="A7" s="1523" t="s">
        <v>88</v>
      </c>
      <c r="B7" s="1524"/>
      <c r="C7" s="799" t="s">
        <v>961</v>
      </c>
      <c r="D7" s="1409" t="s">
        <v>475</v>
      </c>
      <c r="E7" s="689" t="s">
        <v>962</v>
      </c>
    </row>
    <row r="8" spans="1:6" ht="15.75" thickBot="1">
      <c r="A8" s="1525"/>
      <c r="B8" s="1526"/>
      <c r="C8" s="800" t="s">
        <v>624</v>
      </c>
      <c r="D8" s="1410"/>
      <c r="E8" s="636" t="s">
        <v>627</v>
      </c>
    </row>
    <row r="9" spans="1:6" ht="7.5" customHeight="1">
      <c r="A9" s="814"/>
      <c r="B9" s="637"/>
      <c r="C9" s="637"/>
      <c r="D9" s="637"/>
      <c r="E9" s="637"/>
    </row>
    <row r="10" spans="1:6">
      <c r="A10" s="814"/>
      <c r="B10" s="638" t="s">
        <v>963</v>
      </c>
      <c r="C10" s="763">
        <f>SUM(C11:C13)</f>
        <v>115136460</v>
      </c>
      <c r="D10" s="763">
        <f>SUM(D11:D13)</f>
        <v>75208148</v>
      </c>
      <c r="E10" s="763">
        <f>SUM(E11:E13)</f>
        <v>69002420</v>
      </c>
      <c r="F10" s="525" t="str">
        <f>IF(C10&lt;&gt;'ETCA-IV-01'!C9,"ERROR!!!!! EL MONTO NO COINCIDE CON LO REPORTADO EN EL FORMATO ETCA-IV-01 ","")</f>
        <v/>
      </c>
    </row>
    <row r="11" spans="1:6" ht="14.25" customHeight="1">
      <c r="A11" s="814"/>
      <c r="B11" s="637" t="s">
        <v>964</v>
      </c>
      <c r="C11" s="751">
        <v>115136460</v>
      </c>
      <c r="D11" s="751">
        <v>75208148</v>
      </c>
      <c r="E11" s="751">
        <v>69002420</v>
      </c>
      <c r="F11" s="525" t="str">
        <f>IF(D10&lt;&gt;'ETCA-IV-01'!D9,"ERROR!!!!! EL MONTO NO COINCIDE CON LO REPORTADO EN EL FORMATO ETCA-IV-01 ","")</f>
        <v/>
      </c>
    </row>
    <row r="12" spans="1:6" ht="14.25" customHeight="1">
      <c r="A12" s="814"/>
      <c r="B12" s="637" t="s">
        <v>965</v>
      </c>
      <c r="C12" s="751">
        <v>0</v>
      </c>
      <c r="D12" s="751">
        <v>0</v>
      </c>
      <c r="E12" s="751">
        <v>0</v>
      </c>
      <c r="F12" s="525" t="str">
        <f>IF(E10&lt;&gt;'ETCA-IV-01'!E9,"ERROR!!!!! EL MONTO NO COINCIDE CON LO REPORTADO EN EL FORMATO ETCA-IV-01 ","")</f>
        <v/>
      </c>
    </row>
    <row r="13" spans="1:6" ht="14.25" customHeight="1">
      <c r="A13" s="814"/>
      <c r="B13" s="637" t="s">
        <v>966</v>
      </c>
      <c r="C13" s="751">
        <v>0</v>
      </c>
      <c r="D13" s="751">
        <v>0</v>
      </c>
      <c r="E13" s="751">
        <v>0</v>
      </c>
    </row>
    <row r="14" spans="1:6" ht="3.75" customHeight="1">
      <c r="A14" s="812"/>
      <c r="B14" s="638"/>
      <c r="C14" s="758"/>
      <c r="D14" s="758"/>
      <c r="E14" s="758"/>
    </row>
    <row r="15" spans="1:6">
      <c r="A15" s="812"/>
      <c r="B15" s="638" t="s">
        <v>967</v>
      </c>
      <c r="C15" s="763">
        <f>SUM(C16:C17)</f>
        <v>115136460</v>
      </c>
      <c r="D15" s="763">
        <f>SUM(D16:D17)</f>
        <v>82444019</v>
      </c>
      <c r="E15" s="763">
        <f>SUM(E16:E17)</f>
        <v>73560558</v>
      </c>
      <c r="F15" s="525" t="str">
        <f>IF(C15&lt;&gt;'ETCA-IV-01'!C12,"ERROR!!!!! EL MONTO NO COINCIDE CON LO REPORTADO EN EL FORMATO ETCA-IV-01 ","")</f>
        <v/>
      </c>
    </row>
    <row r="16" spans="1:6" ht="21" customHeight="1">
      <c r="A16" s="814"/>
      <c r="B16" s="637" t="s">
        <v>968</v>
      </c>
      <c r="C16" s="751">
        <v>115136460</v>
      </c>
      <c r="D16" s="751">
        <v>82444019</v>
      </c>
      <c r="E16" s="751">
        <v>73560558</v>
      </c>
      <c r="F16" s="525" t="str">
        <f>IF(D15&lt;&gt;'ETCA-IV-01'!D12,"ERROR!!!!! EL MONTO NO COINCIDE CON LO REPORTADO EN EL FORMATO ETCA-IV-01 ","")</f>
        <v/>
      </c>
    </row>
    <row r="17" spans="1:6" ht="21" customHeight="1">
      <c r="A17" s="814"/>
      <c r="B17" s="637" t="s">
        <v>969</v>
      </c>
      <c r="C17" s="751">
        <v>0</v>
      </c>
      <c r="D17" s="751">
        <v>0</v>
      </c>
      <c r="E17" s="751">
        <v>0</v>
      </c>
      <c r="F17" s="525" t="str">
        <f>IF(E15&lt;&gt;'ETCA-IV-01'!E12,"ERROR!!!!! EL MONTO NO COINCIDE CON LO REPORTADO EN EL FORMATO ETCA-IV-01 ","")</f>
        <v/>
      </c>
    </row>
    <row r="18" spans="1:6" ht="8.25" customHeight="1">
      <c r="A18" s="814"/>
      <c r="B18" s="637"/>
      <c r="C18" s="758"/>
      <c r="D18" s="758"/>
      <c r="E18" s="758"/>
    </row>
    <row r="19" spans="1:6">
      <c r="A19" s="814"/>
      <c r="B19" s="638" t="s">
        <v>970</v>
      </c>
      <c r="C19" s="763">
        <f>SUM(C20:C21)</f>
        <v>0</v>
      </c>
      <c r="D19" s="763">
        <f>SUM(D20:D21)</f>
        <v>0</v>
      </c>
      <c r="E19" s="763">
        <f>SUM(E20:E21)</f>
        <v>0</v>
      </c>
      <c r="F19" s="525" t="s">
        <v>255</v>
      </c>
    </row>
    <row r="20" spans="1:6" ht="19.5" customHeight="1">
      <c r="A20" s="814"/>
      <c r="B20" s="637" t="s">
        <v>971</v>
      </c>
      <c r="C20" s="765"/>
      <c r="D20" s="751">
        <v>0</v>
      </c>
      <c r="E20" s="751">
        <v>0</v>
      </c>
      <c r="F20" s="525" t="s">
        <v>255</v>
      </c>
    </row>
    <row r="21" spans="1:6" ht="19.5" customHeight="1">
      <c r="A21" s="814"/>
      <c r="B21" s="637" t="s">
        <v>972</v>
      </c>
      <c r="C21" s="765"/>
      <c r="D21" s="751">
        <v>0</v>
      </c>
      <c r="E21" s="751">
        <v>0</v>
      </c>
      <c r="F21" s="525" t="s">
        <v>255</v>
      </c>
    </row>
    <row r="22" spans="1:6" ht="6.75" customHeight="1">
      <c r="A22" s="814"/>
      <c r="B22" s="637"/>
      <c r="C22" s="758"/>
      <c r="D22" s="758"/>
      <c r="E22" s="758"/>
      <c r="F22" s="525" t="s">
        <v>255</v>
      </c>
    </row>
    <row r="23" spans="1:6">
      <c r="A23" s="1535"/>
      <c r="B23" s="638" t="s">
        <v>973</v>
      </c>
      <c r="C23" s="763">
        <f>+C10-C15+C19</f>
        <v>0</v>
      </c>
      <c r="D23" s="763">
        <f>+D10-D15+D19</f>
        <v>-7235871</v>
      </c>
      <c r="E23" s="763">
        <f>+E10-E15+E19</f>
        <v>-4558138</v>
      </c>
    </row>
    <row r="24" spans="1:6" ht="6.75" customHeight="1">
      <c r="A24" s="1535"/>
      <c r="B24" s="638"/>
      <c r="C24" s="758" t="s">
        <v>255</v>
      </c>
      <c r="D24" s="758" t="s">
        <v>255</v>
      </c>
      <c r="E24" s="758" t="s">
        <v>255</v>
      </c>
    </row>
    <row r="25" spans="1:6" ht="16.5" customHeight="1">
      <c r="A25" s="1535"/>
      <c r="B25" s="638" t="s">
        <v>974</v>
      </c>
      <c r="C25" s="763">
        <f>+C23-C13</f>
        <v>0</v>
      </c>
      <c r="D25" s="763">
        <f>+D23-D13</f>
        <v>-7235871</v>
      </c>
      <c r="E25" s="763">
        <f>+E23-E13</f>
        <v>-4558138</v>
      </c>
    </row>
    <row r="26" spans="1:6" ht="6" customHeight="1">
      <c r="A26" s="1535"/>
      <c r="B26" s="638"/>
      <c r="C26" s="758" t="s">
        <v>255</v>
      </c>
      <c r="D26" s="758" t="s">
        <v>255</v>
      </c>
      <c r="E26" s="758" t="s">
        <v>255</v>
      </c>
    </row>
    <row r="27" spans="1:6" ht="30" customHeight="1">
      <c r="A27" s="814"/>
      <c r="B27" s="638" t="s">
        <v>975</v>
      </c>
      <c r="C27" s="763">
        <f>+C25-C19</f>
        <v>0</v>
      </c>
      <c r="D27" s="763">
        <f>+D25-D19</f>
        <v>-7235871</v>
      </c>
      <c r="E27" s="763">
        <f>+E25-E19</f>
        <v>-4558138</v>
      </c>
    </row>
    <row r="28" spans="1:6" ht="6" customHeight="1" thickBot="1">
      <c r="A28" s="640"/>
      <c r="B28" s="641"/>
      <c r="C28" s="642"/>
      <c r="D28" s="642"/>
      <c r="E28" s="642"/>
    </row>
    <row r="29" spans="1:6" ht="12" customHeight="1" thickBot="1">
      <c r="A29" s="1536"/>
      <c r="B29" s="1536"/>
      <c r="C29" s="1536"/>
      <c r="D29" s="1536"/>
      <c r="E29" s="1536"/>
    </row>
    <row r="30" spans="1:6" ht="15.75" thickBot="1">
      <c r="A30" s="1537" t="s">
        <v>257</v>
      </c>
      <c r="B30" s="1538"/>
      <c r="C30" s="798" t="s">
        <v>976</v>
      </c>
      <c r="D30" s="798" t="s">
        <v>475</v>
      </c>
      <c r="E30" s="798" t="s">
        <v>724</v>
      </c>
    </row>
    <row r="31" spans="1:6" ht="6" customHeight="1">
      <c r="A31" s="814"/>
      <c r="B31" s="637"/>
      <c r="C31" s="637"/>
      <c r="D31" s="637"/>
      <c r="E31" s="637"/>
    </row>
    <row r="32" spans="1:6" ht="18" customHeight="1">
      <c r="A32" s="1533"/>
      <c r="B32" s="638" t="s">
        <v>977</v>
      </c>
      <c r="C32" s="763">
        <f>SUM(C33:C34)</f>
        <v>6691235</v>
      </c>
      <c r="D32" s="763">
        <f>SUM(D33:D34)</f>
        <v>4833694</v>
      </c>
      <c r="E32" s="763">
        <f>SUM(E33:E34)</f>
        <v>4833694</v>
      </c>
      <c r="F32" s="525" t="str">
        <f>IF(C32&lt;&gt;'ETCA-IV-01'!C20,"ERROR!!!!! EL MONTO NO COINCIDE CON LO REPORTADO EN EL FORMATO ETCA-IV-01 ","")</f>
        <v/>
      </c>
    </row>
    <row r="33" spans="1:6" ht="26.25" customHeight="1">
      <c r="A33" s="1533"/>
      <c r="B33" s="639" t="s">
        <v>978</v>
      </c>
      <c r="C33" s="751">
        <v>6691235</v>
      </c>
      <c r="D33" s="751">
        <v>4833694</v>
      </c>
      <c r="E33" s="751">
        <v>4833694</v>
      </c>
      <c r="F33" s="525" t="str">
        <f>IF(D32&lt;&gt;'ETCA-IV-01'!D20,"ERROR!!!!! EL MONTO NO COINCIDE CON LO REPORTADO EN EL FORMATO ETCA-IV-01 ","")</f>
        <v/>
      </c>
    </row>
    <row r="34" spans="1:6" ht="26.25" customHeight="1">
      <c r="A34" s="1533"/>
      <c r="B34" s="639" t="s">
        <v>979</v>
      </c>
      <c r="C34" s="758">
        <v>0</v>
      </c>
      <c r="D34" s="758">
        <v>0</v>
      </c>
      <c r="E34" s="758">
        <v>0</v>
      </c>
      <c r="F34" s="525" t="str">
        <f>IF(E32&lt;&gt;'ETCA-IV-01'!E20,"ERROR!!!!! EL MONTO NO COINCIDE CON LO REPORTADO EN EL FORMATO ETCA-IV-01 ","")</f>
        <v/>
      </c>
    </row>
    <row r="35" spans="1:6" ht="4.5" customHeight="1">
      <c r="A35" s="812"/>
      <c r="B35" s="638"/>
      <c r="C35" s="751"/>
      <c r="D35" s="751"/>
      <c r="E35" s="751"/>
    </row>
    <row r="36" spans="1:6">
      <c r="A36" s="812"/>
      <c r="B36" s="638" t="s">
        <v>980</v>
      </c>
      <c r="C36" s="763">
        <f>+C27+C32</f>
        <v>6691235</v>
      </c>
      <c r="D36" s="763">
        <f>+D27+D32</f>
        <v>-2402177</v>
      </c>
      <c r="E36" s="763">
        <f>+E27+E32</f>
        <v>275556</v>
      </c>
    </row>
    <row r="37" spans="1:6" ht="6.75" customHeight="1" thickBot="1">
      <c r="A37" s="635"/>
      <c r="B37" s="634"/>
      <c r="C37" s="634"/>
      <c r="D37" s="634"/>
      <c r="E37" s="634"/>
    </row>
    <row r="38" spans="1:6" ht="9" customHeight="1" thickBot="1"/>
    <row r="39" spans="1:6">
      <c r="A39" s="1523" t="s">
        <v>257</v>
      </c>
      <c r="B39" s="1524"/>
      <c r="C39" s="1527" t="s">
        <v>981</v>
      </c>
      <c r="D39" s="1404" t="s">
        <v>475</v>
      </c>
      <c r="E39" s="645" t="s">
        <v>962</v>
      </c>
    </row>
    <row r="40" spans="1:6" ht="15.75" thickBot="1">
      <c r="A40" s="1525"/>
      <c r="B40" s="1526"/>
      <c r="C40" s="1528"/>
      <c r="D40" s="1405"/>
      <c r="E40" s="646" t="s">
        <v>724</v>
      </c>
    </row>
    <row r="41" spans="1:6" ht="5.25" customHeight="1">
      <c r="A41" s="809"/>
      <c r="B41" s="647"/>
      <c r="C41" s="647"/>
      <c r="D41" s="647"/>
      <c r="E41" s="647"/>
    </row>
    <row r="42" spans="1:6">
      <c r="A42" s="808"/>
      <c r="B42" s="811" t="s">
        <v>982</v>
      </c>
      <c r="C42" s="764">
        <f>SUM(C43:C44)</f>
        <v>0</v>
      </c>
      <c r="D42" s="764">
        <f>SUM(D43:D44)</f>
        <v>0</v>
      </c>
      <c r="E42" s="764">
        <f>SUM(E43:E44)</f>
        <v>0</v>
      </c>
      <c r="F42" s="525" t="str">
        <f>IF(C42&lt;&gt;'ETCA-IV-01'!C25,"ERROR!!!!! EL MONTO NO COINCIDE CON LO REPORTADO EN EL FORMATO ETCA-IV-01 ","")</f>
        <v/>
      </c>
    </row>
    <row r="43" spans="1:6">
      <c r="A43" s="1519"/>
      <c r="B43" s="648" t="s">
        <v>983</v>
      </c>
      <c r="C43" s="751">
        <v>0</v>
      </c>
      <c r="D43" s="751">
        <v>0</v>
      </c>
      <c r="E43" s="751">
        <v>0</v>
      </c>
      <c r="F43" s="525" t="str">
        <f>IF(D42&lt;&gt;'ETCA-IV-01'!D25,"ERROR!!!!! EL MONTO NO COINCIDE CON LO REPORTADO EN EL FORMATO ETCA-IV-01 ","")</f>
        <v/>
      </c>
    </row>
    <row r="44" spans="1:6">
      <c r="A44" s="1519"/>
      <c r="B44" s="648" t="s">
        <v>984</v>
      </c>
      <c r="C44" s="751">
        <v>0</v>
      </c>
      <c r="D44" s="751" t="s">
        <v>255</v>
      </c>
      <c r="E44" s="751">
        <v>0</v>
      </c>
      <c r="F44" s="525" t="str">
        <f>IF(E42&lt;&gt;'ETCA-IV-01'!E25,"ERROR!!!!! EL MONTO NO COINCIDE CON LO REPORTADO EN EL FORMATO ETCA-IV-01 ","")</f>
        <v/>
      </c>
    </row>
    <row r="45" spans="1:6">
      <c r="A45" s="1516"/>
      <c r="B45" s="811" t="s">
        <v>985</v>
      </c>
      <c r="C45" s="764">
        <f>SUM(C46:C47)</f>
        <v>7499988</v>
      </c>
      <c r="D45" s="764">
        <f>SUM(D46:D47)</f>
        <v>7499988</v>
      </c>
      <c r="E45" s="764">
        <f>SUM(E46:E47)</f>
        <v>7499988</v>
      </c>
      <c r="F45" s="525" t="str">
        <f>IF(C45&lt;&gt;'ETCA-IV-01'!C26,"ERROR!!!!! EL MONTO NO COINCIDE CON LO REPORTADO EN EL FORMATO ETCA-IV-01 ","")</f>
        <v/>
      </c>
    </row>
    <row r="46" spans="1:6">
      <c r="A46" s="1516"/>
      <c r="B46" s="648" t="s">
        <v>986</v>
      </c>
      <c r="C46" s="751">
        <v>7499988</v>
      </c>
      <c r="D46" s="751">
        <v>7499988</v>
      </c>
      <c r="E46" s="751">
        <v>7499988</v>
      </c>
      <c r="F46" s="525" t="str">
        <f>IF(D45&lt;&gt;'ETCA-IV-01'!D26,"ERROR!!!!! EL MONTO NO COINCIDE CON LO REPORTADO EN EL FORMATO ETCA-IV-01 ","")</f>
        <v/>
      </c>
    </row>
    <row r="47" spans="1:6">
      <c r="A47" s="1516"/>
      <c r="B47" s="648" t="s">
        <v>987</v>
      </c>
      <c r="C47" s="751">
        <v>0</v>
      </c>
      <c r="D47" s="751">
        <v>0</v>
      </c>
      <c r="E47" s="751">
        <v>0</v>
      </c>
      <c r="F47" s="525" t="str">
        <f>IF(E45&lt;&gt;'ETCA-IV-01'!E26,"ERROR!!!!! EL MONTO NO COINCIDE CON LO REPORTADO EN EL FORMATO ETCA-IV-01 ","")</f>
        <v/>
      </c>
    </row>
    <row r="48" spans="1:6" ht="6.75" customHeight="1">
      <c r="A48" s="808"/>
      <c r="B48" s="811"/>
      <c r="C48" s="664"/>
      <c r="D48" s="664"/>
      <c r="E48" s="664"/>
    </row>
    <row r="49" spans="1:5">
      <c r="A49" s="1516"/>
      <c r="B49" s="1529" t="s">
        <v>988</v>
      </c>
      <c r="C49" s="1531">
        <f>+C42-C45</f>
        <v>-7499988</v>
      </c>
      <c r="D49" s="1531">
        <f>+D42-D45</f>
        <v>-7499988</v>
      </c>
      <c r="E49" s="1531">
        <f>+E42-E45</f>
        <v>-7499988</v>
      </c>
    </row>
    <row r="50" spans="1:5" ht="15.75" thickBot="1">
      <c r="A50" s="1517"/>
      <c r="B50" s="1530"/>
      <c r="C50" s="1532"/>
      <c r="D50" s="1532"/>
      <c r="E50" s="1532"/>
    </row>
    <row r="51" spans="1:5">
      <c r="A51" s="652"/>
      <c r="B51" s="652"/>
      <c r="C51" s="652"/>
      <c r="D51" s="652"/>
      <c r="E51" s="652"/>
    </row>
    <row r="52" spans="1:5">
      <c r="A52" s="652"/>
      <c r="B52" s="652"/>
      <c r="C52" s="652"/>
      <c r="D52" s="652"/>
      <c r="E52" s="652"/>
    </row>
    <row r="53" spans="1:5">
      <c r="A53" s="652"/>
      <c r="B53" s="652"/>
      <c r="C53" s="652"/>
      <c r="D53" s="652"/>
      <c r="E53" s="652"/>
    </row>
    <row r="54" spans="1:5" ht="15.75" thickBot="1">
      <c r="A54" s="652"/>
      <c r="B54" s="652"/>
      <c r="C54" s="652"/>
      <c r="D54" s="652"/>
      <c r="E54" s="652"/>
    </row>
    <row r="55" spans="1:5">
      <c r="A55" s="1523" t="s">
        <v>257</v>
      </c>
      <c r="B55" s="1524"/>
      <c r="C55" s="645" t="s">
        <v>961</v>
      </c>
      <c r="D55" s="1404" t="s">
        <v>475</v>
      </c>
      <c r="E55" s="645" t="s">
        <v>962</v>
      </c>
    </row>
    <row r="56" spans="1:5" ht="15.75" thickBot="1">
      <c r="A56" s="1525"/>
      <c r="B56" s="1526"/>
      <c r="C56" s="646" t="s">
        <v>976</v>
      </c>
      <c r="D56" s="1405"/>
      <c r="E56" s="646" t="s">
        <v>724</v>
      </c>
    </row>
    <row r="57" spans="1:5" ht="6" customHeight="1">
      <c r="A57" s="1520"/>
      <c r="B57" s="1521"/>
      <c r="C57" s="647"/>
      <c r="D57" s="647"/>
      <c r="E57" s="647"/>
    </row>
    <row r="58" spans="1:5">
      <c r="A58" s="1519"/>
      <c r="B58" s="1522" t="s">
        <v>989</v>
      </c>
      <c r="C58" s="1518">
        <f>+C11</f>
        <v>115136460</v>
      </c>
      <c r="D58" s="1518">
        <f>+D11</f>
        <v>75208148</v>
      </c>
      <c r="E58" s="1518">
        <f>+E11</f>
        <v>69002420</v>
      </c>
    </row>
    <row r="59" spans="1:5">
      <c r="A59" s="1519"/>
      <c r="B59" s="1522"/>
      <c r="C59" s="1518"/>
      <c r="D59" s="1518"/>
      <c r="E59" s="1518"/>
    </row>
    <row r="60" spans="1:5">
      <c r="A60" s="1519"/>
      <c r="B60" s="649" t="s">
        <v>990</v>
      </c>
      <c r="C60" s="759">
        <f>+C61-C62</f>
        <v>-7499988</v>
      </c>
      <c r="D60" s="759">
        <f>+D61-D62</f>
        <v>-7499988</v>
      </c>
      <c r="E60" s="759">
        <f>+E61-E62</f>
        <v>-7499988</v>
      </c>
    </row>
    <row r="61" spans="1:5">
      <c r="A61" s="1519"/>
      <c r="B61" s="648" t="s">
        <v>983</v>
      </c>
      <c r="C61" s="759">
        <f>+C43</f>
        <v>0</v>
      </c>
      <c r="D61" s="759">
        <f>+D43</f>
        <v>0</v>
      </c>
      <c r="E61" s="759">
        <f>+E43</f>
        <v>0</v>
      </c>
    </row>
    <row r="62" spans="1:5">
      <c r="A62" s="1519"/>
      <c r="B62" s="648" t="s">
        <v>986</v>
      </c>
      <c r="C62" s="759">
        <f>+C46</f>
        <v>7499988</v>
      </c>
      <c r="D62" s="759">
        <f>+D46</f>
        <v>7499988</v>
      </c>
      <c r="E62" s="759">
        <f>+E46</f>
        <v>7499988</v>
      </c>
    </row>
    <row r="63" spans="1:5" ht="5.25" customHeight="1">
      <c r="A63" s="1519"/>
      <c r="B63" s="810"/>
      <c r="C63" s="759"/>
      <c r="D63" s="759"/>
      <c r="E63" s="759"/>
    </row>
    <row r="64" spans="1:5">
      <c r="A64" s="809"/>
      <c r="B64" s="810" t="s">
        <v>968</v>
      </c>
      <c r="C64" s="759">
        <f>+C16</f>
        <v>115136460</v>
      </c>
      <c r="D64" s="759">
        <f>+D16</f>
        <v>82444019</v>
      </c>
      <c r="E64" s="759">
        <f>+E16</f>
        <v>73560558</v>
      </c>
    </row>
    <row r="65" spans="1:5" ht="6.75" customHeight="1">
      <c r="A65" s="809"/>
      <c r="B65" s="810"/>
      <c r="C65" s="759"/>
      <c r="D65" s="759"/>
      <c r="E65" s="759"/>
    </row>
    <row r="66" spans="1:5">
      <c r="A66" s="809"/>
      <c r="B66" s="810" t="s">
        <v>971</v>
      </c>
      <c r="C66" s="760"/>
      <c r="D66" s="766">
        <f>+D20</f>
        <v>0</v>
      </c>
      <c r="E66" s="766">
        <f>+E20</f>
        <v>0</v>
      </c>
    </row>
    <row r="67" spans="1:5">
      <c r="A67" s="809"/>
      <c r="B67" s="810"/>
      <c r="C67" s="759"/>
      <c r="D67" s="759"/>
      <c r="E67" s="759"/>
    </row>
    <row r="68" spans="1:5">
      <c r="A68" s="1516"/>
      <c r="B68" s="638" t="s">
        <v>991</v>
      </c>
      <c r="C68" s="762">
        <f>+C11+C60-C16+C20</f>
        <v>-7499988</v>
      </c>
      <c r="D68" s="762">
        <f>+D11+D60-D16+D20</f>
        <v>-14735859</v>
      </c>
      <c r="E68" s="762">
        <f>+E11+E60-E16+E20</f>
        <v>-12058126</v>
      </c>
    </row>
    <row r="69" spans="1:5">
      <c r="A69" s="1516"/>
      <c r="B69" s="650"/>
      <c r="C69" s="759" t="s">
        <v>255</v>
      </c>
      <c r="D69" s="759" t="s">
        <v>255</v>
      </c>
      <c r="E69" s="759" t="s">
        <v>255</v>
      </c>
    </row>
    <row r="70" spans="1:5" ht="18">
      <c r="A70" s="1516"/>
      <c r="B70" s="638" t="s">
        <v>992</v>
      </c>
      <c r="C70" s="762">
        <f>+C68-C60</f>
        <v>0</v>
      </c>
      <c r="D70" s="762">
        <f>+D68-D60</f>
        <v>-7235871</v>
      </c>
      <c r="E70" s="762">
        <f>+E68-E60</f>
        <v>-4558138</v>
      </c>
    </row>
    <row r="71" spans="1:5" ht="15.75" thickBot="1">
      <c r="A71" s="1517"/>
      <c r="B71" s="651"/>
      <c r="C71" s="665" t="s">
        <v>255</v>
      </c>
      <c r="D71" s="666" t="s">
        <v>255</v>
      </c>
      <c r="E71" s="665" t="s">
        <v>255</v>
      </c>
    </row>
    <row r="72" spans="1:5" ht="5.25" customHeight="1" thickBot="1"/>
    <row r="73" spans="1:5">
      <c r="A73" s="1523" t="s">
        <v>257</v>
      </c>
      <c r="B73" s="1524"/>
      <c r="C73" s="1527" t="s">
        <v>981</v>
      </c>
      <c r="D73" s="1404" t="s">
        <v>475</v>
      </c>
      <c r="E73" s="645" t="s">
        <v>962</v>
      </c>
    </row>
    <row r="74" spans="1:5" ht="15.75" thickBot="1">
      <c r="A74" s="1525"/>
      <c r="B74" s="1526"/>
      <c r="C74" s="1528"/>
      <c r="D74" s="1405"/>
      <c r="E74" s="646" t="s">
        <v>724</v>
      </c>
    </row>
    <row r="75" spans="1:5">
      <c r="A75" s="1520"/>
      <c r="B75" s="1521"/>
      <c r="C75" s="647"/>
      <c r="D75" s="647"/>
      <c r="E75" s="647"/>
    </row>
    <row r="76" spans="1:5">
      <c r="A76" s="1519"/>
      <c r="B76" s="1522" t="s">
        <v>965</v>
      </c>
      <c r="C76" s="1518">
        <f>+C12</f>
        <v>0</v>
      </c>
      <c r="D76" s="1518">
        <f>+D12</f>
        <v>0</v>
      </c>
      <c r="E76" s="1518">
        <f>+E12</f>
        <v>0</v>
      </c>
    </row>
    <row r="77" spans="1:5">
      <c r="A77" s="1519"/>
      <c r="B77" s="1522"/>
      <c r="C77" s="1518"/>
      <c r="D77" s="1518"/>
      <c r="E77" s="1518"/>
    </row>
    <row r="78" spans="1:5" ht="18">
      <c r="A78" s="1519"/>
      <c r="B78" s="649" t="s">
        <v>993</v>
      </c>
      <c r="C78" s="759">
        <f>+C79-C80</f>
        <v>0</v>
      </c>
      <c r="D78" s="759">
        <f>+D79-D80</f>
        <v>0</v>
      </c>
      <c r="E78" s="759">
        <f>+E79-E80</f>
        <v>0</v>
      </c>
    </row>
    <row r="79" spans="1:5">
      <c r="A79" s="1519"/>
      <c r="B79" s="648" t="s">
        <v>984</v>
      </c>
      <c r="C79" s="759">
        <f>+C44</f>
        <v>0</v>
      </c>
      <c r="D79" s="759">
        <v>0</v>
      </c>
      <c r="E79" s="759">
        <v>0</v>
      </c>
    </row>
    <row r="80" spans="1:5">
      <c r="A80" s="1519"/>
      <c r="B80" s="648" t="s">
        <v>987</v>
      </c>
      <c r="C80" s="759">
        <f>+C47</f>
        <v>0</v>
      </c>
      <c r="D80" s="759">
        <v>0</v>
      </c>
      <c r="E80" s="759">
        <v>0</v>
      </c>
    </row>
    <row r="81" spans="1:5">
      <c r="A81" s="1519"/>
      <c r="B81" s="810"/>
      <c r="C81" s="759"/>
      <c r="D81" s="759"/>
      <c r="E81" s="759"/>
    </row>
    <row r="82" spans="1:5">
      <c r="A82" s="809"/>
      <c r="B82" s="810" t="s">
        <v>994</v>
      </c>
      <c r="C82" s="759">
        <f>+C17</f>
        <v>0</v>
      </c>
      <c r="D82" s="759">
        <f>+D17</f>
        <v>0</v>
      </c>
      <c r="E82" s="759">
        <f>+E17</f>
        <v>0</v>
      </c>
    </row>
    <row r="83" spans="1:5">
      <c r="A83" s="809"/>
      <c r="B83" s="810"/>
      <c r="C83" s="759" t="s">
        <v>255</v>
      </c>
      <c r="D83" s="759" t="s">
        <v>255</v>
      </c>
      <c r="E83" s="759" t="s">
        <v>255</v>
      </c>
    </row>
    <row r="84" spans="1:5">
      <c r="A84" s="809"/>
      <c r="B84" s="810" t="s">
        <v>972</v>
      </c>
      <c r="C84" s="760"/>
      <c r="D84" s="766">
        <f>+D21</f>
        <v>0</v>
      </c>
      <c r="E84" s="766">
        <f>+E21</f>
        <v>0</v>
      </c>
    </row>
    <row r="85" spans="1:5">
      <c r="A85" s="809"/>
      <c r="B85" s="810"/>
      <c r="C85" s="759"/>
      <c r="D85" s="759"/>
      <c r="E85" s="759"/>
    </row>
    <row r="86" spans="1:5">
      <c r="A86" s="1516"/>
      <c r="B86" s="638" t="s">
        <v>995</v>
      </c>
      <c r="C86" s="761">
        <f>+C76+C78-C82+C84</f>
        <v>0</v>
      </c>
      <c r="D86" s="761">
        <f>+D76+D78-D82+D84</f>
        <v>0</v>
      </c>
      <c r="E86" s="761">
        <f>+E76+E78-E82+E84</f>
        <v>0</v>
      </c>
    </row>
    <row r="87" spans="1:5">
      <c r="A87" s="1516"/>
      <c r="B87" s="650"/>
      <c r="C87" s="762"/>
      <c r="D87" s="762"/>
      <c r="E87" s="762"/>
    </row>
    <row r="88" spans="1:5" ht="18">
      <c r="A88" s="1516"/>
      <c r="B88" s="638" t="s">
        <v>996</v>
      </c>
      <c r="C88" s="763">
        <f>+C86-C78</f>
        <v>0</v>
      </c>
      <c r="D88" s="763">
        <f>+D86-D78</f>
        <v>0</v>
      </c>
      <c r="E88" s="763">
        <f>+E86-E78</f>
        <v>0</v>
      </c>
    </row>
    <row r="89" spans="1:5" ht="15.75" thickBot="1">
      <c r="A89" s="1517"/>
      <c r="B89" s="651"/>
      <c r="C89" s="651"/>
      <c r="D89" s="651"/>
      <c r="E89" s="651"/>
    </row>
  </sheetData>
  <sheetProtection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E58:E59"/>
    <mergeCell ref="A60:A63"/>
    <mergeCell ref="A86:A89"/>
    <mergeCell ref="E76:E77"/>
    <mergeCell ref="A78:A81"/>
    <mergeCell ref="A75:B75"/>
    <mergeCell ref="A76:A77"/>
    <mergeCell ref="B76:B77"/>
    <mergeCell ref="C76:C77"/>
    <mergeCell ref="D76:D77"/>
    <mergeCell ref="A73:B74"/>
    <mergeCell ref="C73:C74"/>
    <mergeCell ref="D73:D74"/>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1"/>
  <sheetViews>
    <sheetView view="pageBreakPreview" zoomScale="90" zoomScaleSheetLayoutView="90" workbookViewId="0">
      <selection activeCell="A3" sqref="A3:D3"/>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543" t="s">
        <v>23</v>
      </c>
      <c r="B1" s="1543"/>
      <c r="C1" s="1543"/>
      <c r="D1" s="1543"/>
    </row>
    <row r="2" spans="1:4">
      <c r="A2" s="1544" t="s">
        <v>20</v>
      </c>
      <c r="B2" s="1544"/>
      <c r="C2" s="1544"/>
      <c r="D2" s="1544"/>
    </row>
    <row r="3" spans="1:4">
      <c r="A3" s="1543" t="str">
        <f>'ETCA-I-01'!A3:G3</f>
        <v>TELEVISORA DE HERMOSILLO, S.A. DE C.V.</v>
      </c>
      <c r="B3" s="1543"/>
      <c r="C3" s="1543"/>
      <c r="D3" s="1543"/>
    </row>
    <row r="4" spans="1:4">
      <c r="A4" s="1544" t="str">
        <f>'ETCA-I-03'!A4:D4</f>
        <v>Del 01 de Enero al 30 de Septiembre de 2018</v>
      </c>
      <c r="B4" s="1544"/>
      <c r="C4" s="1544"/>
      <c r="D4" s="1544"/>
    </row>
    <row r="5" spans="1:4">
      <c r="A5" s="39"/>
      <c r="B5" s="1544" t="s">
        <v>997</v>
      </c>
      <c r="C5" s="1544"/>
      <c r="D5" s="48"/>
    </row>
    <row r="6" spans="1:4" ht="6.75" customHeight="1" thickBot="1"/>
    <row r="7" spans="1:4" s="33" customFormat="1" ht="30" customHeight="1">
      <c r="A7" s="1547" t="s">
        <v>998</v>
      </c>
      <c r="B7" s="1548"/>
      <c r="C7" s="1545" t="s">
        <v>999</v>
      </c>
      <c r="D7" s="1546"/>
    </row>
    <row r="8" spans="1:4" s="33" customFormat="1" ht="32.25" customHeight="1" thickBot="1">
      <c r="A8" s="1549"/>
      <c r="B8" s="1550"/>
      <c r="C8" s="40" t="s">
        <v>1000</v>
      </c>
      <c r="D8" s="41" t="s">
        <v>1001</v>
      </c>
    </row>
    <row r="9" spans="1:4" s="33" customFormat="1" ht="31.5" customHeight="1">
      <c r="A9" s="36">
        <v>1</v>
      </c>
      <c r="B9" s="45" t="s">
        <v>1106</v>
      </c>
      <c r="C9" s="37" t="s">
        <v>1107</v>
      </c>
      <c r="D9" s="38" t="s">
        <v>1111</v>
      </c>
    </row>
    <row r="10" spans="1:4" s="33" customFormat="1" ht="31.5" customHeight="1">
      <c r="A10" s="36">
        <v>2</v>
      </c>
      <c r="B10" s="45" t="s">
        <v>1106</v>
      </c>
      <c r="C10" s="37" t="s">
        <v>1108</v>
      </c>
      <c r="D10" s="38">
        <v>454409949</v>
      </c>
    </row>
    <row r="11" spans="1:4" s="33" customFormat="1" ht="31.5" customHeight="1">
      <c r="A11" s="36">
        <v>3</v>
      </c>
      <c r="B11" s="45" t="s">
        <v>1106</v>
      </c>
      <c r="C11" s="37" t="s">
        <v>1109</v>
      </c>
      <c r="D11" s="38" t="s">
        <v>1112</v>
      </c>
    </row>
    <row r="12" spans="1:4" s="33" customFormat="1" ht="31.5" customHeight="1">
      <c r="A12" s="36">
        <v>4</v>
      </c>
      <c r="B12" s="45" t="s">
        <v>1106</v>
      </c>
      <c r="C12" s="37" t="s">
        <v>1109</v>
      </c>
      <c r="D12" s="38" t="s">
        <v>1113</v>
      </c>
    </row>
    <row r="13" spans="1:4" s="33" customFormat="1" ht="31.5" customHeight="1">
      <c r="A13" s="36">
        <v>5</v>
      </c>
      <c r="B13" s="45" t="s">
        <v>1106</v>
      </c>
      <c r="C13" s="37" t="s">
        <v>1109</v>
      </c>
      <c r="D13" s="38">
        <v>51500593097</v>
      </c>
    </row>
    <row r="14" spans="1:4" s="33" customFormat="1" ht="31.5" customHeight="1">
      <c r="A14" s="36">
        <v>6</v>
      </c>
      <c r="B14" s="45" t="s">
        <v>1106</v>
      </c>
      <c r="C14" s="37" t="s">
        <v>1110</v>
      </c>
      <c r="D14" s="38">
        <v>300158640</v>
      </c>
    </row>
    <row r="15" spans="1:4" s="33" customFormat="1" ht="31.5" customHeight="1">
      <c r="A15" s="36">
        <v>7</v>
      </c>
      <c r="B15" s="45"/>
      <c r="C15" s="37"/>
      <c r="D15" s="38"/>
    </row>
    <row r="16" spans="1:4" s="33" customFormat="1" ht="31.5" customHeight="1">
      <c r="A16" s="36">
        <v>8</v>
      </c>
      <c r="B16" s="45"/>
      <c r="C16" s="37"/>
      <c r="D16" s="38"/>
    </row>
    <row r="17" spans="1:4" s="33" customFormat="1" ht="31.5" customHeight="1">
      <c r="A17" s="36">
        <v>9</v>
      </c>
      <c r="B17" s="45"/>
      <c r="C17" s="37"/>
      <c r="D17" s="38"/>
    </row>
    <row r="18" spans="1:4" s="33" customFormat="1" ht="31.5" customHeight="1">
      <c r="A18" s="36"/>
      <c r="B18" s="45"/>
      <c r="C18" s="37"/>
      <c r="D18" s="38"/>
    </row>
    <row r="19" spans="1:4" s="33" customFormat="1" ht="31.5" customHeight="1">
      <c r="A19" s="36"/>
      <c r="B19" s="45"/>
      <c r="C19" s="37"/>
      <c r="D19" s="38"/>
    </row>
    <row r="20" spans="1:4" s="33" customFormat="1" ht="31.5" customHeight="1">
      <c r="A20" s="36"/>
      <c r="B20" s="45"/>
      <c r="C20" s="37"/>
      <c r="D20" s="38"/>
    </row>
    <row r="21" spans="1:4" s="33" customFormat="1" ht="31.5" customHeight="1">
      <c r="A21" s="36"/>
      <c r="B21" s="45"/>
      <c r="C21" s="37"/>
      <c r="D21" s="38"/>
    </row>
    <row r="22" spans="1:4" s="33" customFormat="1" ht="31.5" customHeight="1">
      <c r="A22" s="36"/>
      <c r="B22" s="45"/>
      <c r="C22" s="37"/>
      <c r="D22" s="38"/>
    </row>
    <row r="23" spans="1:4" s="33" customFormat="1" ht="31.5" customHeight="1">
      <c r="A23" s="36"/>
      <c r="B23" s="45"/>
      <c r="C23" s="37"/>
      <c r="D23" s="38"/>
    </row>
    <row r="24" spans="1:4" s="33" customFormat="1" ht="31.5" customHeight="1">
      <c r="A24" s="36">
        <v>10</v>
      </c>
      <c r="B24" s="45"/>
      <c r="C24" s="37"/>
      <c r="D24" s="38"/>
    </row>
    <row r="25" spans="1:4" s="33" customFormat="1" ht="31.5" customHeight="1">
      <c r="A25" s="1539"/>
      <c r="B25" s="1540"/>
      <c r="C25" s="1541"/>
      <c r="D25" s="1542"/>
    </row>
    <row r="26" spans="1:4">
      <c r="A26" s="452" t="s">
        <v>84</v>
      </c>
      <c r="B26" s="46"/>
    </row>
    <row r="27" spans="1:4">
      <c r="A27" s="452"/>
      <c r="B27" s="46"/>
    </row>
    <row r="28" spans="1:4">
      <c r="A28" s="452"/>
      <c r="B28" s="46"/>
    </row>
    <row r="29" spans="1:4">
      <c r="A29" s="452"/>
      <c r="B29" s="46"/>
    </row>
    <row r="30" spans="1:4">
      <c r="A30" s="3"/>
    </row>
    <row r="31" spans="1:4" ht="18.75">
      <c r="B31" s="403" t="s">
        <v>1002</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dimension ref="A1:F64"/>
  <sheetViews>
    <sheetView view="pageBreakPreview" zoomScaleSheetLayoutView="100" workbookViewId="0">
      <selection sqref="A1:XFD1048576"/>
    </sheetView>
  </sheetViews>
  <sheetFormatPr baseColWidth="10" defaultRowHeight="13.5"/>
  <cols>
    <col min="1" max="1" width="4.5703125" style="985" bestFit="1" customWidth="1"/>
    <col min="2" max="2" width="23.28515625" style="985" customWidth="1"/>
    <col min="3" max="4" width="10.7109375" style="1017" customWidth="1"/>
    <col min="5" max="5" width="12.28515625" style="1014" customWidth="1"/>
    <col min="6" max="6" width="38.7109375" style="1018" customWidth="1"/>
    <col min="7" max="16384" width="11.42578125" style="985"/>
  </cols>
  <sheetData>
    <row r="1" spans="1:6" ht="18" customHeight="1">
      <c r="A1" s="1566" t="s">
        <v>1280</v>
      </c>
      <c r="B1" s="1567"/>
      <c r="C1" s="1567"/>
      <c r="D1" s="1567"/>
      <c r="E1" s="1567"/>
      <c r="F1" s="1568"/>
    </row>
    <row r="2" spans="1:6" ht="13.5" customHeight="1">
      <c r="A2" s="986"/>
      <c r="B2" s="987"/>
      <c r="C2" s="1054" t="s">
        <v>1352</v>
      </c>
      <c r="D2" s="1054"/>
      <c r="E2" s="1054"/>
      <c r="F2" s="988" t="s">
        <v>1281</v>
      </c>
    </row>
    <row r="3" spans="1:6" ht="14.25" customHeight="1">
      <c r="A3" s="1569" t="s">
        <v>1345</v>
      </c>
      <c r="B3" s="1570"/>
      <c r="C3" s="1570"/>
      <c r="D3" s="1570"/>
      <c r="E3" s="1570"/>
      <c r="F3" s="1571"/>
    </row>
    <row r="4" spans="1:6" s="994" customFormat="1" ht="51">
      <c r="A4" s="989" t="s">
        <v>1282</v>
      </c>
      <c r="B4" s="989" t="s">
        <v>1283</v>
      </c>
      <c r="C4" s="990" t="s">
        <v>1284</v>
      </c>
      <c r="D4" s="991" t="s">
        <v>1353</v>
      </c>
      <c r="E4" s="992" t="s">
        <v>1285</v>
      </c>
      <c r="F4" s="993" t="s">
        <v>1286</v>
      </c>
    </row>
    <row r="5" spans="1:6" s="994" customFormat="1" ht="51" customHeight="1">
      <c r="A5" s="1558">
        <v>11301</v>
      </c>
      <c r="B5" s="1572" t="s">
        <v>818</v>
      </c>
      <c r="C5" s="1562">
        <v>43249532</v>
      </c>
      <c r="D5" s="1574">
        <v>36529752</v>
      </c>
      <c r="E5" s="1556">
        <f t="shared" ref="E5:E57" si="0">+D5-C5</f>
        <v>-6719780</v>
      </c>
      <c r="F5" s="1055" t="s">
        <v>1354</v>
      </c>
    </row>
    <row r="6" spans="1:6" s="994" customFormat="1" ht="36" customHeight="1">
      <c r="A6" s="1559"/>
      <c r="B6" s="1573"/>
      <c r="C6" s="1563"/>
      <c r="D6" s="1575"/>
      <c r="E6" s="1557"/>
      <c r="F6" s="1056" t="s">
        <v>1355</v>
      </c>
    </row>
    <row r="7" spans="1:6" ht="62.25" customHeight="1">
      <c r="A7" s="997">
        <v>11303</v>
      </c>
      <c r="B7" s="998" t="s">
        <v>1288</v>
      </c>
      <c r="C7" s="999">
        <v>4064929</v>
      </c>
      <c r="D7" s="999">
        <v>3566963</v>
      </c>
      <c r="E7" s="995">
        <f t="shared" si="0"/>
        <v>-497966</v>
      </c>
      <c r="F7" s="996" t="s">
        <v>1287</v>
      </c>
    </row>
    <row r="8" spans="1:6" ht="51" customHeight="1">
      <c r="A8" s="1558">
        <v>12101</v>
      </c>
      <c r="B8" s="1560" t="s">
        <v>1289</v>
      </c>
      <c r="C8" s="1562">
        <v>1332268</v>
      </c>
      <c r="D8" s="1562">
        <v>1222311</v>
      </c>
      <c r="E8" s="1556">
        <f>+D8-C8</f>
        <v>-109957</v>
      </c>
      <c r="F8" s="1057" t="s">
        <v>1287</v>
      </c>
    </row>
    <row r="9" spans="1:6" ht="38.25" customHeight="1">
      <c r="A9" s="1559"/>
      <c r="B9" s="1561"/>
      <c r="C9" s="1563"/>
      <c r="D9" s="1563"/>
      <c r="E9" s="1557"/>
      <c r="F9" s="1056" t="s">
        <v>1355</v>
      </c>
    </row>
    <row r="10" spans="1:6" ht="54.75" customHeight="1">
      <c r="A10" s="1000">
        <v>13201</v>
      </c>
      <c r="B10" s="1001" t="s">
        <v>1290</v>
      </c>
      <c r="C10" s="1002">
        <v>3839996</v>
      </c>
      <c r="D10" s="1002">
        <v>3389732.73</v>
      </c>
      <c r="E10" s="995">
        <f t="shared" si="0"/>
        <v>-450263.27</v>
      </c>
      <c r="F10" s="996" t="s">
        <v>1287</v>
      </c>
    </row>
    <row r="11" spans="1:6" ht="48" customHeight="1">
      <c r="A11" s="1000">
        <v>13202</v>
      </c>
      <c r="B11" s="1001" t="s">
        <v>1291</v>
      </c>
      <c r="C11" s="1002">
        <v>7052432</v>
      </c>
      <c r="D11" s="1002">
        <v>6102432</v>
      </c>
      <c r="E11" s="995">
        <f t="shared" si="0"/>
        <v>-950000</v>
      </c>
      <c r="F11" s="996" t="s">
        <v>1287</v>
      </c>
    </row>
    <row r="12" spans="1:6" ht="48.75" customHeight="1">
      <c r="A12" s="1000">
        <v>14101</v>
      </c>
      <c r="B12" s="1001" t="s">
        <v>1292</v>
      </c>
      <c r="C12" s="1002">
        <v>4649777</v>
      </c>
      <c r="D12" s="1002">
        <v>4049777</v>
      </c>
      <c r="E12" s="1003">
        <f t="shared" si="0"/>
        <v>-600000</v>
      </c>
      <c r="F12" s="996" t="s">
        <v>1287</v>
      </c>
    </row>
    <row r="13" spans="1:6" ht="53.25" customHeight="1">
      <c r="A13" s="1000">
        <v>14201</v>
      </c>
      <c r="B13" s="1001" t="s">
        <v>1293</v>
      </c>
      <c r="C13" s="1002">
        <v>2296021</v>
      </c>
      <c r="D13" s="1002">
        <v>2096021</v>
      </c>
      <c r="E13" s="1003">
        <f t="shared" si="0"/>
        <v>-200000</v>
      </c>
      <c r="F13" s="996" t="s">
        <v>1287</v>
      </c>
    </row>
    <row r="14" spans="1:6" ht="48" customHeight="1">
      <c r="A14" s="1000">
        <v>14301</v>
      </c>
      <c r="B14" s="1001" t="s">
        <v>1124</v>
      </c>
      <c r="C14" s="1002">
        <v>3020314</v>
      </c>
      <c r="D14" s="1002">
        <v>2720314</v>
      </c>
      <c r="E14" s="1003">
        <f t="shared" si="0"/>
        <v>-300000</v>
      </c>
      <c r="F14" s="996" t="s">
        <v>1287</v>
      </c>
    </row>
    <row r="15" spans="1:6" ht="48" customHeight="1">
      <c r="A15" s="1000">
        <v>15101</v>
      </c>
      <c r="B15" s="1001" t="s">
        <v>1294</v>
      </c>
      <c r="C15" s="1002">
        <v>2728800</v>
      </c>
      <c r="D15" s="1002">
        <v>2428800</v>
      </c>
      <c r="E15" s="1003">
        <f t="shared" si="0"/>
        <v>-300000</v>
      </c>
      <c r="F15" s="996" t="s">
        <v>1287</v>
      </c>
    </row>
    <row r="16" spans="1:6" ht="50.25" customHeight="1">
      <c r="A16" s="997">
        <v>15404</v>
      </c>
      <c r="B16" s="998" t="s">
        <v>1295</v>
      </c>
      <c r="C16" s="999">
        <v>2767926</v>
      </c>
      <c r="D16" s="999">
        <v>2462119</v>
      </c>
      <c r="E16" s="995">
        <f t="shared" si="0"/>
        <v>-305807</v>
      </c>
      <c r="F16" s="996" t="s">
        <v>1287</v>
      </c>
    </row>
    <row r="17" spans="1:6" ht="37.5" customHeight="1">
      <c r="A17" s="997">
        <v>15901</v>
      </c>
      <c r="B17" s="998" t="s">
        <v>1131</v>
      </c>
      <c r="C17" s="999">
        <v>1934884</v>
      </c>
      <c r="D17" s="999">
        <v>2409994</v>
      </c>
      <c r="E17" s="995">
        <f t="shared" si="0"/>
        <v>475110</v>
      </c>
      <c r="F17" s="1004" t="s">
        <v>1296</v>
      </c>
    </row>
    <row r="18" spans="1:6" ht="51.75" customHeight="1">
      <c r="A18" s="1000">
        <v>17102</v>
      </c>
      <c r="B18" s="1001" t="s">
        <v>1297</v>
      </c>
      <c r="C18" s="1002">
        <v>1011733</v>
      </c>
      <c r="D18" s="1002">
        <v>1547556</v>
      </c>
      <c r="E18" s="1003">
        <f t="shared" si="0"/>
        <v>535823</v>
      </c>
      <c r="F18" s="1004" t="s">
        <v>1298</v>
      </c>
    </row>
    <row r="19" spans="1:6" ht="54" customHeight="1">
      <c r="A19" s="1000">
        <v>21101</v>
      </c>
      <c r="B19" s="1001" t="s">
        <v>1299</v>
      </c>
      <c r="C19" s="1002">
        <v>206299</v>
      </c>
      <c r="D19" s="1002">
        <v>200596</v>
      </c>
      <c r="E19" s="1003">
        <f t="shared" si="0"/>
        <v>-5703</v>
      </c>
      <c r="F19" s="996" t="s">
        <v>1300</v>
      </c>
    </row>
    <row r="20" spans="1:6" ht="54" customHeight="1">
      <c r="A20" s="1000">
        <v>21601</v>
      </c>
      <c r="B20" s="1001" t="s">
        <v>1356</v>
      </c>
      <c r="C20" s="1002">
        <v>979</v>
      </c>
      <c r="D20" s="1002">
        <v>1159</v>
      </c>
      <c r="E20" s="1003">
        <f t="shared" si="0"/>
        <v>180</v>
      </c>
      <c r="F20" s="1058" t="s">
        <v>1357</v>
      </c>
    </row>
    <row r="21" spans="1:6" ht="36" customHeight="1">
      <c r="A21" s="997">
        <v>24601</v>
      </c>
      <c r="B21" s="998" t="s">
        <v>1301</v>
      </c>
      <c r="C21" s="999">
        <v>7755</v>
      </c>
      <c r="D21" s="999">
        <v>7970</v>
      </c>
      <c r="E21" s="1003">
        <f t="shared" si="0"/>
        <v>215</v>
      </c>
      <c r="F21" s="996" t="s">
        <v>1302</v>
      </c>
    </row>
    <row r="22" spans="1:6" ht="51" customHeight="1">
      <c r="A22" s="997">
        <v>24801</v>
      </c>
      <c r="B22" s="998" t="s">
        <v>1155</v>
      </c>
      <c r="C22" s="999">
        <v>204118</v>
      </c>
      <c r="D22" s="999">
        <v>479766</v>
      </c>
      <c r="E22" s="1003">
        <f t="shared" si="0"/>
        <v>275648</v>
      </c>
      <c r="F22" s="1058" t="s">
        <v>1358</v>
      </c>
    </row>
    <row r="23" spans="1:6" ht="41.25" customHeight="1">
      <c r="A23" s="997">
        <v>25301</v>
      </c>
      <c r="B23" s="998" t="s">
        <v>1303</v>
      </c>
      <c r="C23" s="999">
        <v>575306</v>
      </c>
      <c r="D23" s="999">
        <v>196</v>
      </c>
      <c r="E23" s="1003">
        <f t="shared" si="0"/>
        <v>-575110</v>
      </c>
      <c r="F23" s="1004" t="s">
        <v>1296</v>
      </c>
    </row>
    <row r="24" spans="1:6" ht="51" customHeight="1">
      <c r="A24" s="997">
        <v>27101</v>
      </c>
      <c r="B24" s="998" t="s">
        <v>1167</v>
      </c>
      <c r="C24" s="999">
        <v>40000</v>
      </c>
      <c r="D24" s="999">
        <v>42448</v>
      </c>
      <c r="E24" s="995">
        <f t="shared" si="0"/>
        <v>2448</v>
      </c>
      <c r="F24" s="996" t="s">
        <v>1304</v>
      </c>
    </row>
    <row r="25" spans="1:6" ht="38.25" customHeight="1">
      <c r="A25" s="997">
        <v>29401</v>
      </c>
      <c r="B25" s="998" t="s">
        <v>1305</v>
      </c>
      <c r="C25" s="999">
        <v>58380</v>
      </c>
      <c r="D25" s="999">
        <v>59546</v>
      </c>
      <c r="E25" s="995">
        <f t="shared" si="0"/>
        <v>1166</v>
      </c>
      <c r="F25" s="996" t="s">
        <v>1306</v>
      </c>
    </row>
    <row r="26" spans="1:6" ht="47.25" customHeight="1">
      <c r="A26" s="997">
        <v>29601</v>
      </c>
      <c r="B26" s="998" t="s">
        <v>1307</v>
      </c>
      <c r="C26" s="999">
        <v>214222</v>
      </c>
      <c r="D26" s="999">
        <v>216311</v>
      </c>
      <c r="E26" s="995">
        <f t="shared" si="0"/>
        <v>2089</v>
      </c>
      <c r="F26" s="1004" t="s">
        <v>1308</v>
      </c>
    </row>
    <row r="27" spans="1:6" ht="48.75" customHeight="1">
      <c r="A27" s="1059">
        <v>31601</v>
      </c>
      <c r="B27" s="1060" t="s">
        <v>1309</v>
      </c>
      <c r="C27" s="1061">
        <v>3519961</v>
      </c>
      <c r="D27" s="1061">
        <v>3084676</v>
      </c>
      <c r="E27" s="1062">
        <f t="shared" si="0"/>
        <v>-435285</v>
      </c>
      <c r="F27" s="1056" t="s">
        <v>1310</v>
      </c>
    </row>
    <row r="28" spans="1:6" ht="55.5" customHeight="1">
      <c r="A28" s="1005">
        <v>31701</v>
      </c>
      <c r="B28" s="1006" t="s">
        <v>1311</v>
      </c>
      <c r="C28" s="1007">
        <v>376569</v>
      </c>
      <c r="D28" s="1007">
        <v>384887</v>
      </c>
      <c r="E28" s="1008">
        <f t="shared" si="0"/>
        <v>8318</v>
      </c>
      <c r="F28" s="1004" t="s">
        <v>1312</v>
      </c>
    </row>
    <row r="29" spans="1:6" ht="48.75" customHeight="1">
      <c r="A29" s="1005">
        <v>31801</v>
      </c>
      <c r="B29" s="1006" t="s">
        <v>1189</v>
      </c>
      <c r="C29" s="1007">
        <v>31874</v>
      </c>
      <c r="D29" s="1007">
        <v>36287</v>
      </c>
      <c r="E29" s="1008">
        <f t="shared" si="0"/>
        <v>4413</v>
      </c>
      <c r="F29" s="1004" t="s">
        <v>1313</v>
      </c>
    </row>
    <row r="30" spans="1:6" ht="55.5" customHeight="1">
      <c r="A30" s="997">
        <v>32302</v>
      </c>
      <c r="B30" s="998" t="s">
        <v>1314</v>
      </c>
      <c r="C30" s="999">
        <v>178813</v>
      </c>
      <c r="D30" s="999">
        <v>175204</v>
      </c>
      <c r="E30" s="995">
        <f t="shared" si="0"/>
        <v>-3609</v>
      </c>
      <c r="F30" s="996" t="s">
        <v>1310</v>
      </c>
    </row>
    <row r="31" spans="1:6" ht="55.5" customHeight="1">
      <c r="A31" s="997">
        <v>33101</v>
      </c>
      <c r="B31" s="998" t="s">
        <v>1315</v>
      </c>
      <c r="C31" s="999">
        <v>6174575</v>
      </c>
      <c r="D31" s="999">
        <v>5844696</v>
      </c>
      <c r="E31" s="995">
        <f t="shared" si="0"/>
        <v>-329879</v>
      </c>
      <c r="F31" s="996" t="s">
        <v>1310</v>
      </c>
    </row>
    <row r="32" spans="1:6" ht="55.5" customHeight="1">
      <c r="A32" s="1005">
        <v>33301</v>
      </c>
      <c r="B32" s="1006" t="s">
        <v>1316</v>
      </c>
      <c r="C32" s="1007">
        <v>37624</v>
      </c>
      <c r="D32" s="1007">
        <v>33623</v>
      </c>
      <c r="E32" s="1008">
        <f t="shared" si="0"/>
        <v>-4001</v>
      </c>
      <c r="F32" s="996" t="s">
        <v>1310</v>
      </c>
    </row>
    <row r="33" spans="1:6" ht="51" customHeight="1">
      <c r="A33" s="1558">
        <v>33401</v>
      </c>
      <c r="B33" s="1560" t="s">
        <v>1317</v>
      </c>
      <c r="C33" s="1562">
        <v>16392</v>
      </c>
      <c r="D33" s="1562">
        <v>56769</v>
      </c>
      <c r="E33" s="1564">
        <f t="shared" si="0"/>
        <v>40377</v>
      </c>
      <c r="F33" s="1063" t="s">
        <v>1318</v>
      </c>
    </row>
    <row r="34" spans="1:6" ht="27" customHeight="1">
      <c r="A34" s="1559"/>
      <c r="B34" s="1561"/>
      <c r="C34" s="1563"/>
      <c r="D34" s="1563"/>
      <c r="E34" s="1565"/>
      <c r="F34" s="1064" t="s">
        <v>1359</v>
      </c>
    </row>
    <row r="35" spans="1:6" ht="62.25" customHeight="1">
      <c r="A35" s="1005">
        <v>34101</v>
      </c>
      <c r="B35" s="1006" t="s">
        <v>1217</v>
      </c>
      <c r="C35" s="1007">
        <v>8500345</v>
      </c>
      <c r="D35" s="1007">
        <v>726724</v>
      </c>
      <c r="E35" s="1008">
        <f t="shared" si="0"/>
        <v>-7773621</v>
      </c>
      <c r="F35" s="996" t="s">
        <v>1319</v>
      </c>
    </row>
    <row r="36" spans="1:6" ht="65.25" customHeight="1">
      <c r="A36" s="1005">
        <v>34801</v>
      </c>
      <c r="B36" s="1006" t="s">
        <v>1223</v>
      </c>
      <c r="C36" s="1007">
        <v>1656836</v>
      </c>
      <c r="D36" s="1007">
        <v>1656800</v>
      </c>
      <c r="E36" s="1008">
        <f t="shared" si="0"/>
        <v>-36</v>
      </c>
      <c r="F36" s="996" t="s">
        <v>1360</v>
      </c>
    </row>
    <row r="37" spans="1:6" ht="50.25" customHeight="1">
      <c r="A37" s="1005">
        <v>35101</v>
      </c>
      <c r="B37" s="1006" t="s">
        <v>1320</v>
      </c>
      <c r="C37" s="1007">
        <v>282169</v>
      </c>
      <c r="D37" s="1007">
        <v>289273</v>
      </c>
      <c r="E37" s="1008">
        <f t="shared" si="0"/>
        <v>7104</v>
      </c>
      <c r="F37" s="1004" t="s">
        <v>1321</v>
      </c>
    </row>
    <row r="38" spans="1:6" ht="55.5" customHeight="1">
      <c r="A38" s="1005">
        <v>35201</v>
      </c>
      <c r="B38" s="1006" t="s">
        <v>1322</v>
      </c>
      <c r="C38" s="1007">
        <v>353345</v>
      </c>
      <c r="D38" s="1007">
        <v>339868</v>
      </c>
      <c r="E38" s="1008">
        <f t="shared" si="0"/>
        <v>-13477</v>
      </c>
      <c r="F38" s="996" t="s">
        <v>1310</v>
      </c>
    </row>
    <row r="39" spans="1:6" ht="55.5" customHeight="1">
      <c r="A39" s="1005">
        <v>35501</v>
      </c>
      <c r="B39" s="1006" t="s">
        <v>1323</v>
      </c>
      <c r="C39" s="1007">
        <v>419870</v>
      </c>
      <c r="D39" s="1007">
        <v>408642</v>
      </c>
      <c r="E39" s="1008">
        <f t="shared" si="0"/>
        <v>-11228</v>
      </c>
      <c r="F39" s="996" t="s">
        <v>1310</v>
      </c>
    </row>
    <row r="40" spans="1:6" ht="55.5" customHeight="1">
      <c r="A40" s="1005">
        <v>35801</v>
      </c>
      <c r="B40" s="1006" t="s">
        <v>1324</v>
      </c>
      <c r="C40" s="1007">
        <v>620142</v>
      </c>
      <c r="D40" s="1007">
        <v>615142</v>
      </c>
      <c r="E40" s="1008">
        <f t="shared" si="0"/>
        <v>-5000</v>
      </c>
      <c r="F40" s="996" t="s">
        <v>1310</v>
      </c>
    </row>
    <row r="41" spans="1:6" ht="43.5" customHeight="1">
      <c r="A41" s="1005">
        <v>35901</v>
      </c>
      <c r="B41" s="1006" t="s">
        <v>1361</v>
      </c>
      <c r="C41" s="1007">
        <v>28451</v>
      </c>
      <c r="D41" s="1007">
        <v>28550</v>
      </c>
      <c r="E41" s="1008">
        <f t="shared" si="0"/>
        <v>99</v>
      </c>
      <c r="F41" s="1065" t="s">
        <v>1362</v>
      </c>
    </row>
    <row r="42" spans="1:6" ht="36.75" customHeight="1">
      <c r="A42" s="1005">
        <v>36201</v>
      </c>
      <c r="B42" s="1006" t="s">
        <v>1363</v>
      </c>
      <c r="C42" s="1007">
        <v>0</v>
      </c>
      <c r="D42" s="1007">
        <v>3000</v>
      </c>
      <c r="E42" s="1008">
        <f t="shared" si="0"/>
        <v>3000</v>
      </c>
      <c r="F42" s="1065" t="s">
        <v>1364</v>
      </c>
    </row>
    <row r="43" spans="1:6" ht="60.75" customHeight="1">
      <c r="A43" s="997">
        <v>36301</v>
      </c>
      <c r="B43" s="998" t="s">
        <v>1325</v>
      </c>
      <c r="C43" s="999">
        <v>379788</v>
      </c>
      <c r="D43" s="999">
        <v>485361</v>
      </c>
      <c r="E43" s="995">
        <f t="shared" si="0"/>
        <v>105573</v>
      </c>
      <c r="F43" s="1009" t="s">
        <v>1326</v>
      </c>
    </row>
    <row r="44" spans="1:6" ht="55.5" customHeight="1">
      <c r="A44" s="997">
        <v>36601</v>
      </c>
      <c r="B44" s="998" t="s">
        <v>1365</v>
      </c>
      <c r="C44" s="999">
        <v>73602</v>
      </c>
      <c r="D44" s="999">
        <v>68602</v>
      </c>
      <c r="E44" s="995">
        <f t="shared" si="0"/>
        <v>-5000</v>
      </c>
      <c r="F44" s="996" t="s">
        <v>1310</v>
      </c>
    </row>
    <row r="45" spans="1:6" ht="55.5" customHeight="1">
      <c r="A45" s="1005">
        <v>37501</v>
      </c>
      <c r="B45" s="1006" t="s">
        <v>1366</v>
      </c>
      <c r="C45" s="1007">
        <v>750285</v>
      </c>
      <c r="D45" s="1007">
        <v>721605</v>
      </c>
      <c r="E45" s="1008">
        <f t="shared" si="0"/>
        <v>-28680</v>
      </c>
      <c r="F45" s="996" t="s">
        <v>1310</v>
      </c>
    </row>
    <row r="46" spans="1:6" ht="55.5" customHeight="1">
      <c r="A46" s="1005">
        <v>38201</v>
      </c>
      <c r="B46" s="1006" t="s">
        <v>1367</v>
      </c>
      <c r="C46" s="1007">
        <v>668045</v>
      </c>
      <c r="D46" s="1007">
        <v>637594</v>
      </c>
      <c r="E46" s="1008">
        <f t="shared" si="0"/>
        <v>-30451</v>
      </c>
      <c r="F46" s="996" t="s">
        <v>1310</v>
      </c>
    </row>
    <row r="47" spans="1:6" ht="33.75" customHeight="1">
      <c r="A47" s="1005">
        <v>39201</v>
      </c>
      <c r="B47" s="1006" t="s">
        <v>1327</v>
      </c>
      <c r="C47" s="1007">
        <v>155299</v>
      </c>
      <c r="D47" s="1007">
        <v>178424</v>
      </c>
      <c r="E47" s="1008">
        <f t="shared" si="0"/>
        <v>23125</v>
      </c>
      <c r="F47" s="1004" t="s">
        <v>1328</v>
      </c>
    </row>
    <row r="48" spans="1:6" ht="54.75" customHeight="1">
      <c r="A48" s="997">
        <v>39501</v>
      </c>
      <c r="B48" s="998" t="s">
        <v>1262</v>
      </c>
      <c r="C48" s="999">
        <v>607894</v>
      </c>
      <c r="D48" s="999">
        <v>584926</v>
      </c>
      <c r="E48" s="995">
        <f t="shared" si="0"/>
        <v>-22968</v>
      </c>
      <c r="F48" s="996" t="s">
        <v>1310</v>
      </c>
    </row>
    <row r="49" spans="1:6" ht="58.5" customHeight="1">
      <c r="A49" s="997">
        <v>39801</v>
      </c>
      <c r="B49" s="998" t="s">
        <v>1329</v>
      </c>
      <c r="C49" s="999">
        <v>2016368</v>
      </c>
      <c r="D49" s="999">
        <v>2016361</v>
      </c>
      <c r="E49" s="995">
        <f t="shared" si="0"/>
        <v>-7</v>
      </c>
      <c r="F49" s="996" t="s">
        <v>1310</v>
      </c>
    </row>
    <row r="50" spans="1:6" ht="18.75" customHeight="1">
      <c r="A50" s="997">
        <v>51501</v>
      </c>
      <c r="B50" s="998" t="s">
        <v>1330</v>
      </c>
      <c r="C50" s="999">
        <v>0</v>
      </c>
      <c r="D50" s="999">
        <v>210209</v>
      </c>
      <c r="E50" s="995">
        <f t="shared" si="0"/>
        <v>210209</v>
      </c>
      <c r="F50" s="1551" t="s">
        <v>1331</v>
      </c>
    </row>
    <row r="51" spans="1:6" ht="25.5" customHeight="1">
      <c r="A51" s="997">
        <v>52101</v>
      </c>
      <c r="B51" s="998" t="s">
        <v>1268</v>
      </c>
      <c r="C51" s="999">
        <v>0</v>
      </c>
      <c r="D51" s="999">
        <v>11871</v>
      </c>
      <c r="E51" s="995">
        <f t="shared" si="0"/>
        <v>11871</v>
      </c>
      <c r="F51" s="1552"/>
    </row>
    <row r="52" spans="1:6" ht="17.25" customHeight="1">
      <c r="A52" s="997">
        <v>52301</v>
      </c>
      <c r="B52" s="998" t="s">
        <v>1332</v>
      </c>
      <c r="C52" s="999">
        <v>0</v>
      </c>
      <c r="D52" s="999">
        <v>58002</v>
      </c>
      <c r="E52" s="995">
        <f t="shared" si="0"/>
        <v>58002</v>
      </c>
      <c r="F52" s="1552"/>
    </row>
    <row r="53" spans="1:6" ht="15.75" customHeight="1">
      <c r="A53" s="997">
        <v>56401</v>
      </c>
      <c r="B53" s="998" t="s">
        <v>1270</v>
      </c>
      <c r="C53" s="999">
        <v>0</v>
      </c>
      <c r="D53" s="999">
        <v>81750</v>
      </c>
      <c r="E53" s="995">
        <f t="shared" si="0"/>
        <v>81750</v>
      </c>
      <c r="F53" s="1552"/>
    </row>
    <row r="54" spans="1:6" ht="22.5" customHeight="1">
      <c r="A54" s="997"/>
      <c r="B54" s="998" t="s">
        <v>1350</v>
      </c>
      <c r="C54" s="999">
        <v>0</v>
      </c>
      <c r="D54" s="999">
        <v>56303</v>
      </c>
      <c r="E54" s="995">
        <f t="shared" si="0"/>
        <v>56303</v>
      </c>
      <c r="F54" s="1552"/>
    </row>
    <row r="55" spans="1:6" ht="25.5" customHeight="1">
      <c r="A55" s="997"/>
      <c r="B55" s="998" t="s">
        <v>1368</v>
      </c>
      <c r="C55" s="999">
        <v>0</v>
      </c>
      <c r="D55" s="999">
        <v>59729</v>
      </c>
      <c r="E55" s="995">
        <f t="shared" si="0"/>
        <v>59729</v>
      </c>
      <c r="F55" s="1553"/>
    </row>
    <row r="56" spans="1:6" ht="35.25" customHeight="1">
      <c r="A56" s="997">
        <v>91101</v>
      </c>
      <c r="B56" s="998" t="s">
        <v>1333</v>
      </c>
      <c r="C56" s="999">
        <v>0</v>
      </c>
      <c r="D56" s="999">
        <v>9999984</v>
      </c>
      <c r="E56" s="995">
        <f t="shared" si="0"/>
        <v>9999984</v>
      </c>
      <c r="F56" s="1010" t="s">
        <v>1334</v>
      </c>
    </row>
    <row r="57" spans="1:6" ht="54.75" customHeight="1">
      <c r="A57" s="997">
        <v>92101</v>
      </c>
      <c r="B57" s="998" t="s">
        <v>1335</v>
      </c>
      <c r="C57" s="999">
        <v>0</v>
      </c>
      <c r="D57" s="999">
        <v>7772000</v>
      </c>
      <c r="E57" s="995">
        <f t="shared" si="0"/>
        <v>7772000</v>
      </c>
      <c r="F57" s="1010" t="s">
        <v>1336</v>
      </c>
    </row>
    <row r="58" spans="1:6">
      <c r="A58" s="997"/>
      <c r="B58" s="997"/>
      <c r="C58" s="999">
        <f>SUM(C5:C57)</f>
        <v>106103918</v>
      </c>
      <c r="D58" s="999">
        <f>SUM(D5:D57)</f>
        <v>106160625.72999999</v>
      </c>
      <c r="E58" s="999">
        <f>SUM(E5:E57)-1</f>
        <v>56706.730000000447</v>
      </c>
      <c r="F58" s="1011"/>
    </row>
    <row r="59" spans="1:6" ht="78.75" customHeight="1">
      <c r="A59" s="997" t="s">
        <v>1337</v>
      </c>
      <c r="B59" s="1554" t="s">
        <v>1369</v>
      </c>
      <c r="C59" s="1554"/>
      <c r="D59" s="1554"/>
      <c r="E59" s="1554"/>
      <c r="F59" s="1554"/>
    </row>
    <row r="62" spans="1:6">
      <c r="B62" s="1012"/>
      <c r="C62" s="1013"/>
      <c r="D62" s="1013"/>
      <c r="F62" s="1015"/>
    </row>
    <row r="63" spans="1:6">
      <c r="B63" s="1555" t="s">
        <v>1338</v>
      </c>
      <c r="C63" s="1555"/>
      <c r="D63" s="1555"/>
      <c r="F63" s="1016" t="s">
        <v>1339</v>
      </c>
    </row>
    <row r="64" spans="1:6">
      <c r="B64" s="1555" t="s">
        <v>1340</v>
      </c>
      <c r="C64" s="1555"/>
      <c r="D64" s="1555"/>
      <c r="F64" s="1016" t="s">
        <v>1341</v>
      </c>
    </row>
  </sheetData>
  <mergeCells count="21">
    <mergeCell ref="A8:A9"/>
    <mergeCell ref="B8:B9"/>
    <mergeCell ref="C8:C9"/>
    <mergeCell ref="D8:D9"/>
    <mergeCell ref="A1:F1"/>
    <mergeCell ref="A3:F3"/>
    <mergeCell ref="A5:A6"/>
    <mergeCell ref="B5:B6"/>
    <mergeCell ref="C5:C6"/>
    <mergeCell ref="D5:D6"/>
    <mergeCell ref="E5:E6"/>
    <mergeCell ref="A33:A34"/>
    <mergeCell ref="B33:B34"/>
    <mergeCell ref="C33:C34"/>
    <mergeCell ref="D33:D34"/>
    <mergeCell ref="E33:E34"/>
    <mergeCell ref="F50:F55"/>
    <mergeCell ref="B59:F59"/>
    <mergeCell ref="B63:D63"/>
    <mergeCell ref="B64:D64"/>
    <mergeCell ref="E8:E9"/>
  </mergeCells>
  <printOptions horizontalCentered="1"/>
  <pageMargins left="0" right="0"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sheetPr codeName="Hoja2">
    <pageSetUpPr fitToPage="1"/>
  </sheetPr>
  <dimension ref="A1:G73"/>
  <sheetViews>
    <sheetView view="pageBreakPreview" topLeftCell="A13" zoomScale="110" zoomScaleSheetLayoutView="110" workbookViewId="0">
      <selection activeCell="C67" sqref="C67"/>
    </sheetView>
  </sheetViews>
  <sheetFormatPr baseColWidth="10" defaultColWidth="11.28515625" defaultRowHeight="16.5"/>
  <cols>
    <col min="1" max="1" width="1.7109375" style="109" customWidth="1"/>
    <col min="2" max="2" width="101.7109375" style="109" bestFit="1" customWidth="1"/>
    <col min="3" max="3" width="18.28515625" style="109" customWidth="1"/>
    <col min="4" max="4" width="18" style="446" customWidth="1"/>
    <col min="5" max="5" width="59.28515625" style="108" customWidth="1"/>
    <col min="6" max="6" width="22.7109375" style="108" customWidth="1"/>
    <col min="7" max="16384" width="11.28515625" style="108"/>
  </cols>
  <sheetData>
    <row r="1" spans="1:7" s="107" customFormat="1" ht="20.25">
      <c r="A1" s="1182" t="s">
        <v>23</v>
      </c>
      <c r="B1" s="1182"/>
      <c r="C1" s="1182"/>
      <c r="D1" s="1182"/>
      <c r="E1" s="434"/>
      <c r="G1" s="52"/>
    </row>
    <row r="2" spans="1:7" ht="15.75">
      <c r="A2" s="1183" t="s">
        <v>1</v>
      </c>
      <c r="B2" s="1183"/>
      <c r="C2" s="1183"/>
      <c r="D2" s="1183"/>
    </row>
    <row r="3" spans="1:7" ht="15.75">
      <c r="A3" s="1191" t="str">
        <f>'ETCA-I-01'!A3</f>
        <v>TELEVISORA DE HERMOSILLO, S.A. DE C.V.</v>
      </c>
      <c r="B3" s="1191"/>
      <c r="C3" s="1191"/>
      <c r="D3" s="1191"/>
    </row>
    <row r="4" spans="1:7">
      <c r="A4" s="1184" t="s">
        <v>1344</v>
      </c>
      <c r="B4" s="1184"/>
      <c r="C4" s="1184"/>
      <c r="D4" s="1184"/>
    </row>
    <row r="5" spans="1:7" s="109" customFormat="1" ht="17.25" thickBot="1">
      <c r="A5" s="1192" t="s">
        <v>200</v>
      </c>
      <c r="B5" s="1192"/>
      <c r="C5" s="52"/>
      <c r="D5" s="442"/>
    </row>
    <row r="6" spans="1:7" ht="27.75" customHeight="1" thickBot="1">
      <c r="A6" s="1189"/>
      <c r="B6" s="1190"/>
      <c r="C6" s="850">
        <v>2018</v>
      </c>
      <c r="D6" s="850">
        <v>2017</v>
      </c>
    </row>
    <row r="7" spans="1:7" ht="17.25" thickTop="1">
      <c r="A7" s="110" t="s">
        <v>201</v>
      </c>
      <c r="B7" s="111"/>
      <c r="C7" s="112"/>
      <c r="D7" s="600"/>
    </row>
    <row r="8" spans="1:7">
      <c r="A8" s="113" t="s">
        <v>202</v>
      </c>
      <c r="B8" s="114"/>
      <c r="C8" s="546">
        <f>SUM(C9:C16)</f>
        <v>62101076</v>
      </c>
      <c r="D8" s="547">
        <f>SUM(D9:D16)</f>
        <v>119016899</v>
      </c>
    </row>
    <row r="9" spans="1:7">
      <c r="A9" s="115"/>
      <c r="B9" s="116" t="s">
        <v>203</v>
      </c>
      <c r="C9" s="548">
        <v>0</v>
      </c>
      <c r="D9" s="549">
        <v>0</v>
      </c>
    </row>
    <row r="10" spans="1:7">
      <c r="A10" s="115"/>
      <c r="B10" s="116" t="s">
        <v>204</v>
      </c>
      <c r="C10" s="548">
        <v>0</v>
      </c>
      <c r="D10" s="549">
        <v>0</v>
      </c>
    </row>
    <row r="11" spans="1:7">
      <c r="A11" s="115"/>
      <c r="B11" s="116" t="s">
        <v>205</v>
      </c>
      <c r="C11" s="548">
        <v>0</v>
      </c>
      <c r="D11" s="549">
        <v>0</v>
      </c>
    </row>
    <row r="12" spans="1:7">
      <c r="A12" s="115"/>
      <c r="B12" s="116" t="s">
        <v>206</v>
      </c>
      <c r="C12" s="548">
        <v>0</v>
      </c>
      <c r="D12" s="549">
        <v>0</v>
      </c>
    </row>
    <row r="13" spans="1:7">
      <c r="A13" s="115"/>
      <c r="B13" s="116" t="s">
        <v>271</v>
      </c>
      <c r="C13" s="548">
        <v>0</v>
      </c>
      <c r="D13" s="549">
        <v>0</v>
      </c>
    </row>
    <row r="14" spans="1:7">
      <c r="A14" s="115"/>
      <c r="B14" s="116" t="s">
        <v>207</v>
      </c>
      <c r="C14" s="548">
        <v>0</v>
      </c>
      <c r="D14" s="549">
        <v>0</v>
      </c>
    </row>
    <row r="15" spans="1:7">
      <c r="A15" s="115"/>
      <c r="B15" s="116" t="s">
        <v>208</v>
      </c>
      <c r="C15" s="548">
        <v>62101076</v>
      </c>
      <c r="D15" s="549">
        <v>119016899</v>
      </c>
    </row>
    <row r="16" spans="1:7">
      <c r="A16" s="115"/>
      <c r="B16" s="116" t="s">
        <v>209</v>
      </c>
      <c r="C16" s="548">
        <v>0</v>
      </c>
      <c r="D16" s="549">
        <v>0</v>
      </c>
    </row>
    <row r="17" spans="1:4">
      <c r="A17" s="113" t="s">
        <v>210</v>
      </c>
      <c r="B17" s="114"/>
      <c r="C17" s="546">
        <f>SUM(C18:C19)</f>
        <v>13107073</v>
      </c>
      <c r="D17" s="547">
        <f>SUM(D18:D19)</f>
        <v>0</v>
      </c>
    </row>
    <row r="18" spans="1:4">
      <c r="A18" s="115"/>
      <c r="B18" s="116" t="s">
        <v>211</v>
      </c>
      <c r="C18" s="548">
        <v>0</v>
      </c>
      <c r="D18" s="549">
        <v>0</v>
      </c>
    </row>
    <row r="19" spans="1:4">
      <c r="A19" s="115"/>
      <c r="B19" s="116" t="s">
        <v>212</v>
      </c>
      <c r="C19" s="548">
        <v>13107073</v>
      </c>
      <c r="D19" s="549">
        <v>0</v>
      </c>
    </row>
    <row r="20" spans="1:4">
      <c r="A20" s="113" t="s">
        <v>213</v>
      </c>
      <c r="B20" s="114"/>
      <c r="C20" s="546">
        <f>SUM(C21:C25)</f>
        <v>84011</v>
      </c>
      <c r="D20" s="547">
        <f>SUM(D21:D25)</f>
        <v>219821</v>
      </c>
    </row>
    <row r="21" spans="1:4">
      <c r="A21" s="115"/>
      <c r="B21" s="116" t="s">
        <v>214</v>
      </c>
      <c r="C21" s="548">
        <v>3907</v>
      </c>
      <c r="D21" s="549">
        <v>196165</v>
      </c>
    </row>
    <row r="22" spans="1:4">
      <c r="A22" s="115"/>
      <c r="B22" s="116" t="s">
        <v>215</v>
      </c>
      <c r="C22" s="548">
        <v>0</v>
      </c>
      <c r="D22" s="549">
        <v>0</v>
      </c>
    </row>
    <row r="23" spans="1:4">
      <c r="A23" s="115"/>
      <c r="B23" s="116" t="s">
        <v>216</v>
      </c>
      <c r="C23" s="548">
        <v>0</v>
      </c>
      <c r="D23" s="549">
        <v>0</v>
      </c>
    </row>
    <row r="24" spans="1:4">
      <c r="A24" s="115"/>
      <c r="B24" s="116" t="s">
        <v>217</v>
      </c>
      <c r="C24" s="548">
        <v>0</v>
      </c>
      <c r="D24" s="549">
        <v>0</v>
      </c>
    </row>
    <row r="25" spans="1:4">
      <c r="A25" s="115"/>
      <c r="B25" s="116" t="s">
        <v>218</v>
      </c>
      <c r="C25" s="548">
        <v>80104</v>
      </c>
      <c r="D25" s="549">
        <v>23656</v>
      </c>
    </row>
    <row r="26" spans="1:4">
      <c r="A26" s="115"/>
      <c r="B26" s="112"/>
      <c r="C26" s="548">
        <v>0</v>
      </c>
      <c r="D26" s="549">
        <v>0</v>
      </c>
    </row>
    <row r="27" spans="1:4">
      <c r="A27" s="117" t="s">
        <v>219</v>
      </c>
      <c r="B27" s="118"/>
      <c r="C27" s="550">
        <f>C20+C17+C8</f>
        <v>75292160</v>
      </c>
      <c r="D27" s="551">
        <f>D20+D17+D8</f>
        <v>119236720</v>
      </c>
    </row>
    <row r="28" spans="1:4">
      <c r="A28" s="115"/>
      <c r="B28" s="112"/>
      <c r="C28" s="548">
        <v>0</v>
      </c>
      <c r="D28" s="549">
        <v>0</v>
      </c>
    </row>
    <row r="29" spans="1:4">
      <c r="A29" s="110" t="s">
        <v>220</v>
      </c>
      <c r="B29" s="111"/>
      <c r="C29" s="548">
        <v>0</v>
      </c>
      <c r="D29" s="549">
        <v>0</v>
      </c>
    </row>
    <row r="30" spans="1:4">
      <c r="A30" s="113" t="s">
        <v>221</v>
      </c>
      <c r="B30" s="114"/>
      <c r="C30" s="546">
        <f>SUM(C31:C33)</f>
        <v>69632474</v>
      </c>
      <c r="D30" s="547">
        <f>SUM(D31:D33)-1</f>
        <v>131815564</v>
      </c>
    </row>
    <row r="31" spans="1:4">
      <c r="A31" s="115"/>
      <c r="B31" s="116" t="s">
        <v>222</v>
      </c>
      <c r="C31" s="548">
        <v>53128222</v>
      </c>
      <c r="D31" s="549">
        <v>48358694</v>
      </c>
    </row>
    <row r="32" spans="1:4">
      <c r="A32" s="115"/>
      <c r="B32" s="116" t="s">
        <v>223</v>
      </c>
      <c r="C32" s="548">
        <v>1287606</v>
      </c>
      <c r="D32" s="549">
        <v>1691361</v>
      </c>
    </row>
    <row r="33" spans="1:4">
      <c r="A33" s="115"/>
      <c r="B33" s="116" t="s">
        <v>224</v>
      </c>
      <c r="C33" s="548">
        <v>15216646</v>
      </c>
      <c r="D33" s="549">
        <v>81765510</v>
      </c>
    </row>
    <row r="34" spans="1:4">
      <c r="A34" s="113" t="s">
        <v>460</v>
      </c>
      <c r="B34" s="114"/>
      <c r="C34" s="546">
        <f>SUM(C35:C43)</f>
        <v>0</v>
      </c>
      <c r="D34" s="547">
        <f>SUM(D35:D43)</f>
        <v>0</v>
      </c>
    </row>
    <row r="35" spans="1:4">
      <c r="A35" s="115"/>
      <c r="B35" s="116" t="s">
        <v>225</v>
      </c>
      <c r="C35" s="548">
        <v>0</v>
      </c>
      <c r="D35" s="549">
        <v>0</v>
      </c>
    </row>
    <row r="36" spans="1:4">
      <c r="A36" s="115"/>
      <c r="B36" s="116" t="s">
        <v>226</v>
      </c>
      <c r="C36" s="548">
        <v>0</v>
      </c>
      <c r="D36" s="549">
        <v>0</v>
      </c>
    </row>
    <row r="37" spans="1:4">
      <c r="A37" s="115"/>
      <c r="B37" s="116" t="s">
        <v>227</v>
      </c>
      <c r="C37" s="548">
        <v>0</v>
      </c>
      <c r="D37" s="549">
        <v>0</v>
      </c>
    </row>
    <row r="38" spans="1:4">
      <c r="A38" s="115"/>
      <c r="B38" s="116" t="s">
        <v>228</v>
      </c>
      <c r="C38" s="548">
        <v>0</v>
      </c>
      <c r="D38" s="549">
        <v>0</v>
      </c>
    </row>
    <row r="39" spans="1:4">
      <c r="A39" s="115"/>
      <c r="B39" s="116" t="s">
        <v>229</v>
      </c>
      <c r="C39" s="548">
        <v>0</v>
      </c>
      <c r="D39" s="549">
        <v>0</v>
      </c>
    </row>
    <row r="40" spans="1:4">
      <c r="A40" s="115"/>
      <c r="B40" s="116" t="s">
        <v>230</v>
      </c>
      <c r="C40" s="548">
        <v>0</v>
      </c>
      <c r="D40" s="549">
        <v>0</v>
      </c>
    </row>
    <row r="41" spans="1:4">
      <c r="A41" s="115"/>
      <c r="B41" s="116" t="s">
        <v>231</v>
      </c>
      <c r="C41" s="548">
        <v>0</v>
      </c>
      <c r="D41" s="549">
        <v>0</v>
      </c>
    </row>
    <row r="42" spans="1:4">
      <c r="A42" s="115"/>
      <c r="B42" s="116" t="s">
        <v>232</v>
      </c>
      <c r="C42" s="548">
        <v>0</v>
      </c>
      <c r="D42" s="549">
        <v>0</v>
      </c>
    </row>
    <row r="43" spans="1:4">
      <c r="A43" s="115"/>
      <c r="B43" s="116" t="s">
        <v>233</v>
      </c>
      <c r="C43" s="548">
        <v>0</v>
      </c>
      <c r="D43" s="549">
        <v>0</v>
      </c>
    </row>
    <row r="44" spans="1:4">
      <c r="A44" s="113" t="s">
        <v>234</v>
      </c>
      <c r="B44" s="114"/>
      <c r="C44" s="546">
        <f>SUM(C45:C47)</f>
        <v>0</v>
      </c>
      <c r="D44" s="547">
        <f>SUM(D45:D47)</f>
        <v>0</v>
      </c>
    </row>
    <row r="45" spans="1:4">
      <c r="A45" s="115"/>
      <c r="B45" s="116" t="s">
        <v>235</v>
      </c>
      <c r="C45" s="548">
        <v>0</v>
      </c>
      <c r="D45" s="549">
        <v>0</v>
      </c>
    </row>
    <row r="46" spans="1:4">
      <c r="A46" s="115"/>
      <c r="B46" s="116" t="s">
        <v>70</v>
      </c>
      <c r="C46" s="548">
        <v>0</v>
      </c>
      <c r="D46" s="549">
        <v>0</v>
      </c>
    </row>
    <row r="47" spans="1:4">
      <c r="A47" s="115"/>
      <c r="B47" s="116" t="s">
        <v>236</v>
      </c>
      <c r="C47" s="548">
        <v>0</v>
      </c>
      <c r="D47" s="549">
        <v>0</v>
      </c>
    </row>
    <row r="48" spans="1:4">
      <c r="A48" s="113" t="s">
        <v>237</v>
      </c>
      <c r="B48" s="114"/>
      <c r="C48" s="546">
        <f>SUM(C49:C53)</f>
        <v>4833694</v>
      </c>
      <c r="D48" s="547">
        <f>SUM(D49:D53)</f>
        <v>5020353</v>
      </c>
    </row>
    <row r="49" spans="1:4">
      <c r="A49" s="115"/>
      <c r="B49" s="116" t="s">
        <v>238</v>
      </c>
      <c r="C49" s="548">
        <v>4833694</v>
      </c>
      <c r="D49" s="549">
        <v>5020353</v>
      </c>
    </row>
    <row r="50" spans="1:4">
      <c r="A50" s="115"/>
      <c r="B50" s="116" t="s">
        <v>239</v>
      </c>
      <c r="C50" s="548">
        <v>0</v>
      </c>
      <c r="D50" s="549">
        <v>0</v>
      </c>
    </row>
    <row r="51" spans="1:4">
      <c r="A51" s="115"/>
      <c r="B51" s="116" t="s">
        <v>240</v>
      </c>
      <c r="C51" s="548">
        <v>0</v>
      </c>
      <c r="D51" s="549">
        <v>0</v>
      </c>
    </row>
    <row r="52" spans="1:4">
      <c r="A52" s="115"/>
      <c r="B52" s="116" t="s">
        <v>241</v>
      </c>
      <c r="C52" s="548">
        <v>0</v>
      </c>
      <c r="D52" s="549">
        <v>0</v>
      </c>
    </row>
    <row r="53" spans="1:4">
      <c r="A53" s="115"/>
      <c r="B53" s="116" t="s">
        <v>242</v>
      </c>
      <c r="C53" s="548">
        <v>0</v>
      </c>
      <c r="D53" s="549">
        <v>0</v>
      </c>
    </row>
    <row r="54" spans="1:4">
      <c r="A54" s="113" t="s">
        <v>243</v>
      </c>
      <c r="B54" s="114"/>
      <c r="C54" s="550">
        <f>SUM(C55:C60)</f>
        <v>11623522</v>
      </c>
      <c r="D54" s="551">
        <f>SUM(D55:D60)</f>
        <v>11891867</v>
      </c>
    </row>
    <row r="55" spans="1:4">
      <c r="A55" s="115"/>
      <c r="B55" s="116" t="s">
        <v>244</v>
      </c>
      <c r="C55" s="548">
        <v>10132554</v>
      </c>
      <c r="D55" s="549">
        <v>9941294</v>
      </c>
    </row>
    <row r="56" spans="1:4">
      <c r="A56" s="115"/>
      <c r="B56" s="116" t="s">
        <v>245</v>
      </c>
      <c r="C56" s="548">
        <v>0</v>
      </c>
      <c r="D56" s="549">
        <v>0</v>
      </c>
    </row>
    <row r="57" spans="1:4">
      <c r="A57" s="115"/>
      <c r="B57" s="116" t="s">
        <v>246</v>
      </c>
      <c r="C57" s="548">
        <v>0</v>
      </c>
      <c r="D57" s="549">
        <v>0</v>
      </c>
    </row>
    <row r="58" spans="1:4">
      <c r="A58" s="115"/>
      <c r="B58" s="116" t="s">
        <v>247</v>
      </c>
      <c r="C58" s="548">
        <v>0</v>
      </c>
      <c r="D58" s="549">
        <v>0</v>
      </c>
    </row>
    <row r="59" spans="1:4">
      <c r="A59" s="115"/>
      <c r="B59" s="116" t="s">
        <v>248</v>
      </c>
      <c r="C59" s="548">
        <v>0</v>
      </c>
      <c r="D59" s="549">
        <v>0</v>
      </c>
    </row>
    <row r="60" spans="1:4">
      <c r="A60" s="115"/>
      <c r="B60" s="116" t="s">
        <v>249</v>
      </c>
      <c r="C60" s="548">
        <v>1490968</v>
      </c>
      <c r="D60" s="549">
        <v>1950573</v>
      </c>
    </row>
    <row r="61" spans="1:4">
      <c r="A61" s="113" t="s">
        <v>250</v>
      </c>
      <c r="B61" s="114"/>
      <c r="C61" s="550">
        <f>C62</f>
        <v>0</v>
      </c>
      <c r="D61" s="551">
        <f>D62</f>
        <v>0</v>
      </c>
    </row>
    <row r="62" spans="1:4">
      <c r="A62" s="115"/>
      <c r="B62" s="116" t="s">
        <v>251</v>
      </c>
      <c r="C62" s="548">
        <v>0</v>
      </c>
      <c r="D62" s="549">
        <v>0</v>
      </c>
    </row>
    <row r="63" spans="1:4">
      <c r="A63" s="115"/>
      <c r="B63" s="119"/>
      <c r="C63" s="548"/>
      <c r="D63" s="549"/>
    </row>
    <row r="64" spans="1:4">
      <c r="A64" s="113" t="s">
        <v>252</v>
      </c>
      <c r="B64" s="114"/>
      <c r="C64" s="550">
        <f>C61+C54+C48+C34+C30+C44+1</f>
        <v>86089691</v>
      </c>
      <c r="D64" s="551">
        <f>D61+D54+D48+D34+D30+D44</f>
        <v>148727784</v>
      </c>
    </row>
    <row r="65" spans="1:5">
      <c r="A65" s="115"/>
      <c r="B65" s="119"/>
      <c r="C65" s="548"/>
      <c r="D65" s="549"/>
    </row>
    <row r="66" spans="1:5" ht="20.25">
      <c r="A66" s="113" t="s">
        <v>253</v>
      </c>
      <c r="B66" s="114"/>
      <c r="C66" s="550">
        <f>C27-C64</f>
        <v>-10797531</v>
      </c>
      <c r="D66" s="551">
        <f>D27-D64</f>
        <v>-29491064</v>
      </c>
      <c r="E66" s="447" t="str">
        <f>IF((C66-'ETCA-I-01'!F41)&gt;0.9,"ERROR!!!, NO COINCIDEN LOS MONTOS CON LO REPORTADO EN EL FORMATO ETCA-I-01 EN EL EJERCICIO 2017","")</f>
        <v/>
      </c>
    </row>
    <row r="67" spans="1:5" ht="21" thickBot="1">
      <c r="A67" s="120"/>
      <c r="B67" s="121"/>
      <c r="C67" s="121"/>
      <c r="D67" s="443"/>
      <c r="E67" s="447"/>
    </row>
    <row r="68" spans="1:5" s="436" customFormat="1" ht="16.5" customHeight="1">
      <c r="A68" s="119"/>
      <c r="B68" s="504" t="s">
        <v>254</v>
      </c>
      <c r="C68" s="119"/>
      <c r="D68" s="505"/>
    </row>
    <row r="69" spans="1:5" s="436" customFormat="1" ht="16.5" customHeight="1">
      <c r="A69" s="119"/>
      <c r="B69" s="119"/>
      <c r="C69" s="119" t="s">
        <v>255</v>
      </c>
      <c r="D69" s="505"/>
    </row>
    <row r="70" spans="1:5" s="436" customFormat="1" ht="16.5" customHeight="1">
      <c r="A70" s="119"/>
      <c r="B70" s="119" t="s">
        <v>255</v>
      </c>
      <c r="C70" s="119" t="s">
        <v>255</v>
      </c>
      <c r="D70" s="505"/>
    </row>
    <row r="71" spans="1:5" s="436" customFormat="1" ht="16.5" customHeight="1">
      <c r="A71" s="119"/>
      <c r="B71" s="119"/>
      <c r="C71" s="119"/>
      <c r="D71" s="505"/>
    </row>
    <row r="72" spans="1:5" s="436" customFormat="1" ht="16.5" customHeight="1">
      <c r="A72" s="435"/>
      <c r="B72" s="51" t="s">
        <v>255</v>
      </c>
      <c r="C72" s="435"/>
      <c r="D72" s="444"/>
    </row>
    <row r="73" spans="1:5">
      <c r="C73" s="101"/>
      <c r="D73" s="445" t="s">
        <v>85</v>
      </c>
    </row>
  </sheetData>
  <sheetProtection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topLeftCell="A22" zoomScale="120" zoomScaleSheetLayoutView="120" workbookViewId="0">
      <selection activeCell="D31" sqref="D31"/>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193" t="str">
        <f>'ETCA-I-01'!$A$3:$G$3</f>
        <v>TELEVISORA DE HERMOSILLO, S.A. DE C.V.</v>
      </c>
      <c r="B1" s="1194"/>
      <c r="C1" s="1194"/>
      <c r="D1" s="1194"/>
      <c r="E1" s="1194"/>
      <c r="F1" s="1195"/>
    </row>
    <row r="2" spans="1:6">
      <c r="A2" s="1196" t="s">
        <v>256</v>
      </c>
      <c r="B2" s="1197"/>
      <c r="C2" s="1197"/>
      <c r="D2" s="1197"/>
      <c r="E2" s="1197"/>
      <c r="F2" s="1198"/>
    </row>
    <row r="3" spans="1:6" ht="15.75" thickBot="1">
      <c r="A3" s="1199" t="str">
        <f>'ETCA-I-03'!A4:D4</f>
        <v>Del 01 de Enero al 30 de Septiembre de 2018</v>
      </c>
      <c r="B3" s="1200"/>
      <c r="C3" s="1200"/>
      <c r="D3" s="1200"/>
      <c r="E3" s="1200"/>
      <c r="F3" s="1201"/>
    </row>
    <row r="4" spans="1:6" ht="64.5" thickBot="1">
      <c r="A4" s="861" t="s">
        <v>257</v>
      </c>
      <c r="B4" s="862" t="s">
        <v>258</v>
      </c>
      <c r="C4" s="862" t="s">
        <v>1062</v>
      </c>
      <c r="D4" s="862" t="s">
        <v>259</v>
      </c>
      <c r="E4" s="862" t="s">
        <v>1063</v>
      </c>
      <c r="F4" s="863" t="s">
        <v>260</v>
      </c>
    </row>
    <row r="5" spans="1:6">
      <c r="A5" s="864"/>
      <c r="B5" s="865"/>
      <c r="C5" s="865"/>
      <c r="D5" s="865"/>
      <c r="E5" s="866"/>
      <c r="F5" s="866"/>
    </row>
    <row r="6" spans="1:6" ht="22.5">
      <c r="A6" s="867" t="s">
        <v>1064</v>
      </c>
      <c r="B6" s="868">
        <f>B7+B8+B9</f>
        <v>90494826</v>
      </c>
      <c r="C6" s="869" t="s">
        <v>255</v>
      </c>
      <c r="D6" s="869"/>
      <c r="E6" s="870"/>
      <c r="F6" s="871">
        <f>SUM(B6:E6)</f>
        <v>90494826</v>
      </c>
    </row>
    <row r="7" spans="1:6">
      <c r="A7" s="872" t="s">
        <v>70</v>
      </c>
      <c r="B7" s="873">
        <v>90494826</v>
      </c>
      <c r="C7" s="874"/>
      <c r="D7" s="874"/>
      <c r="E7" s="875"/>
      <c r="F7" s="871">
        <f t="shared" ref="F7:F40" si="0">SUM(B7:E7)</f>
        <v>90494826</v>
      </c>
    </row>
    <row r="8" spans="1:6">
      <c r="A8" s="872" t="s">
        <v>71</v>
      </c>
      <c r="B8" s="873">
        <v>0</v>
      </c>
      <c r="C8" s="874"/>
      <c r="D8" s="874"/>
      <c r="E8" s="875"/>
      <c r="F8" s="871">
        <f t="shared" si="0"/>
        <v>0</v>
      </c>
    </row>
    <row r="9" spans="1:6">
      <c r="A9" s="872" t="s">
        <v>72</v>
      </c>
      <c r="B9" s="873">
        <v>0</v>
      </c>
      <c r="C9" s="874"/>
      <c r="D9" s="874"/>
      <c r="E9" s="875"/>
      <c r="F9" s="871">
        <f t="shared" si="0"/>
        <v>0</v>
      </c>
    </row>
    <row r="10" spans="1:6">
      <c r="A10" s="867"/>
      <c r="B10" s="876"/>
      <c r="C10" s="876"/>
      <c r="D10" s="876"/>
      <c r="E10" s="877"/>
      <c r="F10" s="877"/>
    </row>
    <row r="11" spans="1:6" ht="22.5">
      <c r="A11" s="867" t="s">
        <v>1065</v>
      </c>
      <c r="B11" s="878"/>
      <c r="C11" s="868">
        <f>C13+C14+C15+C16</f>
        <v>-51888113</v>
      </c>
      <c r="D11" s="868">
        <f>D12</f>
        <v>-5189005</v>
      </c>
      <c r="E11" s="879"/>
      <c r="F11" s="871">
        <f t="shared" si="0"/>
        <v>-57077118</v>
      </c>
    </row>
    <row r="12" spans="1:6">
      <c r="A12" s="872" t="s">
        <v>253</v>
      </c>
      <c r="B12" s="880"/>
      <c r="C12" s="880"/>
      <c r="D12" s="873">
        <v>-5189005</v>
      </c>
      <c r="E12" s="881"/>
      <c r="F12" s="871">
        <f t="shared" si="0"/>
        <v>-5189005</v>
      </c>
    </row>
    <row r="13" spans="1:6">
      <c r="A13" s="872" t="s">
        <v>75</v>
      </c>
      <c r="B13" s="880"/>
      <c r="C13" s="873">
        <v>-80180316</v>
      </c>
      <c r="D13" s="880"/>
      <c r="E13" s="881"/>
      <c r="F13" s="871">
        <f t="shared" si="0"/>
        <v>-80180316</v>
      </c>
    </row>
    <row r="14" spans="1:6">
      <c r="A14" s="872" t="s">
        <v>76</v>
      </c>
      <c r="B14" s="880"/>
      <c r="C14" s="873">
        <v>28299319</v>
      </c>
      <c r="D14" s="880"/>
      <c r="E14" s="881"/>
      <c r="F14" s="871">
        <f t="shared" si="0"/>
        <v>28299319</v>
      </c>
    </row>
    <row r="15" spans="1:6">
      <c r="A15" s="872" t="s">
        <v>77</v>
      </c>
      <c r="B15" s="880"/>
      <c r="C15" s="873">
        <v>0</v>
      </c>
      <c r="D15" s="880"/>
      <c r="E15" s="881"/>
      <c r="F15" s="871">
        <f t="shared" si="0"/>
        <v>0</v>
      </c>
    </row>
    <row r="16" spans="1:6">
      <c r="A16" s="872" t="s">
        <v>78</v>
      </c>
      <c r="B16" s="880"/>
      <c r="C16" s="873">
        <v>-7116</v>
      </c>
      <c r="D16" s="880"/>
      <c r="E16" s="881"/>
      <c r="F16" s="871">
        <f t="shared" si="0"/>
        <v>-7116</v>
      </c>
    </row>
    <row r="17" spans="1:7">
      <c r="A17" s="867"/>
      <c r="B17" s="876"/>
      <c r="C17" s="876"/>
      <c r="D17" s="876"/>
      <c r="E17" s="877"/>
      <c r="F17" s="877"/>
    </row>
    <row r="18" spans="1:7" ht="38.25" customHeight="1">
      <c r="A18" s="867" t="s">
        <v>1071</v>
      </c>
      <c r="B18" s="880"/>
      <c r="C18" s="880"/>
      <c r="D18" s="880"/>
      <c r="E18" s="871">
        <f>E19+E20</f>
        <v>5076300</v>
      </c>
      <c r="F18" s="871">
        <f t="shared" si="0"/>
        <v>5076300</v>
      </c>
    </row>
    <row r="19" spans="1:7">
      <c r="A19" s="872" t="s">
        <v>80</v>
      </c>
      <c r="B19" s="880"/>
      <c r="C19" s="880"/>
      <c r="D19" s="880"/>
      <c r="E19" s="882"/>
      <c r="F19" s="871">
        <f t="shared" si="0"/>
        <v>0</v>
      </c>
    </row>
    <row r="20" spans="1:7">
      <c r="A20" s="872" t="s">
        <v>81</v>
      </c>
      <c r="B20" s="880"/>
      <c r="C20" s="880"/>
      <c r="D20" s="880"/>
      <c r="E20" s="882">
        <v>5076300</v>
      </c>
      <c r="F20" s="871">
        <f t="shared" si="0"/>
        <v>5076300</v>
      </c>
    </row>
    <row r="21" spans="1:7">
      <c r="A21" s="872"/>
      <c r="B21" s="883"/>
      <c r="C21" s="883"/>
      <c r="D21" s="883"/>
      <c r="E21" s="884"/>
      <c r="F21" s="884"/>
    </row>
    <row r="22" spans="1:7" ht="28.5" customHeight="1">
      <c r="A22" s="892" t="s">
        <v>1066</v>
      </c>
      <c r="B22" s="868">
        <f>B6</f>
        <v>90494826</v>
      </c>
      <c r="C22" s="868">
        <f>C11</f>
        <v>-51888113</v>
      </c>
      <c r="D22" s="868">
        <f>D11</f>
        <v>-5189005</v>
      </c>
      <c r="E22" s="871">
        <f>E18</f>
        <v>5076300</v>
      </c>
      <c r="F22" s="871">
        <f t="shared" si="0"/>
        <v>38494008</v>
      </c>
      <c r="G22" t="str">
        <f>IF((F22-'ETCA-I-01'!G50)&gt;0.99,"ERROR: DEBERÁ SER IGUAL QUE TOTAL HACIENDA PÚBLICA/PATRIMONIO DEL FORMATO ETCA-I-01","")</f>
        <v/>
      </c>
    </row>
    <row r="23" spans="1:7">
      <c r="A23" s="867"/>
      <c r="B23" s="876"/>
      <c r="C23" s="876"/>
      <c r="D23" s="876"/>
      <c r="E23" s="877"/>
      <c r="F23" s="877"/>
    </row>
    <row r="24" spans="1:7" ht="22.5">
      <c r="A24" s="867" t="s">
        <v>1067</v>
      </c>
      <c r="B24" s="868">
        <f>B25+B26+B27</f>
        <v>0</v>
      </c>
      <c r="C24" s="878"/>
      <c r="D24" s="878"/>
      <c r="E24" s="879"/>
      <c r="F24" s="871">
        <f t="shared" si="0"/>
        <v>0</v>
      </c>
    </row>
    <row r="25" spans="1:7">
      <c r="A25" s="872" t="s">
        <v>70</v>
      </c>
      <c r="B25" s="873">
        <v>0</v>
      </c>
      <c r="C25" s="880"/>
      <c r="D25" s="880"/>
      <c r="E25" s="881"/>
      <c r="F25" s="871">
        <f t="shared" si="0"/>
        <v>0</v>
      </c>
    </row>
    <row r="26" spans="1:7">
      <c r="A26" s="872" t="s">
        <v>71</v>
      </c>
      <c r="B26" s="873"/>
      <c r="C26" s="880"/>
      <c r="D26" s="880"/>
      <c r="E26" s="881"/>
      <c r="F26" s="871">
        <f t="shared" si="0"/>
        <v>0</v>
      </c>
    </row>
    <row r="27" spans="1:7">
      <c r="A27" s="872" t="s">
        <v>72</v>
      </c>
      <c r="B27" s="873"/>
      <c r="C27" s="880"/>
      <c r="D27" s="880"/>
      <c r="E27" s="881"/>
      <c r="F27" s="871">
        <f t="shared" si="0"/>
        <v>0</v>
      </c>
    </row>
    <row r="28" spans="1:7">
      <c r="A28" s="867"/>
      <c r="B28" s="876"/>
      <c r="C28" s="876"/>
      <c r="D28" s="876"/>
      <c r="E28" s="877"/>
      <c r="F28" s="877"/>
    </row>
    <row r="29" spans="1:7" ht="22.5">
      <c r="A29" s="867" t="s">
        <v>1068</v>
      </c>
      <c r="B29" s="878"/>
      <c r="C29" s="868">
        <f>C31</f>
        <v>-5189005</v>
      </c>
      <c r="D29" s="868">
        <f>D30+D31+D32+D33+D34</f>
        <v>-4133538</v>
      </c>
      <c r="E29" s="879"/>
      <c r="F29" s="871">
        <f t="shared" si="0"/>
        <v>-9322543</v>
      </c>
    </row>
    <row r="30" spans="1:7">
      <c r="A30" s="872" t="s">
        <v>253</v>
      </c>
      <c r="B30" s="880"/>
      <c r="C30" s="880"/>
      <c r="D30" s="873">
        <v>-10797531</v>
      </c>
      <c r="E30" s="881"/>
      <c r="F30" s="871">
        <f t="shared" si="0"/>
        <v>-10797531</v>
      </c>
    </row>
    <row r="31" spans="1:7">
      <c r="A31" s="872" t="s">
        <v>75</v>
      </c>
      <c r="B31" s="880"/>
      <c r="C31" s="873">
        <v>-5189005</v>
      </c>
      <c r="D31" s="873">
        <v>5189005</v>
      </c>
      <c r="E31" s="881"/>
      <c r="F31" s="871">
        <f t="shared" si="0"/>
        <v>0</v>
      </c>
    </row>
    <row r="32" spans="1:7">
      <c r="A32" s="872" t="s">
        <v>76</v>
      </c>
      <c r="B32" s="880"/>
      <c r="C32" s="880"/>
      <c r="D32" s="873">
        <v>0</v>
      </c>
      <c r="E32" s="881"/>
      <c r="F32" s="871">
        <f t="shared" si="0"/>
        <v>0</v>
      </c>
    </row>
    <row r="33" spans="1:7">
      <c r="A33" s="872" t="s">
        <v>77</v>
      </c>
      <c r="B33" s="880"/>
      <c r="C33" s="880"/>
      <c r="D33" s="873">
        <v>0</v>
      </c>
      <c r="E33" s="881"/>
      <c r="F33" s="871">
        <f t="shared" si="0"/>
        <v>0</v>
      </c>
    </row>
    <row r="34" spans="1:7">
      <c r="A34" s="872" t="s">
        <v>78</v>
      </c>
      <c r="B34" s="878"/>
      <c r="C34" s="878"/>
      <c r="D34" s="873">
        <v>1474988</v>
      </c>
      <c r="E34" s="879"/>
      <c r="F34" s="871">
        <f t="shared" si="0"/>
        <v>1474988</v>
      </c>
    </row>
    <row r="35" spans="1:7">
      <c r="A35" s="872"/>
      <c r="B35" s="883"/>
      <c r="C35" s="883"/>
      <c r="D35" s="883"/>
      <c r="E35" s="884"/>
      <c r="F35" s="884"/>
    </row>
    <row r="36" spans="1:7" ht="33.75">
      <c r="A36" s="867" t="s">
        <v>1069</v>
      </c>
      <c r="B36" s="880"/>
      <c r="C36" s="880"/>
      <c r="D36" s="880"/>
      <c r="E36" s="871">
        <f>E37+E38</f>
        <v>0</v>
      </c>
      <c r="F36" s="871">
        <f t="shared" si="0"/>
        <v>0</v>
      </c>
    </row>
    <row r="37" spans="1:7">
      <c r="A37" s="872" t="s">
        <v>80</v>
      </c>
      <c r="B37" s="880"/>
      <c r="C37" s="880"/>
      <c r="D37" s="880"/>
      <c r="E37" s="882"/>
      <c r="F37" s="871">
        <f t="shared" si="0"/>
        <v>0</v>
      </c>
    </row>
    <row r="38" spans="1:7">
      <c r="A38" s="872" t="s">
        <v>81</v>
      </c>
      <c r="B38" s="878"/>
      <c r="C38" s="878"/>
      <c r="D38" s="878"/>
      <c r="E38" s="882">
        <v>0</v>
      </c>
      <c r="F38" s="871">
        <f t="shared" si="0"/>
        <v>0</v>
      </c>
    </row>
    <row r="39" spans="1:7" ht="15.75" thickBot="1">
      <c r="A39" s="885"/>
      <c r="B39" s="886"/>
      <c r="C39" s="886"/>
      <c r="D39" s="886"/>
      <c r="E39" s="887"/>
      <c r="F39" s="887"/>
    </row>
    <row r="40" spans="1:7" ht="20.25" customHeight="1" thickBot="1">
      <c r="A40" s="891" t="s">
        <v>1070</v>
      </c>
      <c r="B40" s="888">
        <f>B22+B24</f>
        <v>90494826</v>
      </c>
      <c r="C40" s="888">
        <f>C22+C29</f>
        <v>-57077118</v>
      </c>
      <c r="D40" s="888">
        <f>D22+D29</f>
        <v>-9322543</v>
      </c>
      <c r="E40" s="889">
        <f>E22+E36</f>
        <v>5076300</v>
      </c>
      <c r="F40" s="889">
        <f t="shared" si="0"/>
        <v>29171465</v>
      </c>
      <c r="G40" t="str">
        <f>IF((F40-'ETCA-I-01'!F50)&gt;0.99,"ERROR: DEBERÁ SER IGUAL QUE TOTAL HACIENDA PÚBLICA/PATRIMONIO DEL FORMATO ETCA-I-01","")</f>
        <v/>
      </c>
    </row>
    <row r="41" spans="1:7">
      <c r="A41" s="890"/>
    </row>
  </sheetData>
  <mergeCells count="3">
    <mergeCell ref="A1:F1"/>
    <mergeCell ref="A2:F2"/>
    <mergeCell ref="A3:F3"/>
  </mergeCells>
  <printOptions horizontalCentered="1"/>
  <pageMargins left="0.70866141732283472" right="0.70866141732283472"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topLeftCell="A46" zoomScale="110" zoomScaleSheetLayoutView="110" workbookViewId="0">
      <selection activeCell="C40" sqref="C40"/>
    </sheetView>
  </sheetViews>
  <sheetFormatPr baseColWidth="10" defaultColWidth="11.28515625" defaultRowHeight="16.5"/>
  <cols>
    <col min="1" max="1" width="80.85546875" style="125" bestFit="1" customWidth="1"/>
    <col min="2" max="3" width="17" style="125" customWidth="1"/>
    <col min="4" max="16384" width="11.28515625" style="125"/>
  </cols>
  <sheetData>
    <row r="1" spans="1:4">
      <c r="A1" s="1182" t="s">
        <v>23</v>
      </c>
      <c r="B1" s="1182"/>
      <c r="C1" s="1182"/>
    </row>
    <row r="2" spans="1:4" s="108" customFormat="1" ht="15.75">
      <c r="A2" s="1183" t="s">
        <v>3</v>
      </c>
      <c r="B2" s="1183"/>
      <c r="C2" s="1183"/>
    </row>
    <row r="3" spans="1:4" s="108" customFormat="1" ht="15.75">
      <c r="A3" s="1191" t="str">
        <f>'ETCA-I-01'!A3:G3</f>
        <v>TELEVISORA DE HERMOSILLO, S.A. DE C.V.</v>
      </c>
      <c r="B3" s="1191"/>
      <c r="C3" s="1191"/>
    </row>
    <row r="4" spans="1:4" s="108" customFormat="1">
      <c r="A4" s="1202" t="str">
        <f>'ETCA-I-03'!A4:D4</f>
        <v>Del 01 de Enero al 30 de Septiembre de 2018</v>
      </c>
      <c r="B4" s="1202"/>
      <c r="C4" s="1202"/>
    </row>
    <row r="5" spans="1:4" s="109" customFormat="1" ht="17.25" thickBot="1">
      <c r="A5" s="54" t="s">
        <v>1061</v>
      </c>
      <c r="B5" s="52"/>
      <c r="C5" s="55"/>
    </row>
    <row r="6" spans="1:4" ht="30" customHeight="1" thickBot="1">
      <c r="A6" s="127"/>
      <c r="B6" s="128" t="s">
        <v>261</v>
      </c>
      <c r="C6" s="129" t="s">
        <v>262</v>
      </c>
    </row>
    <row r="7" spans="1:4" ht="17.25" thickTop="1">
      <c r="A7" s="552" t="s">
        <v>263</v>
      </c>
      <c r="B7" s="553">
        <f>B8+B17+1</f>
        <v>21725134</v>
      </c>
      <c r="C7" s="554">
        <f>C8+C17+1</f>
        <v>5660376</v>
      </c>
    </row>
    <row r="8" spans="1:4">
      <c r="A8" s="555" t="s">
        <v>28</v>
      </c>
      <c r="B8" s="556">
        <f>SUM(B9:B15)</f>
        <v>6102239</v>
      </c>
      <c r="C8" s="557">
        <f>SUM(C9:C15)</f>
        <v>40309</v>
      </c>
    </row>
    <row r="9" spans="1:4" s="126" customFormat="1" ht="13.5">
      <c r="A9" s="558" t="s">
        <v>30</v>
      </c>
      <c r="B9" s="559">
        <v>930769</v>
      </c>
      <c r="C9" s="560" t="s">
        <v>255</v>
      </c>
      <c r="D9" s="451"/>
    </row>
    <row r="10" spans="1:4" s="126" customFormat="1" ht="13.5">
      <c r="A10" s="558" t="s">
        <v>32</v>
      </c>
      <c r="B10" s="559">
        <v>5171470</v>
      </c>
      <c r="C10" s="560"/>
    </row>
    <row r="11" spans="1:4" s="126" customFormat="1" ht="13.5">
      <c r="A11" s="558" t="s">
        <v>34</v>
      </c>
      <c r="B11" s="559"/>
      <c r="C11" s="560">
        <v>40309</v>
      </c>
    </row>
    <row r="12" spans="1:4" s="126" customFormat="1" ht="13.5">
      <c r="A12" s="558" t="s">
        <v>264</v>
      </c>
      <c r="B12" s="559"/>
      <c r="C12" s="560">
        <v>0</v>
      </c>
    </row>
    <row r="13" spans="1:4" s="126" customFormat="1" ht="13.5">
      <c r="A13" s="558" t="s">
        <v>38</v>
      </c>
      <c r="B13" s="559"/>
      <c r="C13" s="560">
        <v>0</v>
      </c>
    </row>
    <row r="14" spans="1:4" s="126" customFormat="1" ht="13.5">
      <c r="A14" s="558" t="s">
        <v>40</v>
      </c>
      <c r="B14" s="559"/>
      <c r="C14" s="560">
        <v>0</v>
      </c>
    </row>
    <row r="15" spans="1:4" s="126" customFormat="1" ht="13.5">
      <c r="A15" s="558" t="s">
        <v>42</v>
      </c>
      <c r="B15" s="559"/>
      <c r="C15" s="560">
        <v>0</v>
      </c>
    </row>
    <row r="16" spans="1:4" ht="5.25" customHeight="1">
      <c r="A16" s="552"/>
      <c r="B16" s="561"/>
      <c r="C16" s="562"/>
    </row>
    <row r="17" spans="1:3">
      <c r="A17" s="555" t="s">
        <v>47</v>
      </c>
      <c r="B17" s="556">
        <f>SUM(B18:B26)</f>
        <v>15622894</v>
      </c>
      <c r="C17" s="557">
        <f>SUM(C18:C26)</f>
        <v>5620066</v>
      </c>
    </row>
    <row r="18" spans="1:3" s="126" customFormat="1" ht="13.5">
      <c r="A18" s="558" t="s">
        <v>49</v>
      </c>
      <c r="B18" s="559"/>
      <c r="C18" s="560">
        <v>0</v>
      </c>
    </row>
    <row r="19" spans="1:3" s="126" customFormat="1" ht="13.5">
      <c r="A19" s="558" t="s">
        <v>51</v>
      </c>
      <c r="B19" s="559"/>
      <c r="C19" s="560">
        <v>0</v>
      </c>
    </row>
    <row r="20" spans="1:3" s="126" customFormat="1" ht="13.5">
      <c r="A20" s="558" t="s">
        <v>53</v>
      </c>
      <c r="B20" s="559"/>
      <c r="C20" s="560">
        <v>0</v>
      </c>
    </row>
    <row r="21" spans="1:3" s="126" customFormat="1" ht="13.5">
      <c r="A21" s="558" t="s">
        <v>55</v>
      </c>
      <c r="B21" s="559">
        <v>1235837</v>
      </c>
      <c r="C21" s="560" t="s">
        <v>255</v>
      </c>
    </row>
    <row r="22" spans="1:3" s="126" customFormat="1" ht="13.5">
      <c r="A22" s="558" t="s">
        <v>57</v>
      </c>
      <c r="B22" s="559"/>
      <c r="C22" s="560">
        <v>0</v>
      </c>
    </row>
    <row r="23" spans="1:3" s="126" customFormat="1" ht="13.5">
      <c r="A23" s="558" t="s">
        <v>59</v>
      </c>
      <c r="B23" s="559">
        <v>14038920</v>
      </c>
      <c r="C23" s="560" t="s">
        <v>255</v>
      </c>
    </row>
    <row r="24" spans="1:3" s="126" customFormat="1" ht="13.5">
      <c r="A24" s="558" t="s">
        <v>61</v>
      </c>
      <c r="B24" s="559">
        <v>348137</v>
      </c>
      <c r="C24" s="560"/>
    </row>
    <row r="25" spans="1:3" s="126" customFormat="1" ht="13.5">
      <c r="A25" s="558" t="s">
        <v>62</v>
      </c>
      <c r="B25" s="559">
        <v>0</v>
      </c>
      <c r="C25" s="560"/>
    </row>
    <row r="26" spans="1:3" s="126" customFormat="1" ht="13.5">
      <c r="A26" s="558" t="s">
        <v>63</v>
      </c>
      <c r="B26" s="559" t="s">
        <v>255</v>
      </c>
      <c r="C26" s="560">
        <v>5620066</v>
      </c>
    </row>
    <row r="27" spans="1:3" ht="6.75" customHeight="1">
      <c r="A27" s="563"/>
      <c r="B27" s="561"/>
      <c r="C27" s="562"/>
    </row>
    <row r="28" spans="1:3">
      <c r="A28" s="552" t="s">
        <v>265</v>
      </c>
      <c r="B28" s="553">
        <f>B29+B39</f>
        <v>68349863</v>
      </c>
      <c r="C28" s="554">
        <f>C29+C39</f>
        <v>75092078</v>
      </c>
    </row>
    <row r="29" spans="1:3">
      <c r="A29" s="555" t="s">
        <v>29</v>
      </c>
      <c r="B29" s="556">
        <f>SUM(B30:B37)</f>
        <v>13349807</v>
      </c>
      <c r="C29" s="557">
        <f>SUM(C30:C37)</f>
        <v>0</v>
      </c>
    </row>
    <row r="30" spans="1:3" s="126" customFormat="1" ht="13.5">
      <c r="A30" s="558" t="s">
        <v>31</v>
      </c>
      <c r="B30" s="559">
        <v>3349823</v>
      </c>
      <c r="C30" s="560" t="s">
        <v>255</v>
      </c>
    </row>
    <row r="31" spans="1:3" s="126" customFormat="1" ht="13.5">
      <c r="A31" s="558" t="s">
        <v>33</v>
      </c>
      <c r="B31" s="559">
        <v>0</v>
      </c>
      <c r="C31" s="560" t="s">
        <v>255</v>
      </c>
    </row>
    <row r="32" spans="1:3" s="126" customFormat="1" ht="13.5">
      <c r="A32" s="558" t="s">
        <v>35</v>
      </c>
      <c r="B32" s="559">
        <v>9999984</v>
      </c>
      <c r="C32" s="560">
        <v>0</v>
      </c>
    </row>
    <row r="33" spans="1:3" s="126" customFormat="1" ht="13.5">
      <c r="A33" s="558" t="s">
        <v>37</v>
      </c>
      <c r="B33" s="559"/>
      <c r="C33" s="560">
        <v>0</v>
      </c>
    </row>
    <row r="34" spans="1:3" s="126" customFormat="1" ht="13.5">
      <c r="A34" s="558" t="s">
        <v>39</v>
      </c>
      <c r="B34" s="559"/>
      <c r="C34" s="560">
        <v>0</v>
      </c>
    </row>
    <row r="35" spans="1:3" s="126" customFormat="1" ht="13.5">
      <c r="A35" s="558" t="s">
        <v>41</v>
      </c>
      <c r="B35" s="559"/>
      <c r="C35" s="560">
        <v>0</v>
      </c>
    </row>
    <row r="36" spans="1:3" s="126" customFormat="1" ht="13.5">
      <c r="A36" s="558" t="s">
        <v>43</v>
      </c>
      <c r="B36" s="559"/>
      <c r="C36" s="560">
        <v>0</v>
      </c>
    </row>
    <row r="37" spans="1:3" s="126" customFormat="1" ht="13.5">
      <c r="A37" s="558" t="s">
        <v>44</v>
      </c>
      <c r="B37" s="559"/>
      <c r="C37" s="560">
        <v>0</v>
      </c>
    </row>
    <row r="38" spans="1:3" ht="6" customHeight="1">
      <c r="A38" s="552"/>
      <c r="B38" s="564"/>
      <c r="C38" s="565"/>
    </row>
    <row r="39" spans="1:3">
      <c r="A39" s="555" t="s">
        <v>48</v>
      </c>
      <c r="B39" s="556">
        <f>SUM(B40:B45)</f>
        <v>55000056</v>
      </c>
      <c r="C39" s="557">
        <f>SUM(C40:C45)+1</f>
        <v>75092078</v>
      </c>
    </row>
    <row r="40" spans="1:3" s="126" customFormat="1" ht="13.5">
      <c r="A40" s="558" t="s">
        <v>50</v>
      </c>
      <c r="B40" s="559"/>
      <c r="C40" s="560">
        <v>0</v>
      </c>
    </row>
    <row r="41" spans="1:3" s="126" customFormat="1" ht="13.5">
      <c r="A41" s="558" t="s">
        <v>52</v>
      </c>
      <c r="B41" s="559"/>
      <c r="C41" s="560">
        <v>72627815</v>
      </c>
    </row>
    <row r="42" spans="1:3" s="126" customFormat="1" ht="13.5">
      <c r="A42" s="558" t="s">
        <v>54</v>
      </c>
      <c r="B42" s="559">
        <v>55000056</v>
      </c>
      <c r="C42" s="560" t="s">
        <v>255</v>
      </c>
    </row>
    <row r="43" spans="1:3" s="126" customFormat="1" ht="13.5">
      <c r="A43" s="558" t="s">
        <v>56</v>
      </c>
      <c r="B43" s="559" t="s">
        <v>255</v>
      </c>
      <c r="C43" s="560">
        <v>0</v>
      </c>
    </row>
    <row r="44" spans="1:3" s="126" customFormat="1" ht="13.5">
      <c r="A44" s="558" t="s">
        <v>58</v>
      </c>
      <c r="B44" s="559"/>
      <c r="C44" s="560">
        <v>0</v>
      </c>
    </row>
    <row r="45" spans="1:3" s="126" customFormat="1" ht="13.5">
      <c r="A45" s="558" t="s">
        <v>60</v>
      </c>
      <c r="B45" s="559"/>
      <c r="C45" s="560">
        <v>2464262</v>
      </c>
    </row>
    <row r="46" spans="1:3">
      <c r="A46" s="566"/>
      <c r="B46" s="561"/>
      <c r="C46" s="562"/>
    </row>
    <row r="47" spans="1:3">
      <c r="A47" s="552" t="s">
        <v>266</v>
      </c>
      <c r="B47" s="553">
        <f>B48+B53</f>
        <v>0</v>
      </c>
      <c r="C47" s="554">
        <f>C48+C53</f>
        <v>9322543</v>
      </c>
    </row>
    <row r="48" spans="1:3">
      <c r="A48" s="555" t="s">
        <v>69</v>
      </c>
      <c r="B48" s="556">
        <f>SUM(B49:B51)</f>
        <v>0</v>
      </c>
      <c r="C48" s="557">
        <f>SUM(C49:C51)</f>
        <v>0</v>
      </c>
    </row>
    <row r="49" spans="1:3" s="126" customFormat="1" ht="13.5">
      <c r="A49" s="558" t="s">
        <v>70</v>
      </c>
      <c r="B49" s="559"/>
      <c r="C49" s="560">
        <v>0</v>
      </c>
    </row>
    <row r="50" spans="1:3" s="126" customFormat="1" ht="13.5">
      <c r="A50" s="558" t="s">
        <v>71</v>
      </c>
      <c r="B50" s="559"/>
      <c r="C50" s="560">
        <v>0</v>
      </c>
    </row>
    <row r="51" spans="1:3" s="126" customFormat="1" ht="13.5">
      <c r="A51" s="558" t="s">
        <v>72</v>
      </c>
      <c r="B51" s="559"/>
      <c r="C51" s="560">
        <v>0</v>
      </c>
    </row>
    <row r="52" spans="1:3" ht="6" customHeight="1">
      <c r="A52" s="555"/>
      <c r="B52" s="564"/>
      <c r="C52" s="565"/>
    </row>
    <row r="53" spans="1:3" ht="15.75" customHeight="1">
      <c r="A53" s="555" t="s">
        <v>73</v>
      </c>
      <c r="B53" s="556">
        <f>SUM(B54:B58)</f>
        <v>0</v>
      </c>
      <c r="C53" s="557">
        <f>SUM(C54:C58)</f>
        <v>9322543</v>
      </c>
    </row>
    <row r="54" spans="1:3" s="126" customFormat="1" ht="13.5">
      <c r="A54" s="558" t="s">
        <v>74</v>
      </c>
      <c r="B54" s="559" t="s">
        <v>255</v>
      </c>
      <c r="C54" s="560">
        <v>5608526</v>
      </c>
    </row>
    <row r="55" spans="1:3" s="126" customFormat="1" ht="13.5">
      <c r="A55" s="558" t="s">
        <v>75</v>
      </c>
      <c r="B55" s="559"/>
      <c r="C55" s="560">
        <v>2246145</v>
      </c>
    </row>
    <row r="56" spans="1:3" s="126" customFormat="1" ht="13.5">
      <c r="A56" s="558" t="s">
        <v>76</v>
      </c>
      <c r="B56" s="559"/>
      <c r="C56" s="560">
        <v>0</v>
      </c>
    </row>
    <row r="57" spans="1:3" s="126" customFormat="1" ht="13.5">
      <c r="A57" s="558" t="s">
        <v>77</v>
      </c>
      <c r="B57" s="559"/>
      <c r="C57" s="560">
        <v>0</v>
      </c>
    </row>
    <row r="58" spans="1:3" s="126" customFormat="1" ht="13.5">
      <c r="A58" s="558" t="s">
        <v>78</v>
      </c>
      <c r="B58" s="559"/>
      <c r="C58" s="560">
        <v>1467872</v>
      </c>
    </row>
    <row r="59" spans="1:3" ht="7.5" customHeight="1">
      <c r="A59" s="555"/>
      <c r="B59" s="561"/>
      <c r="C59" s="562"/>
    </row>
    <row r="60" spans="1:3">
      <c r="A60" s="555" t="s">
        <v>267</v>
      </c>
      <c r="B60" s="556">
        <f>SUM(B61:B62)</f>
        <v>0</v>
      </c>
      <c r="C60" s="557">
        <f>SUM(C61:C62)</f>
        <v>0</v>
      </c>
    </row>
    <row r="61" spans="1:3" s="126" customFormat="1" ht="13.5">
      <c r="A61" s="558" t="s">
        <v>80</v>
      </c>
      <c r="B61" s="559"/>
      <c r="C61" s="560">
        <v>0</v>
      </c>
    </row>
    <row r="62" spans="1:3" s="126" customFormat="1" ht="14.25" thickBot="1">
      <c r="A62" s="567" t="s">
        <v>81</v>
      </c>
      <c r="B62" s="568"/>
      <c r="C62" s="569">
        <v>0</v>
      </c>
    </row>
    <row r="63" spans="1:3" s="126" customFormat="1" ht="13.5">
      <c r="A63" s="450" t="s">
        <v>254</v>
      </c>
      <c r="B63" s="559"/>
      <c r="C63" s="559"/>
    </row>
    <row r="64" spans="1:3" s="126" customFormat="1" ht="13.5">
      <c r="A64" s="450"/>
      <c r="B64" s="559"/>
      <c r="C64" s="559"/>
    </row>
    <row r="65" spans="1:3" s="126" customFormat="1" ht="13.5">
      <c r="A65" s="450"/>
      <c r="B65" s="559"/>
      <c r="C65" s="559"/>
    </row>
    <row r="66" spans="1:3" s="126" customFormat="1" ht="13.5">
      <c r="A66" s="570"/>
      <c r="B66" s="559"/>
      <c r="C66" s="559"/>
    </row>
    <row r="67" spans="1:3" s="126" customFormat="1" ht="13.5">
      <c r="A67" s="570" t="s">
        <v>255</v>
      </c>
      <c r="B67" s="559"/>
      <c r="C67" s="559"/>
    </row>
    <row r="68" spans="1:3" s="126" customFormat="1" ht="13.5">
      <c r="A68" s="570" t="s">
        <v>255</v>
      </c>
      <c r="B68" s="559"/>
      <c r="C68" s="559"/>
    </row>
    <row r="69" spans="1:3">
      <c r="A69" s="450" t="s">
        <v>255</v>
      </c>
      <c r="B69" s="571"/>
      <c r="C69" s="571"/>
    </row>
  </sheetData>
  <sheetProtection formatColumns="0" formatRows="0"/>
  <mergeCells count="4">
    <mergeCell ref="A1:C1"/>
    <mergeCell ref="A2:C2"/>
    <mergeCell ref="A3:C3"/>
    <mergeCell ref="A4:C4"/>
  </mergeCells>
  <printOptions horizontalCentered="1"/>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pageSetUpPr fitToPage="1"/>
  </sheetPr>
  <dimension ref="A1:E72"/>
  <sheetViews>
    <sheetView view="pageBreakPreview" topLeftCell="A26" zoomScale="140" zoomScaleSheetLayoutView="140" workbookViewId="0">
      <selection activeCell="C64" sqref="C64"/>
    </sheetView>
  </sheetViews>
  <sheetFormatPr baseColWidth="10" defaultColWidth="11.28515625" defaultRowHeight="16.5"/>
  <cols>
    <col min="1" max="1" width="2.85546875" style="51" customWidth="1"/>
    <col min="2" max="2" width="63.85546875" style="51" customWidth="1"/>
    <col min="3" max="4" width="12.7109375" style="51" customWidth="1"/>
    <col min="5" max="16384" width="11.28515625" style="51"/>
  </cols>
  <sheetData>
    <row r="1" spans="1:4">
      <c r="A1" s="1182" t="s">
        <v>23</v>
      </c>
      <c r="B1" s="1182"/>
      <c r="C1" s="1182"/>
      <c r="D1" s="1182"/>
    </row>
    <row r="2" spans="1:4">
      <c r="A2" s="1183" t="s">
        <v>4</v>
      </c>
      <c r="B2" s="1183"/>
      <c r="C2" s="1183"/>
      <c r="D2" s="1183"/>
    </row>
    <row r="3" spans="1:4">
      <c r="A3" s="1191" t="str">
        <f>'ETCA-I-01'!A3</f>
        <v>TELEVISORA DE HERMOSILLO, S.A. DE C.V.</v>
      </c>
      <c r="B3" s="1191"/>
      <c r="C3" s="1191"/>
      <c r="D3" s="1191"/>
    </row>
    <row r="4" spans="1:4">
      <c r="A4" s="1202" t="str">
        <f>'ETCA-I-01'!A4:G4</f>
        <v>Al 30 de Septiembre de 2018</v>
      </c>
      <c r="B4" s="1202"/>
      <c r="C4" s="1202"/>
      <c r="D4" s="1202"/>
    </row>
    <row r="5" spans="1:4" ht="17.25" thickBot="1">
      <c r="A5" s="1181" t="s">
        <v>268</v>
      </c>
      <c r="B5" s="1181"/>
      <c r="C5" s="52"/>
      <c r="D5" s="50"/>
    </row>
    <row r="6" spans="1:4" ht="23.25" customHeight="1" thickBot="1">
      <c r="A6" s="1205" t="s">
        <v>257</v>
      </c>
      <c r="B6" s="1206"/>
      <c r="C6" s="164">
        <v>2018</v>
      </c>
      <c r="D6" s="165">
        <v>2017</v>
      </c>
    </row>
    <row r="7" spans="1:4" s="131" customFormat="1" ht="12" customHeight="1" thickTop="1">
      <c r="A7" s="1203" t="s">
        <v>269</v>
      </c>
      <c r="B7" s="1204"/>
      <c r="C7" s="1204"/>
      <c r="D7" s="130"/>
    </row>
    <row r="8" spans="1:4" s="131" customFormat="1" ht="12.75" customHeight="1">
      <c r="A8" s="132"/>
      <c r="B8" s="133" t="s">
        <v>261</v>
      </c>
      <c r="C8" s="148">
        <f>SUM(C9:C19)</f>
        <v>72629789</v>
      </c>
      <c r="D8" s="149">
        <f>SUM(D9:D19)</f>
        <v>128999065</v>
      </c>
    </row>
    <row r="9" spans="1:4" s="135" customFormat="1" ht="11.1" customHeight="1">
      <c r="A9" s="134"/>
      <c r="B9" s="146" t="s">
        <v>203</v>
      </c>
      <c r="C9" s="150">
        <v>0</v>
      </c>
      <c r="D9" s="151">
        <v>0</v>
      </c>
    </row>
    <row r="10" spans="1:4" s="135" customFormat="1" ht="11.1" customHeight="1">
      <c r="A10" s="134"/>
      <c r="B10" s="146" t="s">
        <v>204</v>
      </c>
      <c r="C10" s="150">
        <v>0</v>
      </c>
      <c r="D10" s="151">
        <v>0</v>
      </c>
    </row>
    <row r="11" spans="1:4" s="135" customFormat="1" ht="11.1" customHeight="1">
      <c r="A11" s="134"/>
      <c r="B11" s="146" t="s">
        <v>270</v>
      </c>
      <c r="C11" s="150">
        <v>0</v>
      </c>
      <c r="D11" s="151">
        <v>0</v>
      </c>
    </row>
    <row r="12" spans="1:4" s="135" customFormat="1" ht="11.1" customHeight="1">
      <c r="A12" s="134"/>
      <c r="B12" s="146" t="s">
        <v>206</v>
      </c>
      <c r="C12" s="150">
        <v>0</v>
      </c>
      <c r="D12" s="151">
        <v>0</v>
      </c>
    </row>
    <row r="13" spans="1:4" s="135" customFormat="1" ht="11.1" customHeight="1">
      <c r="A13" s="134"/>
      <c r="B13" s="146" t="s">
        <v>271</v>
      </c>
      <c r="C13" s="150">
        <v>0</v>
      </c>
      <c r="D13" s="151">
        <v>0</v>
      </c>
    </row>
    <row r="14" spans="1:4" s="135" customFormat="1" ht="11.1" customHeight="1">
      <c r="A14" s="134"/>
      <c r="B14" s="146" t="s">
        <v>207</v>
      </c>
      <c r="C14" s="150">
        <v>0</v>
      </c>
      <c r="D14" s="151">
        <v>0</v>
      </c>
    </row>
    <row r="15" spans="1:4" s="135" customFormat="1" ht="11.1" customHeight="1">
      <c r="A15" s="134"/>
      <c r="B15" s="146" t="s">
        <v>208</v>
      </c>
      <c r="C15" s="150">
        <v>55895347</v>
      </c>
      <c r="D15" s="151">
        <v>104553561</v>
      </c>
    </row>
    <row r="16" spans="1:4" s="135" customFormat="1" ht="22.5" customHeight="1">
      <c r="A16" s="134"/>
      <c r="B16" s="146" t="s">
        <v>209</v>
      </c>
      <c r="C16" s="150">
        <v>0</v>
      </c>
      <c r="D16" s="151">
        <v>0</v>
      </c>
    </row>
    <row r="17" spans="1:4" s="135" customFormat="1" ht="12" customHeight="1">
      <c r="A17" s="134"/>
      <c r="B17" s="146" t="s">
        <v>211</v>
      </c>
      <c r="C17" s="150">
        <v>0</v>
      </c>
      <c r="D17" s="151">
        <v>0</v>
      </c>
    </row>
    <row r="18" spans="1:4" s="135" customFormat="1" ht="12" customHeight="1">
      <c r="A18" s="134"/>
      <c r="B18" s="146" t="s">
        <v>272</v>
      </c>
      <c r="C18" s="150">
        <v>13107073</v>
      </c>
      <c r="D18" s="151">
        <v>0</v>
      </c>
    </row>
    <row r="19" spans="1:4" s="135" customFormat="1" ht="12" customHeight="1">
      <c r="A19" s="134"/>
      <c r="B19" s="146" t="s">
        <v>273</v>
      </c>
      <c r="C19" s="150">
        <v>3627369</v>
      </c>
      <c r="D19" s="151">
        <v>24445504</v>
      </c>
    </row>
    <row r="20" spans="1:4" s="131" customFormat="1" ht="13.5" customHeight="1">
      <c r="A20" s="132"/>
      <c r="B20" s="133" t="s">
        <v>262</v>
      </c>
      <c r="C20" s="148">
        <f>SUM(C21:C36)</f>
        <v>60749013</v>
      </c>
      <c r="D20" s="149">
        <f>SUM(D21:D36)</f>
        <v>129825926</v>
      </c>
    </row>
    <row r="21" spans="1:4" s="131" customFormat="1" ht="11.1" customHeight="1">
      <c r="A21" s="132"/>
      <c r="B21" s="146" t="s">
        <v>222</v>
      </c>
      <c r="C21" s="150">
        <v>46951313</v>
      </c>
      <c r="D21" s="151">
        <v>42430233</v>
      </c>
    </row>
    <row r="22" spans="1:4" s="131" customFormat="1" ht="11.1" customHeight="1">
      <c r="A22" s="132"/>
      <c r="B22" s="146" t="s">
        <v>223</v>
      </c>
      <c r="C22" s="150">
        <v>1287606</v>
      </c>
      <c r="D22" s="151">
        <v>1688450</v>
      </c>
    </row>
    <row r="23" spans="1:4" s="131" customFormat="1" ht="11.1" customHeight="1">
      <c r="A23" s="132"/>
      <c r="B23" s="146" t="s">
        <v>224</v>
      </c>
      <c r="C23" s="150">
        <v>12510094</v>
      </c>
      <c r="D23" s="151">
        <v>85707243</v>
      </c>
    </row>
    <row r="24" spans="1:4" s="131" customFormat="1" ht="11.1" customHeight="1">
      <c r="A24" s="132"/>
      <c r="B24" s="146" t="s">
        <v>225</v>
      </c>
      <c r="C24" s="150">
        <v>0</v>
      </c>
      <c r="D24" s="151">
        <v>0</v>
      </c>
    </row>
    <row r="25" spans="1:4" s="131" customFormat="1" ht="11.1" customHeight="1">
      <c r="A25" s="132"/>
      <c r="B25" s="146" t="s">
        <v>274</v>
      </c>
      <c r="C25" s="150">
        <v>0</v>
      </c>
      <c r="D25" s="151">
        <v>0</v>
      </c>
    </row>
    <row r="26" spans="1:4" s="131" customFormat="1" ht="11.1" customHeight="1">
      <c r="A26" s="132"/>
      <c r="B26" s="146" t="s">
        <v>275</v>
      </c>
      <c r="C26" s="150">
        <v>0</v>
      </c>
      <c r="D26" s="151">
        <v>0</v>
      </c>
    </row>
    <row r="27" spans="1:4" s="131" customFormat="1" ht="11.1" customHeight="1">
      <c r="A27" s="132"/>
      <c r="B27" s="146" t="s">
        <v>228</v>
      </c>
      <c r="C27" s="150">
        <v>0</v>
      </c>
      <c r="D27" s="151">
        <v>0</v>
      </c>
    </row>
    <row r="28" spans="1:4" s="131" customFormat="1" ht="11.1" customHeight="1">
      <c r="A28" s="132"/>
      <c r="B28" s="146" t="s">
        <v>229</v>
      </c>
      <c r="C28" s="150">
        <v>0</v>
      </c>
      <c r="D28" s="151">
        <v>0</v>
      </c>
    </row>
    <row r="29" spans="1:4" s="131" customFormat="1" ht="11.1" customHeight="1">
      <c r="A29" s="132"/>
      <c r="B29" s="146" t="s">
        <v>230</v>
      </c>
      <c r="C29" s="150">
        <v>0</v>
      </c>
      <c r="D29" s="151">
        <v>0</v>
      </c>
    </row>
    <row r="30" spans="1:4" s="131" customFormat="1" ht="11.1" customHeight="1">
      <c r="A30" s="132"/>
      <c r="B30" s="146" t="s">
        <v>231</v>
      </c>
      <c r="C30" s="150">
        <v>0</v>
      </c>
      <c r="D30" s="151">
        <v>0</v>
      </c>
    </row>
    <row r="31" spans="1:4" s="131" customFormat="1" ht="11.1" customHeight="1">
      <c r="A31" s="132"/>
      <c r="B31" s="146" t="s">
        <v>232</v>
      </c>
      <c r="C31" s="150">
        <v>0</v>
      </c>
      <c r="D31" s="151">
        <v>0</v>
      </c>
    </row>
    <row r="32" spans="1:4" s="131" customFormat="1" ht="11.1" customHeight="1">
      <c r="A32" s="132"/>
      <c r="B32" s="146" t="s">
        <v>233</v>
      </c>
      <c r="C32" s="150">
        <v>0</v>
      </c>
      <c r="D32" s="151">
        <v>0</v>
      </c>
    </row>
    <row r="33" spans="1:4" s="131" customFormat="1" ht="11.1" customHeight="1">
      <c r="A33" s="132"/>
      <c r="B33" s="146" t="s">
        <v>276</v>
      </c>
      <c r="C33" s="150">
        <v>0</v>
      </c>
      <c r="D33" s="151">
        <v>0</v>
      </c>
    </row>
    <row r="34" spans="1:4" s="131" customFormat="1" ht="11.1" customHeight="1">
      <c r="A34" s="132"/>
      <c r="B34" s="146" t="s">
        <v>70</v>
      </c>
      <c r="C34" s="150">
        <v>0</v>
      </c>
      <c r="D34" s="151">
        <v>0</v>
      </c>
    </row>
    <row r="35" spans="1:4" s="131" customFormat="1" ht="11.1" customHeight="1">
      <c r="A35" s="132"/>
      <c r="B35" s="146" t="s">
        <v>236</v>
      </c>
      <c r="C35" s="150">
        <v>0</v>
      </c>
      <c r="D35" s="151">
        <v>0</v>
      </c>
    </row>
    <row r="36" spans="1:4" s="131" customFormat="1" ht="11.1" customHeight="1">
      <c r="A36" s="132"/>
      <c r="B36" s="146" t="s">
        <v>277</v>
      </c>
      <c r="C36" s="150">
        <v>0</v>
      </c>
      <c r="D36" s="151">
        <v>0</v>
      </c>
    </row>
    <row r="37" spans="1:4" s="131" customFormat="1" ht="12" customHeight="1">
      <c r="A37" s="136" t="s">
        <v>278</v>
      </c>
      <c r="B37" s="137"/>
      <c r="C37" s="152">
        <f>C8-C20</f>
        <v>11880776</v>
      </c>
      <c r="D37" s="153">
        <f>D8-D20</f>
        <v>-826861</v>
      </c>
    </row>
    <row r="38" spans="1:4" s="131" customFormat="1" ht="4.5" customHeight="1">
      <c r="A38" s="138"/>
      <c r="B38" s="139"/>
      <c r="C38" s="154"/>
      <c r="D38" s="155"/>
    </row>
    <row r="39" spans="1:4" s="131" customFormat="1" ht="12.75">
      <c r="A39" s="140" t="s">
        <v>279</v>
      </c>
      <c r="B39" s="133"/>
      <c r="C39" s="156"/>
      <c r="D39" s="157"/>
    </row>
    <row r="40" spans="1:4" s="131" customFormat="1" ht="10.5" customHeight="1">
      <c r="A40" s="132"/>
      <c r="B40" s="133" t="s">
        <v>261</v>
      </c>
      <c r="C40" s="148">
        <f>SUM(C41:C43)</f>
        <v>0</v>
      </c>
      <c r="D40" s="149">
        <f>SUM(D41:D43)</f>
        <v>0</v>
      </c>
    </row>
    <row r="41" spans="1:4" s="131" customFormat="1" ht="11.1" customHeight="1">
      <c r="A41" s="132"/>
      <c r="B41" s="147" t="s">
        <v>53</v>
      </c>
      <c r="C41" s="150">
        <v>0</v>
      </c>
      <c r="D41" s="151">
        <v>0</v>
      </c>
    </row>
    <row r="42" spans="1:4" s="131" customFormat="1" ht="11.1" customHeight="1">
      <c r="A42" s="132"/>
      <c r="B42" s="147" t="s">
        <v>55</v>
      </c>
      <c r="C42" s="150">
        <v>0</v>
      </c>
      <c r="D42" s="151">
        <v>0</v>
      </c>
    </row>
    <row r="43" spans="1:4" s="131" customFormat="1" ht="11.1" customHeight="1">
      <c r="A43" s="132"/>
      <c r="B43" s="147" t="s">
        <v>280</v>
      </c>
      <c r="C43" s="150">
        <v>0</v>
      </c>
      <c r="D43" s="151">
        <v>0</v>
      </c>
    </row>
    <row r="44" spans="1:4" s="131" customFormat="1" ht="10.5" customHeight="1">
      <c r="A44" s="132"/>
      <c r="B44" s="133" t="s">
        <v>262</v>
      </c>
      <c r="C44" s="148">
        <f>SUM(C45:C47)</f>
        <v>477863</v>
      </c>
      <c r="D44" s="149">
        <f>SUM(D45:D47)</f>
        <v>166815</v>
      </c>
    </row>
    <row r="45" spans="1:4" s="131" customFormat="1" ht="11.1" customHeight="1">
      <c r="A45" s="132"/>
      <c r="B45" s="147" t="s">
        <v>53</v>
      </c>
      <c r="C45" s="150">
        <v>0</v>
      </c>
      <c r="D45" s="151">
        <v>0</v>
      </c>
    </row>
    <row r="46" spans="1:4" s="131" customFormat="1" ht="11.1" customHeight="1">
      <c r="A46" s="132"/>
      <c r="B46" s="147" t="s">
        <v>55</v>
      </c>
      <c r="C46" s="150">
        <v>477863</v>
      </c>
      <c r="D46" s="151">
        <v>166815</v>
      </c>
    </row>
    <row r="47" spans="1:4" s="131" customFormat="1" ht="11.1" customHeight="1">
      <c r="A47" s="132"/>
      <c r="B47" s="147" t="s">
        <v>281</v>
      </c>
      <c r="C47" s="150">
        <v>0</v>
      </c>
      <c r="D47" s="151">
        <v>0</v>
      </c>
    </row>
    <row r="48" spans="1:4" s="131" customFormat="1" ht="12" customHeight="1">
      <c r="A48" s="136" t="s">
        <v>282</v>
      </c>
      <c r="B48" s="137"/>
      <c r="C48" s="152">
        <f>C40-C44</f>
        <v>-477863</v>
      </c>
      <c r="D48" s="153">
        <f>D40-D44</f>
        <v>-166815</v>
      </c>
    </row>
    <row r="49" spans="1:4" s="131" customFormat="1" ht="2.25" customHeight="1">
      <c r="A49" s="138"/>
      <c r="B49" s="139"/>
      <c r="C49" s="158"/>
      <c r="D49" s="159"/>
    </row>
    <row r="50" spans="1:4" s="131" customFormat="1" ht="12" customHeight="1">
      <c r="A50" s="140" t="s">
        <v>283</v>
      </c>
      <c r="B50" s="133"/>
      <c r="C50" s="156"/>
      <c r="D50" s="157"/>
    </row>
    <row r="51" spans="1:4" s="131" customFormat="1" ht="12.75">
      <c r="A51" s="132"/>
      <c r="B51" s="133" t="s">
        <v>261</v>
      </c>
      <c r="C51" s="148">
        <f>SUM(C52:C55)</f>
        <v>0</v>
      </c>
      <c r="D51" s="149">
        <f>SUM(D52:D55)</f>
        <v>0</v>
      </c>
    </row>
    <row r="52" spans="1:4" s="131" customFormat="1" ht="11.1" customHeight="1">
      <c r="A52" s="132"/>
      <c r="B52" s="147" t="s">
        <v>284</v>
      </c>
      <c r="C52" s="150">
        <v>0</v>
      </c>
      <c r="D52" s="151">
        <v>0</v>
      </c>
    </row>
    <row r="53" spans="1:4" s="131" customFormat="1" ht="11.1" customHeight="1">
      <c r="A53" s="132"/>
      <c r="B53" s="147" t="s">
        <v>285</v>
      </c>
      <c r="C53" s="150">
        <v>0</v>
      </c>
      <c r="D53" s="151">
        <v>0</v>
      </c>
    </row>
    <row r="54" spans="1:4" s="131" customFormat="1" ht="11.1" customHeight="1">
      <c r="A54" s="132"/>
      <c r="B54" s="147" t="s">
        <v>286</v>
      </c>
      <c r="C54" s="150">
        <v>0</v>
      </c>
      <c r="D54" s="151">
        <v>0</v>
      </c>
    </row>
    <row r="55" spans="1:4" s="131" customFormat="1" ht="11.1" customHeight="1">
      <c r="A55" s="132"/>
      <c r="B55" s="147" t="s">
        <v>287</v>
      </c>
      <c r="C55" s="150">
        <v>0</v>
      </c>
      <c r="D55" s="151">
        <v>0</v>
      </c>
    </row>
    <row r="56" spans="1:4" s="131" customFormat="1" ht="11.25" customHeight="1">
      <c r="A56" s="132"/>
      <c r="B56" s="133" t="s">
        <v>262</v>
      </c>
      <c r="C56" s="148">
        <f>SUM(C57:C60)</f>
        <v>12333682</v>
      </c>
      <c r="D56" s="149">
        <f>SUM(D57:D60)</f>
        <v>0</v>
      </c>
    </row>
    <row r="57" spans="1:4" s="131" customFormat="1" ht="11.1" customHeight="1">
      <c r="A57" s="132"/>
      <c r="B57" s="147" t="s">
        <v>288</v>
      </c>
      <c r="C57" s="150">
        <v>12333682</v>
      </c>
      <c r="D57" s="151">
        <v>0</v>
      </c>
    </row>
    <row r="58" spans="1:4" s="131" customFormat="1" ht="11.1" customHeight="1">
      <c r="A58" s="132"/>
      <c r="B58" s="147" t="s">
        <v>285</v>
      </c>
      <c r="C58" s="150">
        <v>0</v>
      </c>
      <c r="D58" s="151">
        <v>0</v>
      </c>
    </row>
    <row r="59" spans="1:4" s="131" customFormat="1" ht="11.1" customHeight="1">
      <c r="A59" s="132"/>
      <c r="B59" s="147" t="s">
        <v>286</v>
      </c>
      <c r="C59" s="150">
        <v>0</v>
      </c>
      <c r="D59" s="151">
        <v>0</v>
      </c>
    </row>
    <row r="60" spans="1:4" s="131" customFormat="1" ht="11.1" customHeight="1">
      <c r="A60" s="132"/>
      <c r="B60" s="147" t="s">
        <v>289</v>
      </c>
      <c r="C60" s="150">
        <v>0</v>
      </c>
      <c r="D60" s="151">
        <v>0</v>
      </c>
    </row>
    <row r="61" spans="1:4" s="131" customFormat="1" ht="12" customHeight="1">
      <c r="A61" s="136" t="s">
        <v>290</v>
      </c>
      <c r="B61" s="137"/>
      <c r="C61" s="152">
        <f>C51-C56</f>
        <v>-12333682</v>
      </c>
      <c r="D61" s="153">
        <f>D51-D56</f>
        <v>0</v>
      </c>
    </row>
    <row r="62" spans="1:4" s="131" customFormat="1" ht="2.25" customHeight="1">
      <c r="A62" s="138"/>
      <c r="B62" s="139"/>
      <c r="C62" s="158"/>
      <c r="D62" s="159"/>
    </row>
    <row r="63" spans="1:4" s="131" customFormat="1" ht="12" customHeight="1">
      <c r="A63" s="136" t="s">
        <v>291</v>
      </c>
      <c r="B63" s="141"/>
      <c r="C63" s="160">
        <f>C61+C48+C37</f>
        <v>-930769</v>
      </c>
      <c r="D63" s="161">
        <f>D61+D48+D37</f>
        <v>-993676</v>
      </c>
    </row>
    <row r="64" spans="1:4" ht="2.25" customHeight="1">
      <c r="A64" s="142"/>
      <c r="B64" s="143"/>
      <c r="C64" s="158"/>
      <c r="D64" s="159"/>
    </row>
    <row r="65" spans="1:5" s="131" customFormat="1" ht="12" customHeight="1">
      <c r="A65" s="136" t="s">
        <v>292</v>
      </c>
      <c r="B65" s="137"/>
      <c r="C65" s="150">
        <v>2827050</v>
      </c>
      <c r="D65" s="151">
        <f>2930052</f>
        <v>2930052</v>
      </c>
      <c r="E65" s="449" t="str">
        <f>IF(C65-'ETCA-I-01'!C9&gt;0.99,"ERROR!!!, NO COINCIDEN LOS MONTOS CON LO REPORTADO EN EL FORMATO ETCA-I-01 EN EL EJERCICIO 2015","")</f>
        <v/>
      </c>
    </row>
    <row r="66" spans="1:5" s="131" customFormat="1" ht="12" customHeight="1" thickBot="1">
      <c r="A66" s="145" t="s">
        <v>293</v>
      </c>
      <c r="B66" s="144"/>
      <c r="C66" s="162">
        <f>C65+C63</f>
        <v>1896281</v>
      </c>
      <c r="D66" s="163">
        <f>D65+D63-1</f>
        <v>1936375</v>
      </c>
      <c r="E66" s="449" t="str">
        <f>IF(C66-'ETCA-I-01'!B9&gt;0.99,"ERROR!!!, NO COINCIDEN LOS MONTOS CON LO REPORTADO EN EL FORMATO ETCA-I-01 EN EL EJERCICIO 2016","")</f>
        <v/>
      </c>
    </row>
    <row r="67" spans="1:5" s="131" customFormat="1" ht="12" customHeight="1">
      <c r="A67" s="131" t="s">
        <v>254</v>
      </c>
      <c r="E67" s="601"/>
    </row>
    <row r="68" spans="1:5" s="131" customFormat="1" ht="12" customHeight="1">
      <c r="E68" s="601"/>
    </row>
    <row r="69" spans="1:5" s="131" customFormat="1" ht="12" customHeight="1">
      <c r="A69" s="137"/>
      <c r="B69" s="141"/>
      <c r="C69" s="160"/>
      <c r="D69" s="160"/>
      <c r="E69" s="449"/>
    </row>
    <row r="70" spans="1:5" s="131" customFormat="1" ht="12" customHeight="1">
      <c r="A70" s="137"/>
      <c r="B70" s="141"/>
      <c r="C70" s="160"/>
      <c r="D70" s="160"/>
      <c r="E70" s="449"/>
    </row>
    <row r="71" spans="1:5" s="131" customFormat="1" ht="12" customHeight="1">
      <c r="A71" s="137"/>
      <c r="B71" s="141"/>
      <c r="C71" s="160"/>
      <c r="D71" s="160"/>
      <c r="E71" s="449"/>
    </row>
    <row r="72" spans="1:5" ht="12" customHeight="1">
      <c r="A72" s="450" t="s">
        <v>255</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topLeftCell="A16" zoomScaleSheetLayoutView="100" workbookViewId="0">
      <selection activeCell="G19" sqref="G19"/>
    </sheetView>
  </sheetViews>
  <sheetFormatPr baseColWidth="10" defaultColWidth="11.28515625" defaultRowHeight="16.5"/>
  <cols>
    <col min="1" max="1" width="1.28515625" style="124" customWidth="1"/>
    <col min="2" max="2" width="32.28515625" style="124" customWidth="1"/>
    <col min="3" max="7" width="12.7109375" style="124" customWidth="1"/>
    <col min="8" max="8" width="63.85546875" style="124" customWidth="1"/>
    <col min="9" max="16384" width="11.28515625" style="124"/>
  </cols>
  <sheetData>
    <row r="1" spans="1:8">
      <c r="A1" s="1209" t="s">
        <v>23</v>
      </c>
      <c r="B1" s="1209"/>
      <c r="C1" s="1209"/>
      <c r="D1" s="1209"/>
      <c r="E1" s="1209"/>
      <c r="F1" s="1209"/>
      <c r="G1" s="1209"/>
    </row>
    <row r="2" spans="1:8" s="166" customFormat="1" ht="18">
      <c r="A2" s="1209" t="s">
        <v>5</v>
      </c>
      <c r="B2" s="1209"/>
      <c r="C2" s="1209"/>
      <c r="D2" s="1209"/>
      <c r="E2" s="1209"/>
      <c r="F2" s="1209"/>
      <c r="G2" s="1209"/>
      <c r="H2" s="439"/>
    </row>
    <row r="3" spans="1:8" s="166" customFormat="1" ht="15.75">
      <c r="A3" s="1210" t="str">
        <f>'ETCA-I-01'!A3</f>
        <v>TELEVISORA DE HERMOSILLO, S.A. DE C.V.</v>
      </c>
      <c r="B3" s="1210"/>
      <c r="C3" s="1210"/>
      <c r="D3" s="1210"/>
      <c r="E3" s="1210"/>
      <c r="F3" s="1210"/>
      <c r="G3" s="1210"/>
    </row>
    <row r="4" spans="1:8" s="166" customFormat="1">
      <c r="A4" s="1211" t="str">
        <f>'ETCA-I-03'!A4:D4</f>
        <v>Del 01 de Enero al 30 de Septiembre de 2018</v>
      </c>
      <c r="B4" s="1211"/>
      <c r="C4" s="1211"/>
      <c r="D4" s="1211"/>
      <c r="E4" s="1211"/>
      <c r="F4" s="1211"/>
      <c r="G4" s="1211"/>
    </row>
    <row r="5" spans="1:8" s="168" customFormat="1" ht="17.25" thickBot="1">
      <c r="A5" s="167"/>
      <c r="B5" s="167"/>
      <c r="C5" s="1212" t="s">
        <v>294</v>
      </c>
      <c r="D5" s="1212"/>
      <c r="E5" s="167"/>
      <c r="F5" s="52"/>
      <c r="G5" s="167"/>
    </row>
    <row r="6" spans="1:8" s="169" customFormat="1" ht="50.25" thickBot="1">
      <c r="A6" s="1207" t="s">
        <v>257</v>
      </c>
      <c r="B6" s="1208"/>
      <c r="C6" s="172" t="s">
        <v>295</v>
      </c>
      <c r="D6" s="172" t="s">
        <v>296</v>
      </c>
      <c r="E6" s="172" t="s">
        <v>297</v>
      </c>
      <c r="F6" s="172" t="s">
        <v>298</v>
      </c>
      <c r="G6" s="173" t="s">
        <v>299</v>
      </c>
    </row>
    <row r="7" spans="1:8" ht="20.100000000000001" customHeight="1">
      <c r="A7" s="572"/>
      <c r="B7" s="573"/>
      <c r="C7" s="574"/>
      <c r="D7" s="574"/>
      <c r="E7" s="574"/>
      <c r="F7" s="574"/>
      <c r="G7" s="575"/>
    </row>
    <row r="8" spans="1:8" ht="20.100000000000001" customHeight="1">
      <c r="A8" s="576" t="s">
        <v>26</v>
      </c>
      <c r="B8" s="577"/>
      <c r="C8" s="578">
        <f>C10+C19</f>
        <v>140331857</v>
      </c>
      <c r="D8" s="578">
        <f>D10+D19</f>
        <v>168882476</v>
      </c>
      <c r="E8" s="578">
        <f>E10+E19</f>
        <v>184947234</v>
      </c>
      <c r="F8" s="578">
        <f>F10+F19</f>
        <v>124267099</v>
      </c>
      <c r="G8" s="860">
        <f>G10+G19</f>
        <v>-16064758</v>
      </c>
      <c r="H8" s="430" t="str">
        <f>IF(F8&lt;&gt;'ETCA-I-01'!B33,"ERROR!!!!! EL MONTO NO COINCIDE CON LO REPORTADO EN EL FORMATO ETCA-I-01 EN EL TOTAL ","")</f>
        <v/>
      </c>
    </row>
    <row r="9" spans="1:8" ht="20.100000000000001" customHeight="1">
      <c r="A9" s="581"/>
      <c r="B9" s="582"/>
      <c r="C9" s="583"/>
      <c r="D9" s="583"/>
      <c r="E9" s="583"/>
      <c r="F9" s="583"/>
      <c r="G9" s="584"/>
    </row>
    <row r="10" spans="1:8" ht="20.100000000000001" customHeight="1">
      <c r="A10" s="581"/>
      <c r="B10" s="582" t="s">
        <v>28</v>
      </c>
      <c r="C10" s="578">
        <f>SUM(C11:C17)</f>
        <v>35420560</v>
      </c>
      <c r="D10" s="578">
        <f>SUM(D11:D17)</f>
        <v>172202381</v>
      </c>
      <c r="E10" s="578">
        <f>SUM(E11:E17)</f>
        <v>178264311</v>
      </c>
      <c r="F10" s="579">
        <f>C10+D10-E10</f>
        <v>29358630</v>
      </c>
      <c r="G10" s="580">
        <f>F10-C10</f>
        <v>-6061930</v>
      </c>
      <c r="H10" s="430" t="str">
        <f>IF(F10&lt;&gt;'ETCA-I-01'!B18,"ERROR!!!!! EL MONTO NO COINCIDE CON LO REPORTADO EN EL FORMATO ETCA-I-01 EN EL TOTAL","")</f>
        <v/>
      </c>
    </row>
    <row r="11" spans="1:8" ht="20.100000000000001" customHeight="1">
      <c r="A11" s="585"/>
      <c r="B11" s="586" t="s">
        <v>30</v>
      </c>
      <c r="C11" s="583">
        <v>2827050</v>
      </c>
      <c r="D11" s="583">
        <v>91420533</v>
      </c>
      <c r="E11" s="583">
        <v>92351302</v>
      </c>
      <c r="F11" s="587">
        <f>C11+D11-E11</f>
        <v>1896281</v>
      </c>
      <c r="G11" s="588">
        <f>F11-C11</f>
        <v>-930769</v>
      </c>
    </row>
    <row r="12" spans="1:8" ht="20.100000000000001" customHeight="1">
      <c r="A12" s="585"/>
      <c r="B12" s="586" t="s">
        <v>32</v>
      </c>
      <c r="C12" s="583">
        <v>32673106</v>
      </c>
      <c r="D12" s="583">
        <v>79739058</v>
      </c>
      <c r="E12" s="583">
        <v>84910528</v>
      </c>
      <c r="F12" s="587">
        <f t="shared" ref="F12:F17" si="0">C12+D12-E12</f>
        <v>27501636</v>
      </c>
      <c r="G12" s="588">
        <f t="shared" ref="G12:G17" si="1">F12-C12</f>
        <v>-5171470</v>
      </c>
    </row>
    <row r="13" spans="1:8" ht="20.100000000000001" customHeight="1">
      <c r="A13" s="585"/>
      <c r="B13" s="586" t="s">
        <v>34</v>
      </c>
      <c r="C13" s="583">
        <v>69132</v>
      </c>
      <c r="D13" s="583">
        <v>1042790</v>
      </c>
      <c r="E13" s="583">
        <v>1002481</v>
      </c>
      <c r="F13" s="587">
        <f t="shared" si="0"/>
        <v>109441</v>
      </c>
      <c r="G13" s="588">
        <f t="shared" si="1"/>
        <v>40309</v>
      </c>
    </row>
    <row r="14" spans="1:8" ht="20.100000000000001" customHeight="1">
      <c r="A14" s="585"/>
      <c r="B14" s="586" t="s">
        <v>36</v>
      </c>
      <c r="C14" s="583">
        <v>0</v>
      </c>
      <c r="D14" s="583">
        <v>0</v>
      </c>
      <c r="E14" s="583">
        <v>0</v>
      </c>
      <c r="F14" s="587">
        <f t="shared" si="0"/>
        <v>0</v>
      </c>
      <c r="G14" s="588">
        <f t="shared" si="1"/>
        <v>0</v>
      </c>
    </row>
    <row r="15" spans="1:8" ht="20.100000000000001" customHeight="1">
      <c r="A15" s="585"/>
      <c r="B15" s="586" t="s">
        <v>38</v>
      </c>
      <c r="C15" s="583">
        <v>0</v>
      </c>
      <c r="D15" s="583">
        <v>0</v>
      </c>
      <c r="E15" s="583">
        <v>0</v>
      </c>
      <c r="F15" s="587">
        <f t="shared" si="0"/>
        <v>0</v>
      </c>
      <c r="G15" s="588">
        <f t="shared" si="1"/>
        <v>0</v>
      </c>
    </row>
    <row r="16" spans="1:8" ht="25.5">
      <c r="A16" s="585"/>
      <c r="B16" s="586" t="s">
        <v>40</v>
      </c>
      <c r="C16" s="583">
        <v>-148728</v>
      </c>
      <c r="D16" s="583">
        <v>0</v>
      </c>
      <c r="E16" s="583">
        <v>0</v>
      </c>
      <c r="F16" s="587">
        <f t="shared" si="0"/>
        <v>-148728</v>
      </c>
      <c r="G16" s="588">
        <f t="shared" si="1"/>
        <v>0</v>
      </c>
    </row>
    <row r="17" spans="1:8" ht="20.100000000000001" customHeight="1">
      <c r="A17" s="585"/>
      <c r="B17" s="586" t="s">
        <v>42</v>
      </c>
      <c r="C17" s="583">
        <v>0</v>
      </c>
      <c r="D17" s="583">
        <v>0</v>
      </c>
      <c r="E17" s="583">
        <v>0</v>
      </c>
      <c r="F17" s="587">
        <f t="shared" si="0"/>
        <v>0</v>
      </c>
      <c r="G17" s="588">
        <f t="shared" si="1"/>
        <v>0</v>
      </c>
    </row>
    <row r="18" spans="1:8" ht="20.100000000000001" customHeight="1">
      <c r="A18" s="581"/>
      <c r="B18" s="582"/>
      <c r="C18" s="583"/>
      <c r="D18" s="583"/>
      <c r="E18" s="583"/>
      <c r="F18" s="583"/>
      <c r="G18" s="584"/>
    </row>
    <row r="19" spans="1:8" ht="20.100000000000001" customHeight="1">
      <c r="A19" s="581"/>
      <c r="B19" s="582" t="s">
        <v>47</v>
      </c>
      <c r="C19" s="578">
        <f>SUM(C20:C28)</f>
        <v>104911297</v>
      </c>
      <c r="D19" s="578">
        <f>SUM(D20:D28)</f>
        <v>-3319905</v>
      </c>
      <c r="E19" s="578">
        <f>SUM(E20:E28)</f>
        <v>6682923</v>
      </c>
      <c r="F19" s="579">
        <f>C19+D19-E19</f>
        <v>94908469</v>
      </c>
      <c r="G19" s="580">
        <f>F19-C19</f>
        <v>-10002828</v>
      </c>
      <c r="H19" s="430" t="str">
        <f>IF(F19&lt;&gt;'ETCA-I-01'!B31,"ERROR!!!!! EL MONTO NO COINCIDE CON LO REPORTADO EN EL FORMATO ETCA-I-01 EN EL TOTAL","")</f>
        <v/>
      </c>
    </row>
    <row r="20" spans="1:8" ht="20.100000000000001" customHeight="1">
      <c r="A20" s="585"/>
      <c r="B20" s="586" t="s">
        <v>49</v>
      </c>
      <c r="C20" s="583">
        <v>0</v>
      </c>
      <c r="D20" s="583">
        <v>0</v>
      </c>
      <c r="E20" s="583">
        <v>0</v>
      </c>
      <c r="F20" s="587">
        <f>C20+D20-E20</f>
        <v>0</v>
      </c>
      <c r="G20" s="588">
        <f>F20-C20</f>
        <v>0</v>
      </c>
    </row>
    <row r="21" spans="1:8" ht="25.5">
      <c r="A21" s="585"/>
      <c r="B21" s="586" t="s">
        <v>51</v>
      </c>
      <c r="C21" s="583">
        <v>0</v>
      </c>
      <c r="D21" s="583">
        <v>0</v>
      </c>
      <c r="E21" s="583">
        <v>0</v>
      </c>
      <c r="F21" s="587">
        <f t="shared" ref="F21:F26" si="2">C21+D21-E21</f>
        <v>0</v>
      </c>
      <c r="G21" s="588">
        <f t="shared" ref="G21:G26" si="3">F21-C21</f>
        <v>0</v>
      </c>
    </row>
    <row r="22" spans="1:8" ht="25.5">
      <c r="A22" s="585"/>
      <c r="B22" s="586" t="s">
        <v>53</v>
      </c>
      <c r="C22" s="583">
        <v>21655591</v>
      </c>
      <c r="D22" s="583">
        <v>0</v>
      </c>
      <c r="E22" s="583">
        <v>0</v>
      </c>
      <c r="F22" s="587">
        <f t="shared" si="2"/>
        <v>21655591</v>
      </c>
      <c r="G22" s="588">
        <f t="shared" si="3"/>
        <v>0</v>
      </c>
    </row>
    <row r="23" spans="1:8" ht="20.100000000000001" customHeight="1">
      <c r="A23" s="585"/>
      <c r="B23" s="586" t="s">
        <v>55</v>
      </c>
      <c r="C23" s="583">
        <v>109992034</v>
      </c>
      <c r="D23" s="583">
        <v>477863</v>
      </c>
      <c r="E23" s="583">
        <v>1713700</v>
      </c>
      <c r="F23" s="587">
        <f t="shared" si="2"/>
        <v>108756197</v>
      </c>
      <c r="G23" s="588">
        <f t="shared" si="3"/>
        <v>-1235837</v>
      </c>
    </row>
    <row r="24" spans="1:8" ht="20.100000000000001" customHeight="1">
      <c r="A24" s="585"/>
      <c r="B24" s="586" t="s">
        <v>57</v>
      </c>
      <c r="C24" s="583">
        <v>247385</v>
      </c>
      <c r="D24" s="583">
        <v>0</v>
      </c>
      <c r="E24" s="583">
        <v>0</v>
      </c>
      <c r="F24" s="587">
        <f t="shared" si="2"/>
        <v>247385</v>
      </c>
      <c r="G24" s="588">
        <f t="shared" si="3"/>
        <v>0</v>
      </c>
    </row>
    <row r="25" spans="1:8" ht="25.5">
      <c r="A25" s="585"/>
      <c r="B25" s="586" t="s">
        <v>59</v>
      </c>
      <c r="C25" s="583">
        <v>-48242539</v>
      </c>
      <c r="D25" s="583">
        <v>-3906366</v>
      </c>
      <c r="E25" s="583">
        <v>10132554</v>
      </c>
      <c r="F25" s="587">
        <f t="shared" si="2"/>
        <v>-62281459</v>
      </c>
      <c r="G25" s="588">
        <f t="shared" si="3"/>
        <v>-14038920</v>
      </c>
    </row>
    <row r="26" spans="1:8" ht="20.100000000000001" customHeight="1">
      <c r="A26" s="585"/>
      <c r="B26" s="586" t="s">
        <v>61</v>
      </c>
      <c r="C26" s="583">
        <v>13254489</v>
      </c>
      <c r="D26" s="583">
        <v>108598</v>
      </c>
      <c r="E26" s="583">
        <v>456735</v>
      </c>
      <c r="F26" s="587">
        <f t="shared" si="2"/>
        <v>12906352</v>
      </c>
      <c r="G26" s="588">
        <f t="shared" si="3"/>
        <v>-348137</v>
      </c>
    </row>
    <row r="27" spans="1:8" ht="25.5">
      <c r="A27" s="585"/>
      <c r="B27" s="586" t="s">
        <v>62</v>
      </c>
      <c r="C27" s="583">
        <v>0</v>
      </c>
      <c r="D27" s="583">
        <v>0</v>
      </c>
      <c r="E27" s="583">
        <v>0</v>
      </c>
      <c r="F27" s="587">
        <f>C27+D27-E27</f>
        <v>0</v>
      </c>
      <c r="G27" s="588">
        <f>F27-C27</f>
        <v>0</v>
      </c>
    </row>
    <row r="28" spans="1:8" ht="20.100000000000001" customHeight="1">
      <c r="A28" s="585"/>
      <c r="B28" s="586" t="s">
        <v>63</v>
      </c>
      <c r="C28" s="583">
        <v>8004337</v>
      </c>
      <c r="D28" s="583">
        <v>0</v>
      </c>
      <c r="E28" s="583">
        <v>-5620066</v>
      </c>
      <c r="F28" s="587">
        <f>C28+D28-E28</f>
        <v>13624403</v>
      </c>
      <c r="G28" s="588">
        <f>F28-C28</f>
        <v>5620066</v>
      </c>
    </row>
    <row r="29" spans="1:8" ht="20.100000000000001" customHeight="1" thickBot="1">
      <c r="A29" s="589"/>
      <c r="B29" s="590"/>
      <c r="C29" s="591"/>
      <c r="D29" s="591"/>
      <c r="E29" s="591"/>
      <c r="F29" s="591"/>
      <c r="G29" s="592"/>
    </row>
    <row r="30" spans="1:8" ht="20.100000000000001" customHeight="1">
      <c r="A30" s="602" t="s">
        <v>254</v>
      </c>
      <c r="B30" s="286"/>
      <c r="C30" s="524"/>
      <c r="D30" s="524"/>
      <c r="E30" s="524"/>
      <c r="F30" s="524"/>
      <c r="G30" s="524"/>
    </row>
    <row r="31" spans="1:8" ht="20.100000000000001" customHeight="1">
      <c r="A31" s="514"/>
      <c r="B31" s="514"/>
      <c r="C31" s="524"/>
      <c r="D31" s="524"/>
      <c r="E31" s="524"/>
      <c r="F31" s="524"/>
      <c r="G31" s="524"/>
    </row>
    <row r="32" spans="1:8" ht="20.100000000000001" customHeight="1">
      <c r="A32" s="514"/>
      <c r="B32" s="514" t="s">
        <v>255</v>
      </c>
      <c r="C32" s="524"/>
      <c r="D32" s="524" t="s">
        <v>255</v>
      </c>
      <c r="E32" s="524"/>
      <c r="F32" s="524"/>
      <c r="G32" s="524"/>
    </row>
    <row r="33" spans="1:7" ht="20.100000000000001" customHeight="1">
      <c r="A33" s="514"/>
      <c r="B33" s="514"/>
      <c r="C33" s="524"/>
      <c r="D33" s="524"/>
      <c r="E33" s="524"/>
      <c r="F33" s="524"/>
      <c r="G33" s="524"/>
    </row>
    <row r="34" spans="1:7">
      <c r="A34" s="286" t="s">
        <v>255</v>
      </c>
      <c r="B34" s="286"/>
      <c r="C34" s="286"/>
      <c r="D34" s="286"/>
      <c r="E34" s="286"/>
      <c r="F34" s="286"/>
      <c r="G34" s="286"/>
    </row>
  </sheetData>
  <sheetProtection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worksheet>
</file>

<file path=xl/worksheets/sheet9.xml><?xml version="1.0" encoding="utf-8"?>
<worksheet xmlns="http://schemas.openxmlformats.org/spreadsheetml/2006/main" xmlns:r="http://schemas.openxmlformats.org/officeDocument/2006/relationships">
  <dimension ref="A1:G48"/>
  <sheetViews>
    <sheetView view="pageBreakPreview" topLeftCell="A31" zoomScale="130" zoomScaleSheetLayoutView="130" workbookViewId="0">
      <selection activeCell="F38" sqref="F38"/>
    </sheetView>
  </sheetViews>
  <sheetFormatPr baseColWidth="10" defaultColWidth="11.28515625" defaultRowHeight="16.5"/>
  <cols>
    <col min="1" max="1" width="2.140625" style="107" customWidth="1"/>
    <col min="2" max="2" width="28.28515625" style="107" customWidth="1"/>
    <col min="3" max="3" width="16.7109375" style="107" customWidth="1"/>
    <col min="4" max="4" width="17.28515625" style="107" bestFit="1" customWidth="1"/>
    <col min="5" max="6" width="16.7109375" style="107" customWidth="1"/>
    <col min="7" max="7" width="79" style="107" customWidth="1"/>
    <col min="8" max="16384" width="11.28515625" style="107"/>
  </cols>
  <sheetData>
    <row r="1" spans="1:7" s="124" customFormat="1" ht="18">
      <c r="A1" s="1209" t="s">
        <v>23</v>
      </c>
      <c r="B1" s="1209"/>
      <c r="C1" s="1209"/>
      <c r="D1" s="1209"/>
      <c r="E1" s="1209"/>
      <c r="F1" s="1209"/>
      <c r="G1" s="438"/>
    </row>
    <row r="2" spans="1:7" s="166" customFormat="1" ht="15.75">
      <c r="A2" s="1209" t="s">
        <v>6</v>
      </c>
      <c r="B2" s="1209"/>
      <c r="C2" s="1209"/>
      <c r="D2" s="1209"/>
      <c r="E2" s="1209"/>
      <c r="F2" s="1209"/>
    </row>
    <row r="3" spans="1:7" s="166" customFormat="1" ht="15.75">
      <c r="A3" s="1210" t="str">
        <f>'ETCA-I-01'!A3</f>
        <v>TELEVISORA DE HERMOSILLO, S.A. DE C.V.</v>
      </c>
      <c r="B3" s="1210"/>
      <c r="C3" s="1210"/>
      <c r="D3" s="1210"/>
      <c r="E3" s="1210"/>
      <c r="F3" s="1210"/>
    </row>
    <row r="4" spans="1:7" s="166" customFormat="1">
      <c r="A4" s="1211" t="str">
        <f>'ETCA-I-03'!A4:D4</f>
        <v>Del 01 de Enero al 30 de Septiembre de 2018</v>
      </c>
      <c r="B4" s="1211"/>
      <c r="C4" s="1211"/>
      <c r="D4" s="1211"/>
      <c r="E4" s="1211"/>
      <c r="F4" s="1211"/>
    </row>
    <row r="5" spans="1:7" s="168" customFormat="1" ht="17.25" thickBot="1">
      <c r="A5" s="167"/>
      <c r="B5" s="167"/>
      <c r="C5" s="1212" t="s">
        <v>300</v>
      </c>
      <c r="D5" s="1212"/>
      <c r="E5" s="52"/>
      <c r="F5" s="167"/>
    </row>
    <row r="6" spans="1:7" s="176" customFormat="1" ht="37.5" customHeight="1" thickBot="1">
      <c r="A6" s="1223" t="s">
        <v>301</v>
      </c>
      <c r="B6" s="1224"/>
      <c r="C6" s="174" t="s">
        <v>302</v>
      </c>
      <c r="D6" s="174" t="s">
        <v>303</v>
      </c>
      <c r="E6" s="174" t="s">
        <v>304</v>
      </c>
      <c r="F6" s="175" t="s">
        <v>305</v>
      </c>
    </row>
    <row r="7" spans="1:7">
      <c r="A7" s="1217"/>
      <c r="B7" s="1218"/>
      <c r="C7" s="177"/>
      <c r="D7" s="177"/>
      <c r="E7" s="178"/>
      <c r="F7" s="179"/>
    </row>
    <row r="8" spans="1:7">
      <c r="A8" s="1219" t="s">
        <v>306</v>
      </c>
      <c r="B8" s="1220"/>
      <c r="C8" s="180"/>
      <c r="D8" s="180"/>
      <c r="E8" s="180"/>
      <c r="F8" s="181"/>
    </row>
    <row r="9" spans="1:7">
      <c r="A9" s="1221" t="s">
        <v>307</v>
      </c>
      <c r="B9" s="1222"/>
      <c r="C9" s="180"/>
      <c r="D9" s="180"/>
      <c r="E9" s="180"/>
      <c r="F9" s="181"/>
    </row>
    <row r="10" spans="1:7">
      <c r="A10" s="1213" t="s">
        <v>308</v>
      </c>
      <c r="B10" s="1214"/>
      <c r="C10" s="182"/>
      <c r="D10" s="182"/>
      <c r="E10" s="195">
        <f>SUM(E11:E13)</f>
        <v>0</v>
      </c>
      <c r="F10" s="196">
        <f>SUM(F11:F13)</f>
        <v>9999984</v>
      </c>
    </row>
    <row r="11" spans="1:7" ht="25.5">
      <c r="A11" s="851"/>
      <c r="B11" s="830" t="s">
        <v>309</v>
      </c>
      <c r="C11" s="1020" t="s">
        <v>1114</v>
      </c>
      <c r="D11" s="1019" t="s">
        <v>1347</v>
      </c>
      <c r="E11" s="1021">
        <v>0</v>
      </c>
      <c r="F11" s="1022">
        <v>9999984</v>
      </c>
    </row>
    <row r="12" spans="1:7">
      <c r="A12" s="185"/>
      <c r="B12" s="184" t="s">
        <v>310</v>
      </c>
      <c r="C12" s="186"/>
      <c r="D12" s="186"/>
      <c r="E12" s="186"/>
      <c r="F12" s="187"/>
    </row>
    <row r="13" spans="1:7">
      <c r="A13" s="185"/>
      <c r="B13" s="184" t="s">
        <v>311</v>
      </c>
      <c r="C13" s="186"/>
      <c r="D13" s="186"/>
      <c r="E13" s="186"/>
      <c r="F13" s="187"/>
    </row>
    <row r="14" spans="1:7">
      <c r="A14" s="185"/>
      <c r="B14" s="188"/>
      <c r="C14" s="186"/>
      <c r="D14" s="186"/>
      <c r="E14" s="186"/>
      <c r="F14" s="187"/>
    </row>
    <row r="15" spans="1:7">
      <c r="A15" s="1213" t="s">
        <v>312</v>
      </c>
      <c r="B15" s="1214"/>
      <c r="C15" s="182"/>
      <c r="D15" s="182"/>
      <c r="E15" s="195">
        <f>SUM(E16:E19)</f>
        <v>0</v>
      </c>
      <c r="F15" s="196">
        <f>SUM(F16:F19)</f>
        <v>0</v>
      </c>
    </row>
    <row r="16" spans="1:7">
      <c r="A16" s="185"/>
      <c r="B16" s="184" t="s">
        <v>313</v>
      </c>
      <c r="C16" s="186"/>
      <c r="D16" s="186"/>
      <c r="E16" s="186">
        <v>0</v>
      </c>
      <c r="F16" s="187"/>
    </row>
    <row r="17" spans="1:7">
      <c r="A17" s="851"/>
      <c r="B17" s="184" t="s">
        <v>314</v>
      </c>
      <c r="C17" s="186"/>
      <c r="D17" s="186"/>
      <c r="E17" s="186"/>
      <c r="F17" s="187"/>
    </row>
    <row r="18" spans="1:7">
      <c r="A18" s="851"/>
      <c r="B18" s="184" t="s">
        <v>310</v>
      </c>
      <c r="C18" s="182"/>
      <c r="D18" s="182"/>
      <c r="E18" s="182"/>
      <c r="F18" s="183"/>
    </row>
    <row r="19" spans="1:7">
      <c r="A19" s="185"/>
      <c r="B19" s="184" t="s">
        <v>311</v>
      </c>
      <c r="C19" s="186"/>
      <c r="D19" s="186"/>
      <c r="E19" s="186"/>
      <c r="F19" s="187"/>
    </row>
    <row r="20" spans="1:7">
      <c r="A20" s="851"/>
      <c r="B20" s="852"/>
      <c r="C20" s="182"/>
      <c r="D20" s="182"/>
      <c r="E20" s="182"/>
      <c r="F20" s="183"/>
    </row>
    <row r="21" spans="1:7">
      <c r="A21" s="189"/>
      <c r="B21" s="190" t="s">
        <v>315</v>
      </c>
      <c r="C21" s="180"/>
      <c r="D21" s="180"/>
      <c r="E21" s="197">
        <f>E10+E15</f>
        <v>0</v>
      </c>
      <c r="F21" s="198">
        <f>F10+F15</f>
        <v>9999984</v>
      </c>
      <c r="G21" s="336"/>
    </row>
    <row r="22" spans="1:7">
      <c r="A22" s="189"/>
      <c r="B22" s="190"/>
      <c r="C22" s="191"/>
      <c r="D22" s="191"/>
      <c r="E22" s="191"/>
      <c r="F22" s="192"/>
    </row>
    <row r="23" spans="1:7">
      <c r="A23" s="1221" t="s">
        <v>316</v>
      </c>
      <c r="B23" s="1222"/>
      <c r="C23" s="180"/>
      <c r="D23" s="180"/>
      <c r="E23" s="180"/>
      <c r="F23" s="181"/>
    </row>
    <row r="24" spans="1:7">
      <c r="A24" s="1213" t="s">
        <v>308</v>
      </c>
      <c r="B24" s="1214"/>
      <c r="C24" s="182"/>
      <c r="D24" s="182"/>
      <c r="E24" s="195">
        <f>SUM(E25:E27)</f>
        <v>72500028</v>
      </c>
      <c r="F24" s="196">
        <f>SUM(F25:F27)</f>
        <v>55000056</v>
      </c>
    </row>
    <row r="25" spans="1:7" ht="25.5">
      <c r="A25" s="851"/>
      <c r="B25" s="184" t="s">
        <v>309</v>
      </c>
      <c r="C25" s="1020" t="s">
        <v>1114</v>
      </c>
      <c r="D25" s="1019" t="s">
        <v>1347</v>
      </c>
      <c r="E25" s="1020">
        <v>72500028</v>
      </c>
      <c r="F25" s="1023">
        <v>55000056</v>
      </c>
    </row>
    <row r="26" spans="1:7">
      <c r="A26" s="185"/>
      <c r="B26" s="184" t="s">
        <v>310</v>
      </c>
      <c r="C26" s="186"/>
      <c r="D26" s="186"/>
      <c r="E26" s="186"/>
      <c r="F26" s="187"/>
    </row>
    <row r="27" spans="1:7">
      <c r="A27" s="185"/>
      <c r="B27" s="184" t="s">
        <v>311</v>
      </c>
      <c r="C27" s="186"/>
      <c r="D27" s="186"/>
      <c r="E27" s="186"/>
      <c r="F27" s="187"/>
    </row>
    <row r="28" spans="1:7">
      <c r="A28" s="185"/>
      <c r="B28" s="188"/>
      <c r="C28" s="186"/>
      <c r="D28" s="186"/>
      <c r="E28" s="186"/>
      <c r="F28" s="187"/>
    </row>
    <row r="29" spans="1:7">
      <c r="A29" s="1213" t="s">
        <v>312</v>
      </c>
      <c r="B29" s="1214"/>
      <c r="C29" s="182"/>
      <c r="D29" s="182"/>
      <c r="E29" s="195">
        <f>SUM(E30:E33)</f>
        <v>0</v>
      </c>
      <c r="F29" s="196">
        <f>SUM(F30:F33)</f>
        <v>0</v>
      </c>
    </row>
    <row r="30" spans="1:7">
      <c r="A30" s="185"/>
      <c r="B30" s="184" t="s">
        <v>313</v>
      </c>
      <c r="C30" s="186"/>
      <c r="D30" s="186"/>
      <c r="E30" s="186"/>
      <c r="F30" s="187"/>
    </row>
    <row r="31" spans="1:7">
      <c r="A31" s="851"/>
      <c r="B31" s="184" t="s">
        <v>314</v>
      </c>
      <c r="C31" s="186"/>
      <c r="D31" s="186"/>
      <c r="E31" s="186"/>
      <c r="F31" s="187"/>
    </row>
    <row r="32" spans="1:7">
      <c r="A32" s="851"/>
      <c r="B32" s="184" t="s">
        <v>310</v>
      </c>
      <c r="C32" s="182"/>
      <c r="D32" s="182"/>
      <c r="E32" s="182"/>
      <c r="F32" s="183"/>
    </row>
    <row r="33" spans="1:7">
      <c r="A33" s="185"/>
      <c r="B33" s="184" t="s">
        <v>311</v>
      </c>
      <c r="C33" s="186"/>
      <c r="D33" s="186"/>
      <c r="E33" s="186"/>
      <c r="F33" s="187"/>
    </row>
    <row r="34" spans="1:7">
      <c r="A34" s="851"/>
      <c r="B34" s="852"/>
      <c r="C34" s="182"/>
      <c r="D34" s="182"/>
      <c r="E34" s="182"/>
      <c r="F34" s="183"/>
    </row>
    <row r="35" spans="1:7">
      <c r="A35" s="189"/>
      <c r="B35" s="190" t="s">
        <v>317</v>
      </c>
      <c r="C35" s="180"/>
      <c r="D35" s="180"/>
      <c r="E35" s="197">
        <f>E24+E29</f>
        <v>72500028</v>
      </c>
      <c r="F35" s="198">
        <f>F24+F29</f>
        <v>55000056</v>
      </c>
      <c r="G35" s="336"/>
    </row>
    <row r="36" spans="1:7">
      <c r="A36" s="185"/>
      <c r="B36" s="188"/>
      <c r="C36" s="186"/>
      <c r="D36" s="186"/>
      <c r="E36" s="186"/>
      <c r="F36" s="187"/>
    </row>
    <row r="37" spans="1:7">
      <c r="A37" s="185"/>
      <c r="B37" s="184" t="s">
        <v>318</v>
      </c>
      <c r="C37" s="186"/>
      <c r="D37" s="186"/>
      <c r="E37" s="186">
        <v>29337821</v>
      </c>
      <c r="F37" s="187">
        <v>30095594</v>
      </c>
    </row>
    <row r="38" spans="1:7">
      <c r="A38" s="185"/>
      <c r="B38" s="188"/>
      <c r="C38" s="186"/>
      <c r="D38" s="186"/>
      <c r="E38" s="186"/>
      <c r="F38" s="187"/>
    </row>
    <row r="39" spans="1:7">
      <c r="A39" s="851"/>
      <c r="B39" s="852" t="s">
        <v>319</v>
      </c>
      <c r="C39" s="180"/>
      <c r="D39" s="180"/>
      <c r="E39" s="197">
        <f>E37+E35+E21</f>
        <v>101837849</v>
      </c>
      <c r="F39" s="198">
        <f>F37+F35+F21</f>
        <v>95095634</v>
      </c>
      <c r="G39" s="336" t="str">
        <f>IF((F39-'ETCA-I-01'!F33)&gt;0.9,"ERROR!!!!!, NO COINCIDE CON LO REPORTADO EN EL ETCA-I-01 EN EL MISMO RUBRO","")</f>
        <v/>
      </c>
    </row>
    <row r="40" spans="1:7" ht="5.25" customHeight="1" thickBot="1">
      <c r="A40" s="1215"/>
      <c r="B40" s="1216"/>
      <c r="C40" s="193"/>
      <c r="D40" s="193"/>
      <c r="E40" s="193"/>
      <c r="F40" s="194"/>
    </row>
    <row r="41" spans="1:7" ht="11.1" customHeight="1">
      <c r="A41" s="123" t="s">
        <v>254</v>
      </c>
      <c r="F41" s="506"/>
    </row>
    <row r="42" spans="1:7" ht="11.1" customHeight="1">
      <c r="A42" s="123"/>
      <c r="F42" s="506"/>
    </row>
    <row r="43" spans="1:7" ht="11.1" customHeight="1">
      <c r="A43" s="123"/>
      <c r="F43" s="506"/>
    </row>
    <row r="44" spans="1:7" ht="11.1" customHeight="1">
      <c r="A44" s="506"/>
      <c r="B44" s="506"/>
      <c r="C44" s="506"/>
      <c r="D44" s="506"/>
      <c r="E44" s="506"/>
      <c r="F44" s="506"/>
    </row>
    <row r="45" spans="1:7" ht="11.1" customHeight="1">
      <c r="A45" s="506"/>
      <c r="B45" s="506"/>
      <c r="C45" s="506"/>
      <c r="D45" s="506"/>
      <c r="E45" s="506"/>
      <c r="F45" s="506"/>
    </row>
    <row r="46" spans="1:7" ht="11.1" customHeight="1">
      <c r="A46" s="506"/>
      <c r="B46" s="506" t="s">
        <v>255</v>
      </c>
      <c r="C46" s="506"/>
      <c r="D46" s="506"/>
      <c r="E46" s="506"/>
      <c r="F46" s="506"/>
    </row>
    <row r="47" spans="1:7" ht="11.1" customHeight="1">
      <c r="A47" s="506"/>
      <c r="B47" s="506"/>
      <c r="C47" s="506"/>
      <c r="D47" s="506"/>
      <c r="E47" s="506"/>
      <c r="F47" s="506"/>
    </row>
    <row r="48" spans="1:7">
      <c r="A48" s="504" t="s">
        <v>255</v>
      </c>
      <c r="B48" s="504"/>
      <c r="C48" s="504"/>
      <c r="D48" s="504"/>
      <c r="E48" s="504"/>
      <c r="F48" s="504"/>
    </row>
  </sheetData>
  <sheetProtection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rintOptions horizontalCentered="1"/>
  <pageMargins left="0.70866141732283472" right="0.70866141732283472" top="0.74803149606299213" bottom="0.74803149606299213" header="0.31496062992125984" footer="0.31496062992125984"/>
  <pageSetup scale="90"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40</vt:i4>
      </vt:variant>
    </vt:vector>
  </HeadingPairs>
  <TitlesOfParts>
    <vt:vector size="78"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ANEXO</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'ETCA-III-05'!Títulos_a_imprimir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 </cp:lastModifiedBy>
  <cp:revision/>
  <cp:lastPrinted>2018-10-11T20:05:01Z</cp:lastPrinted>
  <dcterms:created xsi:type="dcterms:W3CDTF">2014-03-28T01:13:38Z</dcterms:created>
  <dcterms:modified xsi:type="dcterms:W3CDTF">2018-10-16T19:02:15Z</dcterms:modified>
</cp:coreProperties>
</file>