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C:\Users\Lupita Perez\Documents\CONTRALORIA Y ETCAS\INFORMES TRIMESTRALES ETCAS 2021\TELEMAX ETCA´S TERCER TRIMESTRE 2021\"/>
    </mc:Choice>
  </mc:AlternateContent>
  <xr:revisionPtr revIDLastSave="0" documentId="13_ncr:1_{888C8A41-3F39-401E-A153-F731E488C60A}" xr6:coauthVersionLast="45" xr6:coauthVersionMax="45" xr10:uidLastSave="{00000000-0000-0000-0000-000000000000}"/>
  <bookViews>
    <workbookView xWindow="-120" yWindow="-120" windowWidth="29040" windowHeight="15840" tabRatio="989" activeTab="1" xr2:uid="{00000000-000D-0000-FFFF-FFFF00000000}"/>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6" sheetId="89" r:id="rId38"/>
    <sheet name="ANEXO A" sheetId="86" r:id="rId39"/>
    <sheet name="ANEXO B" sheetId="85" r:id="rId40"/>
    <sheet name="ANEXO C" sheetId="84" r:id="rId41"/>
  </sheets>
  <externalReferences>
    <externalReference r:id="rId42"/>
    <externalReference r:id="rId43"/>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8">'ANEXO A'!$A$1:$F$62</definedName>
    <definedName name="_xlnm.Print_Area" localSheetId="39">'ANEXO B'!$A$1:$E$80</definedName>
    <definedName name="_xlnm.Print_Area" localSheetId="1">'ETCA-I-01'!$A$1:$G$57</definedName>
    <definedName name="_xlnm.Print_Area" localSheetId="2">'ETCA-I-02'!$A$1:$G$76</definedName>
    <definedName name="_xlnm.Print_Area" localSheetId="3">'ETCA-I-03'!$A$1:$D$69</definedName>
    <definedName name="_xlnm.Print_Area" localSheetId="4">'ETCA-I-04'!$A$1:$F$46</definedName>
    <definedName name="_xlnm.Print_Area" localSheetId="6">'ETCA-I-06'!$A$1:$D$70</definedName>
    <definedName name="_xlnm.Print_Area" localSheetId="7">'ETCA-I-07'!$A$1:$G$33</definedName>
    <definedName name="_xlnm.Print_Area" localSheetId="8">'ETCA-I-08'!$A$1:$F$47</definedName>
    <definedName name="_xlnm.Print_Area" localSheetId="9">'ETCA-I-09'!$A$1:$I$42</definedName>
    <definedName name="_xlnm.Print_Area" localSheetId="11">'ETCA-I-11'!$A$1:$I$50</definedName>
    <definedName name="_xlnm.Print_Area" localSheetId="12">'ETCA-I-12 (NOTAS)'!$A$1:$J$49</definedName>
    <definedName name="_xlnm.Print_Area" localSheetId="13">'ETCA-II-01'!$A$1:$H$48</definedName>
    <definedName name="_xlnm.Print_Area" localSheetId="14">'ETCA-II-02'!$A$1:$I$86</definedName>
    <definedName name="_xlnm.Print_Area" localSheetId="15">'ETCA-II-03'!$A$1:$D$34</definedName>
    <definedName name="_xlnm.Print_Area" localSheetId="17">'ETCA-II-05'!$A$1:$H$164</definedName>
    <definedName name="_xlnm.Print_Area" localSheetId="18">'ETCA-II-06'!$A$1:$G$25</definedName>
    <definedName name="_xlnm.Print_Area" localSheetId="19">'ETCA-II-07'!$A$1:$G$36</definedName>
    <definedName name="_xlnm.Print_Area" localSheetId="20">'ETCA-II-08'!$A$1:$G$40</definedName>
    <definedName name="_xlnm.Print_Area" localSheetId="21">'ETCA-II-09'!$A$1:$G$20</definedName>
    <definedName name="_xlnm.Print_Area" localSheetId="22">'ETCA-II-10'!$A$1:$G$26</definedName>
    <definedName name="_xlnm.Print_Area" localSheetId="23">'ETCA-II-11'!$A$1:$G$48</definedName>
    <definedName name="_xlnm.Print_Area" localSheetId="24">'ETCA-II-12'!$A$1:$H$88</definedName>
    <definedName name="_xlnm.Print_Area" localSheetId="25">'ETCA-II-13'!$A$1:$I$139</definedName>
    <definedName name="_xlnm.Print_Area" localSheetId="26">'ETCA-II-14'!$A$1:$G$38</definedName>
    <definedName name="_xlnm.Print_Area" localSheetId="27">'ETCA-II-15'!$A$1:$C$46</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'ETCA-III-03'!$A$1:$E$43</definedName>
    <definedName name="_xlnm.Print_Area" localSheetId="33">'ETCA-III-05'!#REF!</definedName>
    <definedName name="_xlnm.Print_Area" localSheetId="34">'ETCA-IV-01'!$A$1:$E$32</definedName>
    <definedName name="_xlnm.Print_Area" localSheetId="35">'ETCA-IV-02'!$A$1:$E$92</definedName>
    <definedName name="_xlnm.Print_Area" localSheetId="36">'ETCA-IV-03'!$A$1:$D$28</definedName>
    <definedName name="_xlnm.Print_Area" localSheetId="0">'Lista  FORMATOS  '!$A$1:$C$58</definedName>
    <definedName name="_xlnm.Database" localSheetId="39">#REF!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#REF!</definedName>
    <definedName name="OLE_LINK1" localSheetId="38">'ANEXO A'!#REF!</definedName>
    <definedName name="ppto">[1]Hoja2!$B$3:$M$95</definedName>
    <definedName name="qw" localSheetId="39">#REF!</definedName>
    <definedName name="qw" localSheetId="25">#REF!</definedName>
    <definedName name="qw" localSheetId="33">#REF!</definedName>
    <definedName name="qw">#REF!</definedName>
    <definedName name="_xlnm.Print_Titles" localSheetId="38">'ANEXO A'!$1:$4</definedName>
    <definedName name="_xlnm.Print_Titles" localSheetId="40">'ANEXO C'!$1:$3</definedName>
    <definedName name="_xlnm.Print_Titles" localSheetId="2">'ETCA-I-02'!$5:$5</definedName>
    <definedName name="_xlnm.Print_Titles" localSheetId="3">'ETCA-I-03'!$2:$4</definedName>
    <definedName name="_xlnm.Print_Titles" localSheetId="13">'ETCA-II-01'!$1:$4</definedName>
    <definedName name="_xlnm.Print_Titles" localSheetId="14">'ETCA-II-02'!$5:$7</definedName>
    <definedName name="_xlnm.Print_Titles" localSheetId="17">'ETCA-II-05'!$1:$7</definedName>
    <definedName name="_xlnm.Print_Titles" localSheetId="24">'ETCA-II-12'!$1:$7</definedName>
    <definedName name="_xlnm.Print_Titles" localSheetId="25">'ETCA-II-13'!$1:$8</definedName>
    <definedName name="_xlnm.Print_Titles" localSheetId="32">'ETCA-III-04'!#REF!</definedName>
    <definedName name="_xlnm.Print_Titles" localSheetId="33">'ETCA-III-05'!#REF!</definedName>
    <definedName name="_xlnm.Print_Titles" localSheetId="35">'ETCA-IV-02'!$1:$4</definedName>
    <definedName name="_xlnm.Print_Titles" localSheetId="37">'ETCA-IV-06'!$1:$6</definedName>
    <definedName name="_xlnm.Print_Titles" localSheetId="0">'Lista  FORMATOS  '!$1:$4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88" l="1"/>
  <c r="N18" i="88"/>
  <c r="N17" i="88"/>
  <c r="N16" i="88"/>
  <c r="N15" i="88"/>
  <c r="N14" i="88"/>
  <c r="N13" i="88"/>
  <c r="N12" i="88"/>
  <c r="N10" i="88"/>
  <c r="I134" i="50" l="1"/>
  <c r="F56" i="51"/>
  <c r="F8" i="51"/>
  <c r="V270" i="84"/>
  <c r="U270" i="84"/>
  <c r="T270" i="84"/>
  <c r="S270" i="84"/>
  <c r="R270" i="84"/>
  <c r="Q270" i="84"/>
  <c r="P270" i="84"/>
  <c r="D36" i="86" l="1"/>
  <c r="C36" i="86"/>
  <c r="E35" i="86"/>
  <c r="E34" i="86"/>
  <c r="E33" i="86"/>
  <c r="E32" i="86"/>
  <c r="E31" i="86"/>
  <c r="E30" i="86"/>
  <c r="E29" i="86"/>
  <c r="E28" i="86"/>
  <c r="E27" i="86"/>
  <c r="E26" i="86"/>
  <c r="E25" i="86"/>
  <c r="E24" i="86"/>
  <c r="E23" i="86"/>
  <c r="E22" i="86"/>
  <c r="E21" i="86"/>
  <c r="E20" i="86"/>
  <c r="E19" i="86"/>
  <c r="E18" i="86"/>
  <c r="E17" i="86"/>
  <c r="E16" i="86"/>
  <c r="E15" i="86"/>
  <c r="E14" i="86"/>
  <c r="E13" i="86"/>
  <c r="E12" i="86"/>
  <c r="E11" i="86"/>
  <c r="E10" i="86"/>
  <c r="E9" i="86"/>
  <c r="E8" i="86"/>
  <c r="E7" i="86"/>
  <c r="E6" i="86"/>
  <c r="E36" i="86" s="1"/>
  <c r="E5" i="86"/>
  <c r="G69" i="50" l="1"/>
  <c r="F69" i="50"/>
  <c r="H132" i="50"/>
  <c r="H131" i="50"/>
  <c r="G130" i="50"/>
  <c r="F130" i="50"/>
  <c r="D130" i="50"/>
  <c r="C130" i="50"/>
  <c r="E128" i="50"/>
  <c r="H128" i="50" s="1"/>
  <c r="E127" i="50"/>
  <c r="H127" i="50" s="1"/>
  <c r="E126" i="50"/>
  <c r="H126" i="50" s="1"/>
  <c r="E125" i="50"/>
  <c r="H125" i="50" s="1"/>
  <c r="E124" i="50"/>
  <c r="H124" i="50" s="1"/>
  <c r="E123" i="50"/>
  <c r="H123" i="50" s="1"/>
  <c r="E122" i="50"/>
  <c r="H122" i="50" s="1"/>
  <c r="E121" i="50"/>
  <c r="H118" i="50"/>
  <c r="E118" i="50"/>
  <c r="H117" i="50"/>
  <c r="E117" i="50"/>
  <c r="H116" i="50"/>
  <c r="E116" i="50"/>
  <c r="H114" i="50"/>
  <c r="E114" i="50"/>
  <c r="H113" i="50"/>
  <c r="E113" i="50"/>
  <c r="H110" i="50"/>
  <c r="E110" i="50"/>
  <c r="H109" i="50"/>
  <c r="E109" i="50"/>
  <c r="H107" i="50"/>
  <c r="E107" i="50"/>
  <c r="H106" i="50"/>
  <c r="E106" i="50"/>
  <c r="H105" i="50"/>
  <c r="E105" i="50"/>
  <c r="H102" i="50"/>
  <c r="E102" i="50"/>
  <c r="H101" i="50"/>
  <c r="E101" i="50"/>
  <c r="H100" i="50"/>
  <c r="E100" i="50"/>
  <c r="H99" i="50"/>
  <c r="E99" i="50"/>
  <c r="H98" i="50"/>
  <c r="E98" i="50"/>
  <c r="H96" i="50"/>
  <c r="E96" i="50"/>
  <c r="H95" i="50"/>
  <c r="E95" i="50"/>
  <c r="H94" i="50"/>
  <c r="E94" i="50"/>
  <c r="H92" i="50"/>
  <c r="E92" i="50"/>
  <c r="H90" i="50"/>
  <c r="E90" i="50"/>
  <c r="H88" i="50"/>
  <c r="E88" i="50"/>
  <c r="H87" i="50"/>
  <c r="E87" i="50"/>
  <c r="H86" i="50"/>
  <c r="E86" i="50"/>
  <c r="H82" i="50"/>
  <c r="E82" i="50"/>
  <c r="H81" i="50"/>
  <c r="E81" i="50"/>
  <c r="H80" i="50"/>
  <c r="E80" i="50"/>
  <c r="H79" i="50"/>
  <c r="E79" i="50"/>
  <c r="H76" i="50"/>
  <c r="E76" i="50"/>
  <c r="H75" i="50"/>
  <c r="E75" i="50"/>
  <c r="H74" i="50"/>
  <c r="E74" i="50"/>
  <c r="H73" i="50"/>
  <c r="E73" i="50"/>
  <c r="H72" i="50"/>
  <c r="E72" i="50"/>
  <c r="H71" i="50"/>
  <c r="E71" i="50"/>
  <c r="H69" i="50"/>
  <c r="E69" i="50"/>
  <c r="D69" i="50"/>
  <c r="C69" i="50"/>
  <c r="H67" i="50"/>
  <c r="E67" i="50"/>
  <c r="H66" i="50"/>
  <c r="E66" i="50"/>
  <c r="H64" i="50"/>
  <c r="E64" i="50"/>
  <c r="H62" i="50"/>
  <c r="E62" i="50"/>
  <c r="H60" i="50"/>
  <c r="E60" i="50"/>
  <c r="H58" i="50"/>
  <c r="E58" i="50"/>
  <c r="H57" i="50"/>
  <c r="E57" i="50"/>
  <c r="H55" i="50"/>
  <c r="E55" i="50"/>
  <c r="H53" i="50"/>
  <c r="E53" i="50"/>
  <c r="H50" i="50"/>
  <c r="E50" i="50"/>
  <c r="G48" i="50"/>
  <c r="F48" i="50"/>
  <c r="E48" i="50"/>
  <c r="D48" i="50"/>
  <c r="C48" i="50"/>
  <c r="E46" i="50"/>
  <c r="H46" i="50" s="1"/>
  <c r="E44" i="50"/>
  <c r="H44" i="50" s="1"/>
  <c r="E43" i="50"/>
  <c r="H43" i="50" s="1"/>
  <c r="E42" i="50"/>
  <c r="H42" i="50" s="1"/>
  <c r="E41" i="50"/>
  <c r="H41" i="50" s="1"/>
  <c r="E40" i="50"/>
  <c r="H40" i="50" s="1"/>
  <c r="E39" i="50"/>
  <c r="H39" i="50" s="1"/>
  <c r="E37" i="50"/>
  <c r="H37" i="50" s="1"/>
  <c r="E36" i="50"/>
  <c r="H36" i="50" s="1"/>
  <c r="E35" i="50"/>
  <c r="H35" i="50" s="1"/>
  <c r="E31" i="50"/>
  <c r="H31" i="50" s="1"/>
  <c r="E28" i="50"/>
  <c r="H28" i="50" s="1"/>
  <c r="E27" i="50"/>
  <c r="H27" i="50" s="1"/>
  <c r="E20" i="50"/>
  <c r="H20" i="50" s="1"/>
  <c r="E16" i="50"/>
  <c r="H16" i="50" s="1"/>
  <c r="E13" i="50"/>
  <c r="H13" i="50" s="1"/>
  <c r="E12" i="50"/>
  <c r="H12" i="50" s="1"/>
  <c r="G9" i="50"/>
  <c r="F9" i="50"/>
  <c r="D9" i="50"/>
  <c r="C9" i="50"/>
  <c r="C134" i="50" s="1"/>
  <c r="E9" i="50" l="1"/>
  <c r="H9" i="50" s="1"/>
  <c r="H48" i="50"/>
  <c r="E130" i="50"/>
  <c r="H130" i="50"/>
  <c r="B56" i="51"/>
  <c r="D15" i="54"/>
  <c r="E15" i="54"/>
  <c r="I18" i="55"/>
  <c r="I20" i="55"/>
  <c r="G32" i="67"/>
  <c r="F32" i="67"/>
  <c r="D32" i="67"/>
  <c r="C7" i="23" l="1"/>
  <c r="D55" i="23"/>
  <c r="D18" i="23"/>
  <c r="C7" i="1"/>
  <c r="D18" i="1"/>
  <c r="B29" i="2"/>
  <c r="B31" i="2" s="1"/>
  <c r="B16" i="2"/>
  <c r="C31" i="38" l="1"/>
  <c r="D10" i="38"/>
  <c r="G10" i="38" s="1"/>
  <c r="D9" i="38"/>
  <c r="I46" i="50" l="1"/>
  <c r="I44" i="50"/>
  <c r="I43" i="50"/>
  <c r="I42" i="50"/>
  <c r="I41" i="50"/>
  <c r="I39" i="50"/>
  <c r="I37" i="50"/>
  <c r="I36" i="50"/>
  <c r="I35" i="50"/>
  <c r="I31" i="50"/>
  <c r="I27" i="50"/>
  <c r="I16" i="50"/>
  <c r="I12" i="50"/>
  <c r="I40" i="50" l="1"/>
  <c r="I13" i="50"/>
  <c r="I20" i="50"/>
  <c r="I28" i="50"/>
  <c r="D7" i="23" l="1"/>
  <c r="C439" i="89" l="1"/>
  <c r="C434" i="89"/>
  <c r="C362" i="89" l="1"/>
  <c r="C477" i="89"/>
  <c r="C472" i="89"/>
  <c r="C354" i="89"/>
  <c r="B31" i="38" l="1"/>
  <c r="F31" i="38" l="1"/>
  <c r="E31" i="38"/>
  <c r="G134" i="50" l="1"/>
  <c r="D134" i="50" l="1"/>
  <c r="F134" i="50"/>
  <c r="I130" i="50"/>
  <c r="I69" i="50"/>
  <c r="F62" i="51"/>
  <c r="E9" i="6"/>
  <c r="C9" i="6"/>
  <c r="E134" i="50" l="1"/>
  <c r="I48" i="50"/>
  <c r="H134" i="50"/>
  <c r="I9" i="50"/>
  <c r="G38" i="2"/>
  <c r="C16" i="2"/>
  <c r="C40" i="51"/>
  <c r="C30" i="51"/>
  <c r="G18" i="51"/>
  <c r="E8" i="37" l="1"/>
  <c r="G49" i="71"/>
  <c r="G53" i="71"/>
  <c r="F53" i="71"/>
  <c r="D53" i="71"/>
  <c r="D54" i="71"/>
  <c r="D50" i="71"/>
  <c r="D51" i="71"/>
  <c r="C149" i="71"/>
  <c r="B25" i="70"/>
  <c r="F51" i="70"/>
  <c r="F47" i="70"/>
  <c r="F30" i="70"/>
  <c r="E33" i="70"/>
  <c r="E31" i="70"/>
  <c r="E30" i="70"/>
  <c r="E29" i="70"/>
  <c r="E28" i="70"/>
  <c r="E51" i="70"/>
  <c r="C51" i="70"/>
  <c r="B51" i="70"/>
  <c r="C55" i="23"/>
  <c r="F38" i="2"/>
  <c r="C479" i="89"/>
  <c r="F46" i="70" l="1"/>
  <c r="D51" i="70"/>
  <c r="C512" i="89"/>
  <c r="C346" i="89"/>
  <c r="C325" i="89"/>
  <c r="C314" i="89"/>
  <c r="C302" i="89"/>
  <c r="C300" i="89"/>
  <c r="C266" i="89"/>
  <c r="C521" i="89" l="1"/>
  <c r="C410" i="89"/>
  <c r="C152" i="89"/>
  <c r="C151" i="89"/>
  <c r="C146" i="89"/>
  <c r="C145" i="89"/>
  <c r="C113" i="89"/>
  <c r="C111" i="89"/>
  <c r="C68" i="89"/>
  <c r="C79" i="89"/>
  <c r="C54" i="89"/>
  <c r="A3" i="89" l="1"/>
  <c r="C8" i="37" l="1"/>
  <c r="G77" i="71"/>
  <c r="F77" i="71"/>
  <c r="G76" i="71"/>
  <c r="F76" i="71"/>
  <c r="D77" i="71"/>
  <c r="D76" i="71"/>
  <c r="C77" i="71"/>
  <c r="C76" i="71"/>
  <c r="F49" i="71"/>
  <c r="D49" i="71"/>
  <c r="C49" i="71"/>
  <c r="E47" i="70"/>
  <c r="E46" i="70" s="1"/>
  <c r="C47" i="70"/>
  <c r="C46" i="70" s="1"/>
  <c r="B47" i="70"/>
  <c r="B27" i="70"/>
  <c r="F8" i="37"/>
  <c r="C144" i="89"/>
  <c r="C147" i="89"/>
  <c r="C289" i="89" l="1"/>
  <c r="E11" i="20" l="1"/>
  <c r="D11" i="20"/>
  <c r="C18" i="23"/>
  <c r="A4" i="50" l="1"/>
  <c r="A1" i="50"/>
  <c r="C18" i="6" l="1"/>
  <c r="D9" i="6" l="1"/>
  <c r="F9" i="6" s="1"/>
  <c r="C56" i="51"/>
  <c r="F16" i="61" l="1"/>
  <c r="E16" i="61"/>
  <c r="F15" i="61"/>
  <c r="E15" i="61"/>
  <c r="F14" i="61"/>
  <c r="E14" i="61"/>
  <c r="F13" i="61"/>
  <c r="E13" i="61"/>
  <c r="F12" i="61"/>
  <c r="E12" i="61"/>
  <c r="F11" i="61"/>
  <c r="E11" i="61"/>
  <c r="C16" i="61"/>
  <c r="B16" i="61"/>
  <c r="C15" i="61"/>
  <c r="B15" i="61"/>
  <c r="C14" i="61"/>
  <c r="B14" i="61"/>
  <c r="C13" i="61"/>
  <c r="B13" i="61"/>
  <c r="C12" i="61"/>
  <c r="B12" i="61"/>
  <c r="C11" i="61"/>
  <c r="B11" i="61"/>
  <c r="A16" i="61"/>
  <c r="A15" i="61"/>
  <c r="A14" i="61"/>
  <c r="A13" i="61"/>
  <c r="A12" i="61"/>
  <c r="A11" i="61"/>
  <c r="F10" i="61"/>
  <c r="E10" i="61"/>
  <c r="C10" i="61"/>
  <c r="B10" i="61"/>
  <c r="B9" i="61" s="1"/>
  <c r="A10" i="61"/>
  <c r="C9" i="61" l="1"/>
  <c r="F9" i="61"/>
  <c r="E9" i="61"/>
  <c r="G26" i="71"/>
  <c r="F26" i="71"/>
  <c r="G22" i="71"/>
  <c r="F22" i="71"/>
  <c r="D26" i="71"/>
  <c r="D22" i="71"/>
  <c r="C26" i="71"/>
  <c r="C22" i="71"/>
  <c r="G16" i="71"/>
  <c r="F16" i="71"/>
  <c r="D16" i="71"/>
  <c r="C16" i="71"/>
  <c r="F35" i="70"/>
  <c r="G37" i="71" s="1"/>
  <c r="E35" i="70"/>
  <c r="F37" i="71" s="1"/>
  <c r="C35" i="70"/>
  <c r="D37" i="71" s="1"/>
  <c r="C34" i="70"/>
  <c r="D36" i="71" s="1"/>
  <c r="F74" i="70"/>
  <c r="E74" i="70"/>
  <c r="F73" i="70"/>
  <c r="E73" i="70"/>
  <c r="C74" i="70"/>
  <c r="D151" i="71" s="1"/>
  <c r="C73" i="70"/>
  <c r="D150" i="71" s="1"/>
  <c r="B74" i="70"/>
  <c r="B73" i="70"/>
  <c r="F34" i="70"/>
  <c r="G36" i="71" s="1"/>
  <c r="E34" i="70"/>
  <c r="F36" i="71" s="1"/>
  <c r="F33" i="70"/>
  <c r="G35" i="71" s="1"/>
  <c r="F35" i="71"/>
  <c r="F32" i="70"/>
  <c r="G34" i="71" s="1"/>
  <c r="E32" i="70"/>
  <c r="F34" i="71" s="1"/>
  <c r="F31" i="70"/>
  <c r="G33" i="71" s="1"/>
  <c r="F33" i="71"/>
  <c r="G32" i="71"/>
  <c r="F32" i="71"/>
  <c r="F29" i="70"/>
  <c r="G31" i="71" s="1"/>
  <c r="F31" i="71"/>
  <c r="F28" i="70"/>
  <c r="G30" i="71" s="1"/>
  <c r="F30" i="71"/>
  <c r="F27" i="70"/>
  <c r="E27" i="70"/>
  <c r="C33" i="70"/>
  <c r="D35" i="71" s="1"/>
  <c r="C32" i="70"/>
  <c r="D34" i="71" s="1"/>
  <c r="C31" i="70"/>
  <c r="D33" i="71" s="1"/>
  <c r="C30" i="70"/>
  <c r="D32" i="71" s="1"/>
  <c r="C29" i="70"/>
  <c r="D31" i="71" s="1"/>
  <c r="C28" i="70"/>
  <c r="D30" i="71" s="1"/>
  <c r="C27" i="70"/>
  <c r="B35" i="70"/>
  <c r="C37" i="71" s="1"/>
  <c r="B34" i="70"/>
  <c r="C36" i="71" s="1"/>
  <c r="B33" i="70"/>
  <c r="C35" i="71" s="1"/>
  <c r="B32" i="70"/>
  <c r="C34" i="71" s="1"/>
  <c r="B31" i="70"/>
  <c r="C33" i="71" s="1"/>
  <c r="B30" i="70"/>
  <c r="C32" i="71" s="1"/>
  <c r="B29" i="70"/>
  <c r="C31" i="71" s="1"/>
  <c r="B28" i="70"/>
  <c r="C29" i="71"/>
  <c r="F25" i="70"/>
  <c r="G27" i="71" s="1"/>
  <c r="E25" i="70"/>
  <c r="F27" i="71" s="1"/>
  <c r="F23" i="70"/>
  <c r="G25" i="71" s="1"/>
  <c r="E23" i="70"/>
  <c r="F25" i="71" s="1"/>
  <c r="F22" i="70"/>
  <c r="G24" i="71" s="1"/>
  <c r="E22" i="70"/>
  <c r="F24" i="71" s="1"/>
  <c r="F21" i="70"/>
  <c r="G23" i="71" s="1"/>
  <c r="E21" i="70"/>
  <c r="F23" i="71" s="1"/>
  <c r="F19" i="70"/>
  <c r="G21" i="71" s="1"/>
  <c r="E19" i="70"/>
  <c r="F21" i="71" s="1"/>
  <c r="F18" i="70"/>
  <c r="G20" i="71" s="1"/>
  <c r="E18" i="70"/>
  <c r="F20" i="71" s="1"/>
  <c r="F17" i="70"/>
  <c r="E17" i="70"/>
  <c r="C25" i="70"/>
  <c r="D27" i="71" s="1"/>
  <c r="C23" i="70"/>
  <c r="D25" i="71" s="1"/>
  <c r="C22" i="70"/>
  <c r="D24" i="71" s="1"/>
  <c r="C21" i="70"/>
  <c r="D23" i="71" s="1"/>
  <c r="C19" i="70"/>
  <c r="D21" i="71" s="1"/>
  <c r="C18" i="70"/>
  <c r="D20" i="71" s="1"/>
  <c r="C17" i="70"/>
  <c r="C27" i="71"/>
  <c r="B23" i="70"/>
  <c r="C25" i="71" s="1"/>
  <c r="B22" i="70"/>
  <c r="C24" i="71" s="1"/>
  <c r="B21" i="70"/>
  <c r="C23" i="71" s="1"/>
  <c r="B19" i="70"/>
  <c r="C21" i="71" s="1"/>
  <c r="B17" i="70"/>
  <c r="B18" i="70"/>
  <c r="C20" i="71" s="1"/>
  <c r="F15" i="70"/>
  <c r="G17" i="71" s="1"/>
  <c r="E15" i="70"/>
  <c r="F17" i="71" s="1"/>
  <c r="F13" i="70"/>
  <c r="G15" i="71" s="1"/>
  <c r="E13" i="70"/>
  <c r="F15" i="71" s="1"/>
  <c r="F12" i="70"/>
  <c r="G14" i="71" s="1"/>
  <c r="E12" i="70"/>
  <c r="F14" i="71" s="1"/>
  <c r="F11" i="70"/>
  <c r="G13" i="71" s="1"/>
  <c r="E11" i="70"/>
  <c r="F13" i="71" s="1"/>
  <c r="F10" i="70"/>
  <c r="G12" i="71" s="1"/>
  <c r="E10" i="70"/>
  <c r="F12" i="71" s="1"/>
  <c r="F9" i="70"/>
  <c r="E9" i="70"/>
  <c r="C15" i="70"/>
  <c r="D17" i="71" s="1"/>
  <c r="C13" i="70"/>
  <c r="D15" i="71" s="1"/>
  <c r="C12" i="70"/>
  <c r="D14" i="71" s="1"/>
  <c r="C11" i="70"/>
  <c r="D13" i="71" s="1"/>
  <c r="C10" i="70"/>
  <c r="D12" i="71" s="1"/>
  <c r="C9" i="70"/>
  <c r="D11" i="71" s="1"/>
  <c r="B15" i="70"/>
  <c r="C17" i="71" s="1"/>
  <c r="B13" i="70"/>
  <c r="C15" i="71" s="1"/>
  <c r="B12" i="70"/>
  <c r="C14" i="71" s="1"/>
  <c r="B11" i="70"/>
  <c r="C13" i="71" s="1"/>
  <c r="B10" i="70"/>
  <c r="C12" i="71" s="1"/>
  <c r="B9" i="70"/>
  <c r="D10" i="71" l="1"/>
  <c r="F8" i="70"/>
  <c r="B16" i="70"/>
  <c r="C26" i="70"/>
  <c r="F26" i="70"/>
  <c r="E8" i="70"/>
  <c r="E26" i="70"/>
  <c r="F16" i="70"/>
  <c r="B8" i="70"/>
  <c r="D8" i="70" s="1"/>
  <c r="E16" i="70"/>
  <c r="B26" i="70"/>
  <c r="C11" i="71"/>
  <c r="D19" i="71"/>
  <c r="C16" i="70"/>
  <c r="C19" i="71"/>
  <c r="C18" i="71" s="1"/>
  <c r="C30" i="71"/>
  <c r="C28" i="71" s="1"/>
  <c r="D29" i="71"/>
  <c r="D28" i="71" s="1"/>
  <c r="F11" i="71"/>
  <c r="F10" i="71" s="1"/>
  <c r="F29" i="71"/>
  <c r="F28" i="71" s="1"/>
  <c r="G19" i="71"/>
  <c r="G18" i="71" s="1"/>
  <c r="F19" i="71"/>
  <c r="F18" i="71" s="1"/>
  <c r="G11" i="71"/>
  <c r="G10" i="71" s="1"/>
  <c r="G29" i="71"/>
  <c r="G28" i="71" s="1"/>
  <c r="D26" i="70" l="1"/>
  <c r="D16" i="70"/>
  <c r="F9" i="65"/>
  <c r="E9" i="65" l="1"/>
  <c r="C9" i="65"/>
  <c r="F10" i="37"/>
  <c r="F14" i="37" s="1"/>
  <c r="E10" i="37"/>
  <c r="E14" i="37" s="1"/>
  <c r="C10" i="37"/>
  <c r="C14" i="37" s="1"/>
  <c r="B10" i="37"/>
  <c r="F25" i="62" l="1"/>
  <c r="E20" i="42"/>
  <c r="E23" i="72"/>
  <c r="E9" i="44"/>
  <c r="E13" i="45"/>
  <c r="B9" i="65"/>
  <c r="B8" i="37"/>
  <c r="B14" i="37" s="1"/>
  <c r="C9" i="54"/>
  <c r="H36" i="55"/>
  <c r="G36" i="55"/>
  <c r="E36" i="55"/>
  <c r="D36" i="55"/>
  <c r="H16" i="55"/>
  <c r="G16" i="55"/>
  <c r="E16" i="55"/>
  <c r="D16" i="55"/>
  <c r="H14" i="55"/>
  <c r="I14" i="55" s="1"/>
  <c r="G14" i="55"/>
  <c r="E14" i="55"/>
  <c r="G39" i="67"/>
  <c r="F39" i="67"/>
  <c r="D39" i="67"/>
  <c r="C39" i="67"/>
  <c r="G38" i="67"/>
  <c r="F38" i="67"/>
  <c r="D38" i="67"/>
  <c r="C38" i="67"/>
  <c r="G30" i="67"/>
  <c r="F30" i="67"/>
  <c r="D30" i="67"/>
  <c r="B20" i="42" l="1"/>
  <c r="C25" i="62"/>
  <c r="B23" i="72"/>
  <c r="B13" i="45"/>
  <c r="B9" i="44"/>
  <c r="C20" i="42"/>
  <c r="D25" i="62"/>
  <c r="C23" i="72"/>
  <c r="C13" i="45"/>
  <c r="C9" i="44"/>
  <c r="G25" i="62"/>
  <c r="F13" i="45"/>
  <c r="F20" i="42"/>
  <c r="F23" i="72"/>
  <c r="F9" i="44"/>
  <c r="F12" i="6"/>
  <c r="C29" i="2" l="1"/>
  <c r="A1" i="51" l="1"/>
  <c r="A1" i="85" l="1"/>
  <c r="A1" i="27"/>
  <c r="A1" i="54"/>
  <c r="B1" i="20"/>
  <c r="A1" i="32"/>
  <c r="A1" i="42"/>
  <c r="B1" i="19"/>
  <c r="A1" i="16"/>
  <c r="A1" i="24"/>
  <c r="A1" i="65"/>
  <c r="A1" i="62"/>
  <c r="A1" i="72"/>
  <c r="A1" i="45"/>
  <c r="A1" i="44"/>
  <c r="A1" i="61"/>
  <c r="A1" i="38"/>
  <c r="A1" i="37" l="1"/>
  <c r="A1" i="71"/>
  <c r="A1" i="70"/>
  <c r="A1" i="21"/>
  <c r="A1" i="55"/>
  <c r="A1" i="67"/>
  <c r="A1" i="13"/>
  <c r="A1" i="26"/>
  <c r="A1" i="53" l="1"/>
  <c r="A1" i="52"/>
  <c r="A1" i="75"/>
  <c r="A3" i="75"/>
  <c r="A1" i="6"/>
  <c r="A1" i="23"/>
  <c r="A1" i="74"/>
  <c r="A1" i="1"/>
  <c r="A3" i="23" l="1"/>
  <c r="E12" i="21" l="1"/>
  <c r="E11" i="21"/>
  <c r="E9" i="21"/>
  <c r="D74" i="85"/>
  <c r="F74" i="85" s="1"/>
  <c r="D60" i="85"/>
  <c r="F60" i="85" s="1"/>
  <c r="D46" i="85"/>
  <c r="F46" i="85" s="1"/>
  <c r="D29" i="85"/>
  <c r="D54" i="23" l="1"/>
  <c r="C54" i="23"/>
  <c r="D50" i="23"/>
  <c r="D49" i="23" s="1"/>
  <c r="C50" i="23"/>
  <c r="C49" i="23" s="1"/>
  <c r="G25" i="67" l="1"/>
  <c r="F25" i="67"/>
  <c r="D25" i="67"/>
  <c r="C25" i="67"/>
  <c r="G19" i="67"/>
  <c r="F19" i="67"/>
  <c r="C137" i="89" s="1"/>
  <c r="D19" i="67"/>
  <c r="C19" i="67"/>
  <c r="F9" i="42" l="1"/>
  <c r="E9" i="42"/>
  <c r="C9" i="42"/>
  <c r="B9" i="42"/>
  <c r="D9" i="42" l="1"/>
  <c r="G9" i="42" s="1"/>
  <c r="A1" i="80"/>
  <c r="A3" i="80" l="1"/>
  <c r="F38" i="80" l="1"/>
  <c r="F37" i="80"/>
  <c r="E36" i="80"/>
  <c r="F36" i="80" s="1"/>
  <c r="F34" i="80"/>
  <c r="F33" i="80"/>
  <c r="F32" i="80"/>
  <c r="F31" i="80"/>
  <c r="F30" i="80"/>
  <c r="D29" i="80"/>
  <c r="C29" i="80"/>
  <c r="F27" i="80"/>
  <c r="F26" i="80"/>
  <c r="F25" i="80"/>
  <c r="B24" i="80"/>
  <c r="F24" i="80" s="1"/>
  <c r="F20" i="80"/>
  <c r="F19" i="80"/>
  <c r="E18" i="80"/>
  <c r="F18" i="80" s="1"/>
  <c r="F16" i="80"/>
  <c r="F15" i="80"/>
  <c r="F14" i="80"/>
  <c r="F13" i="80"/>
  <c r="F12" i="80"/>
  <c r="D11" i="80"/>
  <c r="C11" i="80"/>
  <c r="C22" i="80" s="1"/>
  <c r="C40" i="80" s="1"/>
  <c r="F9" i="80"/>
  <c r="F8" i="80"/>
  <c r="F7" i="80"/>
  <c r="B6" i="80"/>
  <c r="B22" i="80" s="1"/>
  <c r="F29" i="80" l="1"/>
  <c r="E22" i="80"/>
  <c r="E40" i="80" s="1"/>
  <c r="F11" i="80"/>
  <c r="B40" i="80"/>
  <c r="D22" i="80"/>
  <c r="D40" i="80" s="1"/>
  <c r="F6" i="80"/>
  <c r="F40" i="80" l="1"/>
  <c r="F22" i="80"/>
  <c r="A4" i="62"/>
  <c r="H20" i="44"/>
  <c r="A4" i="61"/>
  <c r="J18" i="52"/>
  <c r="J17" i="52"/>
  <c r="A3" i="52"/>
  <c r="F28" i="75"/>
  <c r="E28" i="75"/>
  <c r="F23" i="75"/>
  <c r="E23" i="75"/>
  <c r="F14" i="75"/>
  <c r="E14" i="75"/>
  <c r="F9" i="75"/>
  <c r="E9" i="75"/>
  <c r="A3" i="74"/>
  <c r="C58" i="74"/>
  <c r="B58" i="74"/>
  <c r="C51" i="74"/>
  <c r="B51" i="74"/>
  <c r="C46" i="74"/>
  <c r="B46" i="74"/>
  <c r="C37" i="74"/>
  <c r="B37" i="74"/>
  <c r="C27" i="74"/>
  <c r="B27" i="74"/>
  <c r="C15" i="74"/>
  <c r="B15" i="74"/>
  <c r="C6" i="74"/>
  <c r="C5" i="74" s="1"/>
  <c r="B6" i="74"/>
  <c r="B5" i="74" l="1"/>
  <c r="C45" i="74"/>
  <c r="E20" i="75"/>
  <c r="E34" i="75"/>
  <c r="B26" i="74"/>
  <c r="F20" i="75"/>
  <c r="F34" i="75"/>
  <c r="C26" i="74"/>
  <c r="B45" i="74"/>
  <c r="A4" i="65"/>
  <c r="E38" i="75" l="1"/>
  <c r="F38" i="75"/>
  <c r="D43" i="72"/>
  <c r="G43" i="72" s="1"/>
  <c r="D42" i="72"/>
  <c r="G42" i="72" s="1"/>
  <c r="D41" i="72"/>
  <c r="G41" i="72" s="1"/>
  <c r="D40" i="72"/>
  <c r="G40" i="72" s="1"/>
  <c r="F39" i="72"/>
  <c r="E39" i="72"/>
  <c r="C39" i="72"/>
  <c r="B39" i="72"/>
  <c r="G38" i="72"/>
  <c r="D38" i="72"/>
  <c r="D37" i="72"/>
  <c r="G37" i="72" s="1"/>
  <c r="D36" i="72"/>
  <c r="G36" i="72" s="1"/>
  <c r="D35" i="72"/>
  <c r="G35" i="72" s="1"/>
  <c r="D34" i="72"/>
  <c r="G34" i="72" s="1"/>
  <c r="D33" i="72"/>
  <c r="G33" i="72" s="1"/>
  <c r="D32" i="72"/>
  <c r="G32" i="72" s="1"/>
  <c r="D31" i="72"/>
  <c r="G31" i="72" s="1"/>
  <c r="D30" i="72"/>
  <c r="G30" i="72" s="1"/>
  <c r="D29" i="72"/>
  <c r="G29" i="72" s="1"/>
  <c r="F28" i="72"/>
  <c r="E28" i="72"/>
  <c r="C28" i="72"/>
  <c r="B28" i="72"/>
  <c r="G27" i="72"/>
  <c r="D27" i="72"/>
  <c r="D26" i="72"/>
  <c r="G26" i="72" s="1"/>
  <c r="D25" i="72"/>
  <c r="G25" i="72" s="1"/>
  <c r="D24" i="72"/>
  <c r="G24" i="72" s="1"/>
  <c r="D23" i="72"/>
  <c r="G23" i="72" s="1"/>
  <c r="D22" i="72"/>
  <c r="G22" i="72" s="1"/>
  <c r="D21" i="72"/>
  <c r="G21" i="72" s="1"/>
  <c r="D20" i="72"/>
  <c r="G20" i="72" s="1"/>
  <c r="F19" i="72"/>
  <c r="E19" i="72"/>
  <c r="C19" i="72"/>
  <c r="B19" i="72"/>
  <c r="G18" i="72"/>
  <c r="D18" i="72"/>
  <c r="D17" i="72"/>
  <c r="G17" i="72" s="1"/>
  <c r="D16" i="72"/>
  <c r="G16" i="72" s="1"/>
  <c r="D15" i="72"/>
  <c r="G15" i="72" s="1"/>
  <c r="D14" i="72"/>
  <c r="G14" i="72" s="1"/>
  <c r="D13" i="72"/>
  <c r="G13" i="72" s="1"/>
  <c r="D12" i="72"/>
  <c r="G12" i="72" s="1"/>
  <c r="D11" i="72"/>
  <c r="G11" i="72" s="1"/>
  <c r="D10" i="72"/>
  <c r="G10" i="72" s="1"/>
  <c r="F9" i="72"/>
  <c r="E9" i="72"/>
  <c r="C9" i="72"/>
  <c r="B9" i="72"/>
  <c r="A4" i="72"/>
  <c r="E157" i="71"/>
  <c r="E156" i="71"/>
  <c r="H156" i="71" s="1"/>
  <c r="E155" i="71"/>
  <c r="H155" i="71" s="1"/>
  <c r="E154" i="71"/>
  <c r="H154" i="71" s="1"/>
  <c r="E153" i="71"/>
  <c r="H153" i="71" s="1"/>
  <c r="E152" i="71"/>
  <c r="E151" i="71"/>
  <c r="H151" i="71" s="1"/>
  <c r="E150" i="71"/>
  <c r="H150" i="71" s="1"/>
  <c r="G149" i="71"/>
  <c r="F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58" i="71"/>
  <c r="D58" i="71"/>
  <c r="C58" i="71"/>
  <c r="E57" i="71"/>
  <c r="H57" i="71" s="1"/>
  <c r="E56" i="71"/>
  <c r="H56" i="71" s="1"/>
  <c r="E55" i="71"/>
  <c r="H55" i="71" s="1"/>
  <c r="E54" i="71"/>
  <c r="H54" i="71" s="1"/>
  <c r="E53" i="71"/>
  <c r="H53" i="71" s="1"/>
  <c r="E52" i="71"/>
  <c r="E51" i="71"/>
  <c r="H51" i="71" s="1"/>
  <c r="E50" i="71"/>
  <c r="H50" i="71" s="1"/>
  <c r="E49" i="71"/>
  <c r="H49" i="71" s="1"/>
  <c r="G48" i="71"/>
  <c r="F48" i="71"/>
  <c r="D48" i="7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E27" i="71"/>
  <c r="H27" i="71" s="1"/>
  <c r="E26" i="71"/>
  <c r="H26" i="71" s="1"/>
  <c r="E25" i="71"/>
  <c r="H25" i="71" s="1"/>
  <c r="E24" i="71"/>
  <c r="H24" i="71" s="1"/>
  <c r="E23" i="71"/>
  <c r="H23" i="71" s="1"/>
  <c r="E22" i="71"/>
  <c r="E21" i="71"/>
  <c r="H21" i="71" s="1"/>
  <c r="E20" i="71"/>
  <c r="H20" i="71" s="1"/>
  <c r="E19" i="71"/>
  <c r="D18" i="71"/>
  <c r="E17" i="71"/>
  <c r="H17" i="71" s="1"/>
  <c r="E16" i="71"/>
  <c r="H16" i="71" s="1"/>
  <c r="E15" i="71"/>
  <c r="H15" i="71" s="1"/>
  <c r="E14" i="71"/>
  <c r="H14" i="71" s="1"/>
  <c r="E13" i="71"/>
  <c r="H13" i="71" s="1"/>
  <c r="E12" i="71"/>
  <c r="H12" i="71" s="1"/>
  <c r="E11" i="71"/>
  <c r="C10" i="71"/>
  <c r="C9" i="71" s="1"/>
  <c r="D9" i="71" l="1"/>
  <c r="F9" i="71"/>
  <c r="G9" i="71"/>
  <c r="E10" i="71"/>
  <c r="H19" i="71"/>
  <c r="E18" i="71"/>
  <c r="E28" i="71"/>
  <c r="H11" i="71"/>
  <c r="H10" i="71" s="1"/>
  <c r="H29" i="71"/>
  <c r="E44" i="72"/>
  <c r="D28" i="72"/>
  <c r="G28" i="72" s="1"/>
  <c r="D9" i="72"/>
  <c r="G9" i="72" s="1"/>
  <c r="C44" i="72"/>
  <c r="F83" i="71"/>
  <c r="E38" i="71"/>
  <c r="G83" i="71"/>
  <c r="H71" i="71"/>
  <c r="E145" i="71"/>
  <c r="D19" i="72"/>
  <c r="G19" i="72" s="1"/>
  <c r="D39" i="72"/>
  <c r="G39" i="72" s="1"/>
  <c r="E48" i="71"/>
  <c r="H58" i="71"/>
  <c r="H75" i="71"/>
  <c r="D83" i="71"/>
  <c r="H122" i="71"/>
  <c r="E71" i="71"/>
  <c r="E84" i="71"/>
  <c r="F44" i="72"/>
  <c r="H112" i="71"/>
  <c r="E58" i="71"/>
  <c r="C83" i="71"/>
  <c r="C158" i="71" s="1"/>
  <c r="E136" i="71"/>
  <c r="B44" i="72"/>
  <c r="H132" i="71"/>
  <c r="H62" i="71"/>
  <c r="H92" i="71"/>
  <c r="H102" i="71"/>
  <c r="H88" i="71"/>
  <c r="H84" i="71" s="1"/>
  <c r="H140" i="71"/>
  <c r="H136" i="71" s="1"/>
  <c r="H146" i="71"/>
  <c r="H145" i="71" s="1"/>
  <c r="H152" i="71"/>
  <c r="E62" i="71"/>
  <c r="E92" i="71"/>
  <c r="E102" i="71"/>
  <c r="E112" i="71"/>
  <c r="E122" i="71"/>
  <c r="E132" i="71"/>
  <c r="E75" i="71"/>
  <c r="H22" i="71"/>
  <c r="H32" i="71"/>
  <c r="H42" i="71"/>
  <c r="H38" i="71" s="1"/>
  <c r="H52" i="71"/>
  <c r="H48" i="71" s="1"/>
  <c r="D79" i="70"/>
  <c r="G79" i="70" s="1"/>
  <c r="D78" i="70"/>
  <c r="G78" i="70" s="1"/>
  <c r="D77" i="70"/>
  <c r="G77" i="70" s="1"/>
  <c r="D76" i="70"/>
  <c r="G76" i="70" s="1"/>
  <c r="D75" i="70"/>
  <c r="G75" i="70" s="1"/>
  <c r="D74" i="70"/>
  <c r="G74" i="70" s="1"/>
  <c r="D73" i="70"/>
  <c r="G73" i="70" s="1"/>
  <c r="F72" i="70"/>
  <c r="E72" i="70"/>
  <c r="C72" i="70"/>
  <c r="B72" i="70"/>
  <c r="D71" i="70"/>
  <c r="G71" i="70" s="1"/>
  <c r="D70" i="70"/>
  <c r="G70" i="70" s="1"/>
  <c r="D69" i="70"/>
  <c r="G69" i="70" s="1"/>
  <c r="F68" i="70"/>
  <c r="E68" i="70"/>
  <c r="C68" i="70"/>
  <c r="B68" i="70"/>
  <c r="D67" i="70"/>
  <c r="G67" i="70" s="1"/>
  <c r="D66" i="70"/>
  <c r="G66" i="70" s="1"/>
  <c r="D65" i="70"/>
  <c r="G65" i="70" s="1"/>
  <c r="D64" i="70"/>
  <c r="G64" i="70" s="1"/>
  <c r="D63" i="70"/>
  <c r="G63" i="70" s="1"/>
  <c r="D62" i="70"/>
  <c r="G62" i="70" s="1"/>
  <c r="D61" i="70"/>
  <c r="G61" i="70" s="1"/>
  <c r="F60" i="70"/>
  <c r="E60" i="70"/>
  <c r="C60" i="70"/>
  <c r="B60" i="70"/>
  <c r="D59" i="70"/>
  <c r="G59" i="70" s="1"/>
  <c r="D58" i="70"/>
  <c r="G58" i="70" s="1"/>
  <c r="D57" i="70"/>
  <c r="G57" i="70" s="1"/>
  <c r="F56" i="70"/>
  <c r="E56" i="70"/>
  <c r="C56" i="70"/>
  <c r="B56" i="70"/>
  <c r="D55" i="70"/>
  <c r="G55" i="70" s="1"/>
  <c r="D54" i="70"/>
  <c r="G54" i="70" s="1"/>
  <c r="G53" i="70"/>
  <c r="G52" i="70"/>
  <c r="G51" i="70"/>
  <c r="D50" i="70"/>
  <c r="G50" i="70" s="1"/>
  <c r="D49" i="70"/>
  <c r="G49" i="70" s="1"/>
  <c r="D48" i="70"/>
  <c r="G48" i="70" s="1"/>
  <c r="D47" i="70"/>
  <c r="G47" i="70" s="1"/>
  <c r="B46" i="70"/>
  <c r="D45" i="70"/>
  <c r="G45" i="70" s="1"/>
  <c r="D44" i="70"/>
  <c r="G44" i="70" s="1"/>
  <c r="D43" i="70"/>
  <c r="G43" i="70" s="1"/>
  <c r="D42" i="70"/>
  <c r="G42" i="70" s="1"/>
  <c r="D41" i="70"/>
  <c r="G41" i="70" s="1"/>
  <c r="D40" i="70"/>
  <c r="G40" i="70" s="1"/>
  <c r="D39" i="70"/>
  <c r="G39" i="70" s="1"/>
  <c r="D38" i="70"/>
  <c r="G38" i="70" s="1"/>
  <c r="D37" i="70"/>
  <c r="G37" i="70" s="1"/>
  <c r="F36" i="70"/>
  <c r="E36" i="70"/>
  <c r="C36" i="70"/>
  <c r="B36" i="70"/>
  <c r="D35" i="70"/>
  <c r="G35" i="70" s="1"/>
  <c r="D34" i="70"/>
  <c r="G34" i="70" s="1"/>
  <c r="D33" i="70"/>
  <c r="G33" i="70" s="1"/>
  <c r="D32" i="70"/>
  <c r="G32" i="70" s="1"/>
  <c r="D31" i="70"/>
  <c r="G31" i="70" s="1"/>
  <c r="D30" i="70"/>
  <c r="G30" i="70" s="1"/>
  <c r="D29" i="70"/>
  <c r="G29" i="70" s="1"/>
  <c r="D28" i="70"/>
  <c r="G28" i="70" s="1"/>
  <c r="D27" i="70"/>
  <c r="G27" i="70" s="1"/>
  <c r="D25" i="70"/>
  <c r="G25" i="70" s="1"/>
  <c r="D24" i="70"/>
  <c r="G24" i="70" s="1"/>
  <c r="D23" i="70"/>
  <c r="G23" i="70" s="1"/>
  <c r="D22" i="70"/>
  <c r="G22" i="70" s="1"/>
  <c r="D21" i="70"/>
  <c r="G21" i="70" s="1"/>
  <c r="G20" i="70"/>
  <c r="D19" i="70"/>
  <c r="G19" i="70" s="1"/>
  <c r="D18" i="70"/>
  <c r="G18" i="70" s="1"/>
  <c r="D17" i="70"/>
  <c r="G17" i="70" s="1"/>
  <c r="D15" i="70"/>
  <c r="G15" i="70" s="1"/>
  <c r="D14" i="70"/>
  <c r="G14" i="70" s="1"/>
  <c r="D13" i="70"/>
  <c r="G13" i="70" s="1"/>
  <c r="D12" i="70"/>
  <c r="G12" i="70" s="1"/>
  <c r="D11" i="70"/>
  <c r="G11" i="70" s="1"/>
  <c r="D10" i="70"/>
  <c r="G10" i="70" s="1"/>
  <c r="D9" i="70"/>
  <c r="G9" i="70" s="1"/>
  <c r="A4" i="70"/>
  <c r="B80" i="70" l="1"/>
  <c r="E9" i="71"/>
  <c r="H18" i="71"/>
  <c r="F80" i="70"/>
  <c r="G158" i="71"/>
  <c r="F158" i="71"/>
  <c r="C80" i="70"/>
  <c r="H28" i="71"/>
  <c r="E80" i="70"/>
  <c r="C5" i="24" s="1"/>
  <c r="D68" i="70"/>
  <c r="G68" i="70" s="1"/>
  <c r="D46" i="70"/>
  <c r="G46" i="70" s="1"/>
  <c r="D60" i="70"/>
  <c r="G60" i="70" s="1"/>
  <c r="G26" i="70"/>
  <c r="D72" i="70"/>
  <c r="G72" i="70" s="1"/>
  <c r="G16" i="70"/>
  <c r="D56" i="70"/>
  <c r="G56" i="70" s="1"/>
  <c r="D44" i="72"/>
  <c r="G44" i="72" s="1"/>
  <c r="D36" i="70"/>
  <c r="G36" i="70" s="1"/>
  <c r="E83" i="71"/>
  <c r="H83" i="71"/>
  <c r="G8" i="70"/>
  <c r="H9" i="71" l="1"/>
  <c r="H158" i="71" s="1"/>
  <c r="E158" i="71"/>
  <c r="H44" i="72"/>
  <c r="D80" i="70"/>
  <c r="G80" i="70" s="1"/>
  <c r="H46" i="72"/>
  <c r="H45" i="72"/>
  <c r="H47" i="72"/>
  <c r="I159" i="71"/>
  <c r="I154" i="71"/>
  <c r="I155" i="71"/>
  <c r="I158" i="71"/>
  <c r="D5" i="24" l="1"/>
  <c r="I156" i="71"/>
  <c r="I66" i="55"/>
  <c r="I67" i="55"/>
  <c r="I12" i="55"/>
  <c r="H28" i="67"/>
  <c r="F66" i="55"/>
  <c r="F67" i="55"/>
  <c r="F12" i="55"/>
  <c r="E28" i="67"/>
  <c r="A3" i="67"/>
  <c r="G35" i="67"/>
  <c r="G41" i="67"/>
  <c r="C35" i="67"/>
  <c r="C41" i="67"/>
  <c r="H26" i="67"/>
  <c r="H29" i="67"/>
  <c r="H30" i="67"/>
  <c r="H31" i="67"/>
  <c r="H32" i="67"/>
  <c r="H33" i="67"/>
  <c r="H36" i="67"/>
  <c r="H38" i="67"/>
  <c r="H39" i="67"/>
  <c r="H42" i="67"/>
  <c r="H41" i="67" s="1"/>
  <c r="F35" i="67"/>
  <c r="F41" i="67"/>
  <c r="E26" i="67"/>
  <c r="E29" i="67"/>
  <c r="E30" i="67"/>
  <c r="E31" i="67"/>
  <c r="E32" i="67"/>
  <c r="E33" i="67"/>
  <c r="E36" i="67"/>
  <c r="E38"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G23" i="65" s="1"/>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B30" i="51"/>
  <c r="C76" i="62"/>
  <c r="B8" i="51"/>
  <c r="D28" i="61"/>
  <c r="G28" i="61" s="1"/>
  <c r="D27" i="61"/>
  <c r="G27" i="61" s="1"/>
  <c r="D26" i="61"/>
  <c r="G26" i="61" s="1"/>
  <c r="D25" i="61"/>
  <c r="D24" i="61"/>
  <c r="G24" i="61" s="1"/>
  <c r="D23" i="61"/>
  <c r="G23" i="61" s="1"/>
  <c r="D22" i="61"/>
  <c r="G22" i="61" s="1"/>
  <c r="D21" i="61"/>
  <c r="G17" i="61"/>
  <c r="D16" i="61"/>
  <c r="G16" i="61" s="1"/>
  <c r="D15" i="61"/>
  <c r="G15" i="61" s="1"/>
  <c r="D14" i="61"/>
  <c r="G14" i="61" s="1"/>
  <c r="D13" i="61"/>
  <c r="G13" i="61" s="1"/>
  <c r="D12" i="61"/>
  <c r="G12" i="61" s="1"/>
  <c r="D11" i="61"/>
  <c r="G11" i="61" s="1"/>
  <c r="D10" i="6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H53" i="62" s="1"/>
  <c r="E52" i="62"/>
  <c r="H52" i="62" s="1"/>
  <c r="E51" i="62"/>
  <c r="H51" i="62" s="1"/>
  <c r="E50" i="62"/>
  <c r="H50" i="62" s="1"/>
  <c r="E49" i="62"/>
  <c r="H49" i="62" s="1"/>
  <c r="E48" i="62"/>
  <c r="H48" i="62" s="1"/>
  <c r="E44" i="62"/>
  <c r="H44" i="62" s="1"/>
  <c r="E43" i="62"/>
  <c r="H43" i="62" s="1"/>
  <c r="E42" i="62"/>
  <c r="H42" i="62" s="1"/>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H25" i="62" s="1"/>
  <c r="E24" i="62"/>
  <c r="H24" i="62" s="1"/>
  <c r="E23" i="62"/>
  <c r="H23" i="62" s="1"/>
  <c r="E21" i="62"/>
  <c r="H21" i="62" s="1"/>
  <c r="E22" i="62"/>
  <c r="H22" i="62" s="1"/>
  <c r="E18" i="62"/>
  <c r="H18" i="62" s="1"/>
  <c r="E17" i="62"/>
  <c r="H17" i="62" s="1"/>
  <c r="E16" i="62"/>
  <c r="H16" i="62" s="1"/>
  <c r="E15" i="62"/>
  <c r="H15" i="62" s="1"/>
  <c r="E14" i="62"/>
  <c r="H14" i="62" s="1"/>
  <c r="E13" i="62"/>
  <c r="H13" i="62" s="1"/>
  <c r="E11" i="62"/>
  <c r="H11" i="62" s="1"/>
  <c r="E12" i="62"/>
  <c r="F11" i="55"/>
  <c r="D17" i="55"/>
  <c r="I17" i="55" s="1"/>
  <c r="G41" i="51"/>
  <c r="F41" i="51"/>
  <c r="F19" i="52"/>
  <c r="F26" i="51"/>
  <c r="C24" i="51"/>
  <c r="C16" i="51"/>
  <c r="E44" i="54"/>
  <c r="F46" i="54" s="1"/>
  <c r="D44" i="54"/>
  <c r="F45" i="54" s="1"/>
  <c r="C44" i="54"/>
  <c r="F44" i="54" s="1"/>
  <c r="E41" i="54"/>
  <c r="F43" i="54" s="1"/>
  <c r="D41" i="54"/>
  <c r="F42" i="54" s="1"/>
  <c r="C41" i="54"/>
  <c r="F41" i="54" s="1"/>
  <c r="E31" i="54"/>
  <c r="D31" i="54"/>
  <c r="F32" i="54" s="1"/>
  <c r="E9" i="54"/>
  <c r="E8" i="20"/>
  <c r="E14" i="54"/>
  <c r="D14" i="54"/>
  <c r="C14" i="54"/>
  <c r="C11" i="20"/>
  <c r="F11" i="20" s="1"/>
  <c r="D9" i="54"/>
  <c r="D8" i="20"/>
  <c r="C8" i="20"/>
  <c r="C10" i="62"/>
  <c r="C20" i="62"/>
  <c r="C29" i="62"/>
  <c r="C40" i="62"/>
  <c r="C47" i="62"/>
  <c r="C57" i="62"/>
  <c r="C65" i="62"/>
  <c r="G10" i="62"/>
  <c r="G20" i="62"/>
  <c r="G29" i="62"/>
  <c r="G40" i="62"/>
  <c r="G47" i="62"/>
  <c r="G57" i="62"/>
  <c r="G65" i="62"/>
  <c r="G76" i="62"/>
  <c r="F10" i="62"/>
  <c r="F20" i="62"/>
  <c r="F29" i="62"/>
  <c r="F40" i="62"/>
  <c r="F47" i="62"/>
  <c r="F57" i="62"/>
  <c r="F65" i="62"/>
  <c r="F76" i="62"/>
  <c r="D10" i="62"/>
  <c r="D20" i="62"/>
  <c r="D29" i="62"/>
  <c r="D40" i="62"/>
  <c r="D47" i="62"/>
  <c r="D57" i="62"/>
  <c r="D65" i="62"/>
  <c r="D76" i="62"/>
  <c r="C20" i="61"/>
  <c r="C30" i="61" s="1"/>
  <c r="H32" i="38"/>
  <c r="H31" i="38"/>
  <c r="F20" i="61"/>
  <c r="H35" i="38"/>
  <c r="D9" i="52"/>
  <c r="D13" i="52"/>
  <c r="E9" i="52"/>
  <c r="E13" i="52"/>
  <c r="F9" i="52"/>
  <c r="F13" i="52"/>
  <c r="F37" i="51"/>
  <c r="F30" i="51"/>
  <c r="F22" i="51"/>
  <c r="F18" i="51"/>
  <c r="F54" i="51"/>
  <c r="F58" i="51"/>
  <c r="F44" i="2"/>
  <c r="F34" i="2"/>
  <c r="F29" i="2"/>
  <c r="F16" i="2"/>
  <c r="G37" i="51"/>
  <c r="G30" i="51"/>
  <c r="G26" i="51"/>
  <c r="G22" i="51"/>
  <c r="G8" i="51"/>
  <c r="G54" i="51"/>
  <c r="G58" i="51"/>
  <c r="G62" i="51"/>
  <c r="G68" i="51"/>
  <c r="G44" i="2"/>
  <c r="G34" i="2"/>
  <c r="G29" i="2"/>
  <c r="G16" i="2"/>
  <c r="B40" i="51"/>
  <c r="B37" i="51"/>
  <c r="B24" i="51"/>
  <c r="B16" i="51"/>
  <c r="D18" i="6"/>
  <c r="E18" i="6"/>
  <c r="C37" i="51"/>
  <c r="C45" i="51" s="1"/>
  <c r="C8" i="51"/>
  <c r="G25" i="61"/>
  <c r="E20" i="61"/>
  <c r="B20" i="61"/>
  <c r="I13" i="52"/>
  <c r="K17" i="53"/>
  <c r="K16" i="53"/>
  <c r="K15" i="53"/>
  <c r="K14" i="53"/>
  <c r="K11" i="53"/>
  <c r="K10" i="53"/>
  <c r="K9" i="53"/>
  <c r="K8" i="53"/>
  <c r="F10" i="55"/>
  <c r="H39" i="55"/>
  <c r="G39" i="55"/>
  <c r="E39" i="55"/>
  <c r="D39" i="55"/>
  <c r="J13" i="53"/>
  <c r="I13" i="53"/>
  <c r="H13" i="53"/>
  <c r="G13" i="53"/>
  <c r="F13" i="53"/>
  <c r="F7" i="53"/>
  <c r="E13" i="53"/>
  <c r="D13" i="53"/>
  <c r="C13" i="53"/>
  <c r="B13" i="53"/>
  <c r="J7" i="53"/>
  <c r="I7" i="53"/>
  <c r="I19" i="53" s="1"/>
  <c r="H7" i="53"/>
  <c r="H19" i="53" s="1"/>
  <c r="G7" i="53"/>
  <c r="G19" i="53" s="1"/>
  <c r="E7" i="53"/>
  <c r="E19" i="53" s="1"/>
  <c r="D7" i="53"/>
  <c r="C7" i="53"/>
  <c r="B7" i="53"/>
  <c r="B19" i="53" s="1"/>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19" i="55"/>
  <c r="I16" i="55"/>
  <c r="I15"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D8" i="38"/>
  <c r="G8" i="38" s="1"/>
  <c r="G9" i="38"/>
  <c r="D11" i="38"/>
  <c r="G11" i="38" s="1"/>
  <c r="D12" i="38"/>
  <c r="G12" i="38" s="1"/>
  <c r="D13" i="38"/>
  <c r="G13" i="38" s="1"/>
  <c r="D14" i="38"/>
  <c r="G14" i="38" s="1"/>
  <c r="D15" i="38"/>
  <c r="G15" i="38" s="1"/>
  <c r="D16" i="38"/>
  <c r="G16" i="38" s="1"/>
  <c r="D17" i="38"/>
  <c r="D25" i="38"/>
  <c r="D26" i="38"/>
  <c r="D27" i="38"/>
  <c r="D28" i="38"/>
  <c r="D29" i="38"/>
  <c r="D30" i="38"/>
  <c r="D18" i="38"/>
  <c r="D19" i="38"/>
  <c r="D20" i="38"/>
  <c r="D21" i="38"/>
  <c r="D22" i="38"/>
  <c r="D23" i="38"/>
  <c r="D24" i="38"/>
  <c r="A3" i="27"/>
  <c r="A3" i="20"/>
  <c r="A3" i="32"/>
  <c r="A3" i="42"/>
  <c r="B3" i="19"/>
  <c r="A3" i="16"/>
  <c r="A4" i="45"/>
  <c r="A4" i="44"/>
  <c r="A4" i="38"/>
  <c r="A4" i="37"/>
  <c r="A3" i="6"/>
  <c r="A3" i="24"/>
  <c r="A3" i="21"/>
  <c r="A3" i="13"/>
  <c r="A3" i="26"/>
  <c r="G18" i="38"/>
  <c r="G19" i="38"/>
  <c r="G20" i="38"/>
  <c r="G21" i="38"/>
  <c r="G22" i="38"/>
  <c r="G23" i="38"/>
  <c r="G24" i="38"/>
  <c r="G25" i="38"/>
  <c r="G26" i="38"/>
  <c r="G27" i="38"/>
  <c r="G28" i="38"/>
  <c r="G29" i="38"/>
  <c r="G30" i="38"/>
  <c r="G17" i="38"/>
  <c r="D38" i="42"/>
  <c r="G38" i="42" s="1"/>
  <c r="D37" i="42"/>
  <c r="G37" i="42" s="1"/>
  <c r="D36" i="42"/>
  <c r="G36" i="42" s="1"/>
  <c r="F22" i="45"/>
  <c r="H26" i="45" s="1"/>
  <c r="E22" i="45"/>
  <c r="H25" i="45" s="1"/>
  <c r="C22" i="45"/>
  <c r="H23" i="45" s="1"/>
  <c r="B22" i="45"/>
  <c r="H22" i="45" s="1"/>
  <c r="D58" i="1"/>
  <c r="C58" i="1"/>
  <c r="C51" i="1"/>
  <c r="C45" i="1"/>
  <c r="F19" i="20" s="1"/>
  <c r="C31" i="1"/>
  <c r="C27" i="1"/>
  <c r="C41" i="1"/>
  <c r="C8" i="24"/>
  <c r="C32" i="24"/>
  <c r="D51" i="1"/>
  <c r="D45" i="1"/>
  <c r="D31" i="1"/>
  <c r="D27" i="1"/>
  <c r="D41" i="1"/>
  <c r="D15" i="1"/>
  <c r="D7" i="1"/>
  <c r="C18" i="1"/>
  <c r="C15"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G31" i="42" s="1"/>
  <c r="D30" i="42"/>
  <c r="G30" i="42" s="1"/>
  <c r="D33" i="42"/>
  <c r="G33" i="42" s="1"/>
  <c r="F34" i="42"/>
  <c r="E34" i="42"/>
  <c r="C34" i="42"/>
  <c r="B34" i="42"/>
  <c r="F29" i="42"/>
  <c r="E29" i="42"/>
  <c r="C29" i="42"/>
  <c r="B29" i="42"/>
  <c r="F26" i="42"/>
  <c r="E26" i="42"/>
  <c r="C26" i="42"/>
  <c r="B26" i="42"/>
  <c r="F22" i="42"/>
  <c r="E22" i="42"/>
  <c r="C22" i="42"/>
  <c r="B22" i="42"/>
  <c r="F13" i="42"/>
  <c r="E13" i="42"/>
  <c r="C13" i="42"/>
  <c r="B13" i="42"/>
  <c r="B39" i="42" s="1"/>
  <c r="H39" i="42" s="1"/>
  <c r="F39" i="42"/>
  <c r="H43" i="42" s="1"/>
  <c r="D34" i="24"/>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0" i="45"/>
  <c r="G12" i="45"/>
  <c r="G14" i="45"/>
  <c r="G16" i="45"/>
  <c r="G18" i="45"/>
  <c r="G20" i="45"/>
  <c r="D10" i="45"/>
  <c r="D11" i="45"/>
  <c r="G11" i="45" s="1"/>
  <c r="D12" i="45"/>
  <c r="D13" i="45"/>
  <c r="G13" i="45" s="1"/>
  <c r="D14" i="45"/>
  <c r="D15" i="45"/>
  <c r="G15" i="45" s="1"/>
  <c r="D16" i="45"/>
  <c r="D17" i="45"/>
  <c r="G17" i="45" s="1"/>
  <c r="D18" i="45"/>
  <c r="D19" i="45"/>
  <c r="G19" i="45" s="1"/>
  <c r="D20" i="45"/>
  <c r="D21" i="45"/>
  <c r="G21" i="45" s="1"/>
  <c r="D9" i="45"/>
  <c r="F14" i="44"/>
  <c r="H18" i="44" s="1"/>
  <c r="E14" i="44"/>
  <c r="H17" i="44" s="1"/>
  <c r="C14" i="44"/>
  <c r="H15" i="44" s="1"/>
  <c r="B14" i="44"/>
  <c r="H14" i="44" s="1"/>
  <c r="D10" i="44"/>
  <c r="G10" i="44" s="1"/>
  <c r="D11" i="44"/>
  <c r="G11" i="44" s="1"/>
  <c r="D12" i="44"/>
  <c r="G12" i="44" s="1"/>
  <c r="D9" i="44"/>
  <c r="G9" i="44" s="1"/>
  <c r="H34" i="38"/>
  <c r="F26" i="6"/>
  <c r="G26" i="6" s="1"/>
  <c r="F27" i="6"/>
  <c r="G27" i="6" s="1"/>
  <c r="F25" i="6"/>
  <c r="G25" i="6" s="1"/>
  <c r="F24" i="6"/>
  <c r="G24" i="6" s="1"/>
  <c r="F23" i="6"/>
  <c r="G23" i="6" s="1"/>
  <c r="F22" i="6"/>
  <c r="G22" i="6" s="1"/>
  <c r="F21" i="6"/>
  <c r="G21" i="6" s="1"/>
  <c r="F20" i="6"/>
  <c r="G20" i="6" s="1"/>
  <c r="F19" i="6"/>
  <c r="G19" i="6" s="1"/>
  <c r="F11" i="6"/>
  <c r="G11" i="6" s="1"/>
  <c r="G12" i="6"/>
  <c r="F13" i="6"/>
  <c r="G13" i="6" s="1"/>
  <c r="F14" i="6"/>
  <c r="G14" i="6" s="1"/>
  <c r="F15" i="6"/>
  <c r="G15" i="6" s="1"/>
  <c r="F16" i="6"/>
  <c r="G16" i="6" s="1"/>
  <c r="F10" i="6"/>
  <c r="G10" i="6" s="1"/>
  <c r="G9" i="45"/>
  <c r="H14" i="37"/>
  <c r="D12" i="37"/>
  <c r="G12" i="37" s="1"/>
  <c r="D11" i="37"/>
  <c r="G11" i="37" s="1"/>
  <c r="D10" i="37"/>
  <c r="G10" i="37" s="1"/>
  <c r="D9" i="37"/>
  <c r="G9" i="37" s="1"/>
  <c r="D8" i="37"/>
  <c r="G8" i="37" s="1"/>
  <c r="D8" i="21"/>
  <c r="D17" i="21"/>
  <c r="C7" i="6"/>
  <c r="D38" i="23"/>
  <c r="D42" i="23"/>
  <c r="C38" i="23"/>
  <c r="C42" i="23"/>
  <c r="D24" i="1" l="1"/>
  <c r="C24" i="1"/>
  <c r="D7" i="6"/>
  <c r="F18" i="6"/>
  <c r="F7" i="6" s="1"/>
  <c r="F45" i="51"/>
  <c r="B45" i="51"/>
  <c r="B58" i="51" s="1"/>
  <c r="C41" i="24"/>
  <c r="D9" i="61"/>
  <c r="C61" i="1"/>
  <c r="G43" i="55"/>
  <c r="F71" i="51"/>
  <c r="D61" i="1"/>
  <c r="D63" i="1" s="1"/>
  <c r="D22" i="54"/>
  <c r="D24" i="54" s="1"/>
  <c r="D26" i="54" s="1"/>
  <c r="D35" i="54" s="1"/>
  <c r="G71" i="51"/>
  <c r="H20" i="62"/>
  <c r="G10" i="61"/>
  <c r="K7" i="53"/>
  <c r="H8" i="52"/>
  <c r="H18" i="52" s="1"/>
  <c r="I8" i="52"/>
  <c r="I18" i="52" s="1"/>
  <c r="G19" i="52"/>
  <c r="F79" i="55"/>
  <c r="D59" i="54"/>
  <c r="D67" i="54" s="1"/>
  <c r="D69" i="54" s="1"/>
  <c r="E8" i="52"/>
  <c r="E18" i="52" s="1"/>
  <c r="C58" i="51"/>
  <c r="F8" i="52"/>
  <c r="F18" i="52" s="1"/>
  <c r="D8" i="52"/>
  <c r="D18" i="52" s="1"/>
  <c r="E22" i="54"/>
  <c r="E24" i="54" s="1"/>
  <c r="E26" i="54" s="1"/>
  <c r="E35" i="54" s="1"/>
  <c r="F49" i="55"/>
  <c r="F69" i="55" s="1"/>
  <c r="D46" i="62"/>
  <c r="E57" i="62"/>
  <c r="G35" i="42"/>
  <c r="G34" i="42" s="1"/>
  <c r="I79" i="55"/>
  <c r="C9" i="62"/>
  <c r="I49" i="55"/>
  <c r="E43" i="55"/>
  <c r="H28" i="37"/>
  <c r="H18" i="37"/>
  <c r="H25" i="37"/>
  <c r="H15" i="37"/>
  <c r="H17" i="37"/>
  <c r="I157" i="71"/>
  <c r="I39" i="55"/>
  <c r="E69" i="55"/>
  <c r="F30" i="55"/>
  <c r="I30" i="55"/>
  <c r="G9" i="52"/>
  <c r="J10" i="52" s="1"/>
  <c r="G18" i="6"/>
  <c r="D9" i="62"/>
  <c r="D46" i="23"/>
  <c r="D59" i="23"/>
  <c r="E47" i="62"/>
  <c r="G13" i="52"/>
  <c r="J14" i="52" s="1"/>
  <c r="I63" i="55"/>
  <c r="C31" i="16"/>
  <c r="D26" i="42"/>
  <c r="H57" i="62"/>
  <c r="E85" i="54"/>
  <c r="E87" i="54" s="1"/>
  <c r="J19" i="53"/>
  <c r="K19" i="53" s="1"/>
  <c r="G45" i="51"/>
  <c r="G56" i="51" s="1"/>
  <c r="F9" i="62"/>
  <c r="G46" i="62"/>
  <c r="G9" i="62"/>
  <c r="C46" i="62"/>
  <c r="H25" i="67"/>
  <c r="E25" i="67"/>
  <c r="E19" i="67"/>
  <c r="H35" i="67"/>
  <c r="F48" i="2"/>
  <c r="E40" i="62"/>
  <c r="D22" i="42"/>
  <c r="K13" i="53"/>
  <c r="G27" i="42"/>
  <c r="G26" i="42" s="1"/>
  <c r="D22" i="45"/>
  <c r="G22" i="45" s="1"/>
  <c r="B30" i="61"/>
  <c r="H30" i="61" s="1"/>
  <c r="E14" i="20"/>
  <c r="E18" i="20" s="1"/>
  <c r="E20" i="20" s="1"/>
  <c r="G23" i="52"/>
  <c r="I58" i="55"/>
  <c r="E65" i="62"/>
  <c r="D13" i="42"/>
  <c r="D48" i="54"/>
  <c r="D29" i="42"/>
  <c r="C48" i="54"/>
  <c r="C35" i="23"/>
  <c r="D31" i="16"/>
  <c r="D32" i="19"/>
  <c r="C59" i="23"/>
  <c r="C59" i="54"/>
  <c r="C67" i="54" s="1"/>
  <c r="C69" i="54" s="1"/>
  <c r="E59" i="54"/>
  <c r="E67" i="54" s="1"/>
  <c r="E69" i="54" s="1"/>
  <c r="E20" i="62"/>
  <c r="D35" i="23"/>
  <c r="G13" i="42"/>
  <c r="D85" i="54"/>
  <c r="D87" i="54" s="1"/>
  <c r="F31" i="2"/>
  <c r="F72" i="51"/>
  <c r="D5" i="21"/>
  <c r="D22" i="21" s="1"/>
  <c r="D44" i="67"/>
  <c r="F44" i="67"/>
  <c r="G27" i="65"/>
  <c r="F39" i="55"/>
  <c r="G48" i="2"/>
  <c r="G22" i="80" s="1"/>
  <c r="C46" i="23"/>
  <c r="C19" i="53"/>
  <c r="C31" i="2"/>
  <c r="G31" i="2"/>
  <c r="D31" i="38"/>
  <c r="G31" i="38" s="1"/>
  <c r="H31" i="61"/>
  <c r="F46" i="62"/>
  <c r="G15" i="65"/>
  <c r="G8" i="65" s="1"/>
  <c r="D27" i="65"/>
  <c r="D20" i="65" s="1"/>
  <c r="C44" i="67"/>
  <c r="F8" i="20" s="1"/>
  <c r="G44" i="67"/>
  <c r="H48" i="72"/>
  <c r="E10" i="62"/>
  <c r="C22" i="54"/>
  <c r="C24" i="54" s="1"/>
  <c r="C26" i="54" s="1"/>
  <c r="C35" i="54" s="1"/>
  <c r="E48" i="54"/>
  <c r="C77" i="54"/>
  <c r="C85" i="54" s="1"/>
  <c r="C87" i="54" s="1"/>
  <c r="D14" i="44"/>
  <c r="G14" i="44" s="1"/>
  <c r="G29" i="42"/>
  <c r="H40" i="62"/>
  <c r="H47" i="62"/>
  <c r="H76" i="62"/>
  <c r="A4" i="71"/>
  <c r="F31" i="65"/>
  <c r="G21" i="61"/>
  <c r="G20" i="61" s="1"/>
  <c r="D20" i="61"/>
  <c r="E76" i="62"/>
  <c r="E18" i="16"/>
  <c r="C14" i="20"/>
  <c r="C18" i="20" s="1"/>
  <c r="C20" i="20" s="1"/>
  <c r="H30" i="62"/>
  <c r="H29" i="62" s="1"/>
  <c r="E29" i="62"/>
  <c r="E7" i="6"/>
  <c r="E30" i="16"/>
  <c r="C39" i="42"/>
  <c r="H40" i="42" s="1"/>
  <c r="F19" i="53"/>
  <c r="F30" i="61"/>
  <c r="H34" i="61" s="1"/>
  <c r="C8" i="52"/>
  <c r="C18" i="52" s="1"/>
  <c r="J20" i="52" s="1"/>
  <c r="E39" i="42"/>
  <c r="H42" i="42" s="1"/>
  <c r="D69" i="55"/>
  <c r="D19" i="53"/>
  <c r="C32" i="19"/>
  <c r="G69" i="55"/>
  <c r="H69" i="55"/>
  <c r="H43" i="55"/>
  <c r="E30" i="61"/>
  <c r="D43" i="55"/>
  <c r="C31" i="65"/>
  <c r="B31" i="65"/>
  <c r="E31" i="65"/>
  <c r="E35" i="67"/>
  <c r="H9" i="6"/>
  <c r="H65" i="62"/>
  <c r="D14" i="37"/>
  <c r="G14" i="37" s="1"/>
  <c r="G22" i="42"/>
  <c r="D15" i="65"/>
  <c r="D8" i="65" s="1"/>
  <c r="G22" i="65"/>
  <c r="H12" i="62"/>
  <c r="H10" i="62" s="1"/>
  <c r="I43" i="55" l="1"/>
  <c r="G9" i="61"/>
  <c r="G30" i="61" s="1"/>
  <c r="F50" i="2"/>
  <c r="H50" i="2" s="1"/>
  <c r="G74" i="55"/>
  <c r="D61" i="23"/>
  <c r="D64" i="23" s="1"/>
  <c r="C63" i="1"/>
  <c r="E63" i="1" s="1"/>
  <c r="G40" i="80"/>
  <c r="H9" i="62"/>
  <c r="H33" i="38"/>
  <c r="H36" i="38"/>
  <c r="D30" i="61"/>
  <c r="H24" i="45"/>
  <c r="H16" i="44"/>
  <c r="C82" i="62"/>
  <c r="I82" i="62" s="1"/>
  <c r="D82" i="62"/>
  <c r="I83" i="62" s="1"/>
  <c r="E74" i="55"/>
  <c r="H18" i="6"/>
  <c r="H27" i="45"/>
  <c r="F43" i="55"/>
  <c r="F74" i="55" s="1"/>
  <c r="J81" i="55" s="1"/>
  <c r="G82" i="62"/>
  <c r="I89" i="62" s="1"/>
  <c r="I69" i="55"/>
  <c r="F82" i="62"/>
  <c r="I88" i="62" s="1"/>
  <c r="H26" i="37"/>
  <c r="H16" i="37"/>
  <c r="G72" i="51"/>
  <c r="H58" i="51"/>
  <c r="H59" i="51"/>
  <c r="D39" i="42"/>
  <c r="H41" i="42" s="1"/>
  <c r="H45" i="67"/>
  <c r="H20" i="67"/>
  <c r="H19" i="67"/>
  <c r="E5" i="21"/>
  <c r="D42" i="24"/>
  <c r="G50" i="2"/>
  <c r="G8" i="52"/>
  <c r="G18" i="52" s="1"/>
  <c r="J19" i="52" s="1"/>
  <c r="D31" i="65"/>
  <c r="H74" i="55"/>
  <c r="J83" i="55" s="1"/>
  <c r="H44" i="67"/>
  <c r="G20" i="65"/>
  <c r="G31" i="65" s="1"/>
  <c r="G39" i="42"/>
  <c r="H44" i="42" s="1"/>
  <c r="E46" i="62"/>
  <c r="C61" i="23"/>
  <c r="C64" i="23" s="1"/>
  <c r="D74" i="55"/>
  <c r="J79" i="55" s="1"/>
  <c r="E9" i="62"/>
  <c r="E44" i="67"/>
  <c r="J82" i="55"/>
  <c r="G38" i="75"/>
  <c r="H19" i="44"/>
  <c r="I46" i="55"/>
  <c r="E31" i="16"/>
  <c r="H46" i="62"/>
  <c r="H29" i="37"/>
  <c r="H7" i="6"/>
  <c r="G9" i="6"/>
  <c r="G7" i="6" s="1"/>
  <c r="J80" i="55" l="1"/>
  <c r="E64" i="23"/>
  <c r="E82" i="62"/>
  <c r="I87" i="62" s="1"/>
  <c r="J87" i="55"/>
  <c r="J89" i="55"/>
  <c r="I74" i="55"/>
  <c r="J84" i="55" s="1"/>
  <c r="H72" i="51"/>
  <c r="H51" i="2"/>
  <c r="H82" i="62"/>
  <c r="I90" i="62" s="1"/>
  <c r="J88" i="55"/>
  <c r="J85" i="55"/>
  <c r="H73" i="51"/>
  <c r="H35" i="61"/>
  <c r="H32" i="61"/>
  <c r="H33" i="61"/>
  <c r="H21" i="44"/>
  <c r="J90" i="55" l="1"/>
  <c r="D14" i="20"/>
  <c r="D18" i="20" s="1"/>
  <c r="D2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3" authorId="0" shapeId="0" xr:uid="{00000000-0006-0000-0300-00000100000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9" authorId="0" shapeId="0" xr:uid="{00000000-0006-0000-0700-000001000000}">
      <text>
        <r>
          <rPr>
            <b/>
            <sz val="9"/>
            <color indexed="81"/>
            <rFont val="Tahoma"/>
            <family val="2"/>
          </rPr>
          <t>Evaluación:
Verificar que coincida este monto con lo reportado en el formato ETCA-I-01 en el ejercicio actual en el mismo rubro</t>
        </r>
      </text>
    </comment>
    <comment ref="F18" authorId="0" shapeId="0" xr:uid="{00000000-0006-0000-0700-000002000000}">
      <text>
        <r>
          <rPr>
            <b/>
            <sz val="9"/>
            <color indexed="81"/>
            <rFont val="Tahoma"/>
            <family val="2"/>
          </rPr>
          <t>Evaluación:
Verificar que coincida este monto con lo reportado en el formato ETCA-I-01 en el ejercicio actual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F38" authorId="0" shapeId="0" xr:uid="{00000000-0006-0000-0800-000001000000}">
      <text>
        <r>
          <rPr>
            <b/>
            <sz val="9"/>
            <color indexed="81"/>
            <rFont val="Tahoma"/>
            <family val="2"/>
          </rPr>
          <t>Evaluación:
Verificar que coincida este monto con lo reportado en el formato ETCA-I-01 en el ejercicio actual Total de Pasivo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5"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2"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5"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1"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<sst xmlns="http://schemas.openxmlformats.org/spreadsheetml/2006/main" count="4548" uniqueCount="2228">
  <si>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</si>
  <si>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</si>
  <si>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</si>
  <si>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</si>
  <si>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</si>
  <si>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</si>
  <si>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</si>
  <si>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</si>
  <si>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</si>
  <si>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</si>
  <si>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</si>
  <si>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</si>
  <si>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</si>
  <si>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</si>
  <si>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</si>
  <si>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</si>
  <si>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</si>
  <si>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</si>
  <si>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</si>
  <si>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</si>
  <si>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</si>
  <si>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</si>
  <si>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</si>
  <si>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</si>
  <si>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</si>
  <si>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</si>
  <si>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</si>
  <si>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</si>
  <si>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</si>
  <si>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</si>
  <si>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</si>
  <si>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</si>
  <si>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</si>
  <si>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</si>
  <si>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</si>
  <si>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</si>
  <si>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</si>
  <si>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</si>
  <si>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</si>
  <si>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</si>
  <si>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</si>
  <si>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</si>
  <si>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</si>
  <si>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</si>
  <si>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</si>
  <si>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</si>
  <si>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</si>
  <si>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</si>
  <si>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</si>
  <si>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</si>
  <si>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</si>
  <si>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</si>
  <si>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</si>
  <si>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</si>
  <si>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</si>
  <si>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</si>
  <si>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</si>
  <si>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</si>
  <si>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</si>
  <si>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</si>
  <si>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</si>
  <si>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</si>
  <si>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</si>
  <si>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</si>
  <si>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</si>
  <si>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</si>
  <si>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</si>
  <si>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</si>
  <si>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</si>
  <si>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</si>
  <si>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</si>
  <si>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</si>
  <si>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</si>
  <si>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</si>
  <si>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</si>
  <si>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</si>
  <si>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</si>
  <si>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</si>
  <si>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</si>
  <si>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</si>
  <si>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</si>
  <si>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</si>
  <si>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</si>
  <si>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</si>
  <si>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</si>
  <si>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</si>
  <si>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</si>
  <si>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</si>
  <si>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</si>
  <si>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</si>
  <si>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</si>
  <si>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</si>
  <si>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</si>
  <si>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</si>
  <si>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</si>
  <si>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</si>
  <si>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</si>
  <si>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</si>
  <si>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</si>
  <si>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</si>
  <si>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</si>
  <si>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</si>
  <si>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</si>
  <si>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</si>
  <si>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</si>
  <si>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</si>
  <si>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</si>
  <si>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</si>
  <si>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</si>
  <si>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</si>
  <si>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</si>
  <si>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</si>
  <si>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</si>
  <si>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</si>
  <si>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</si>
  <si>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</si>
  <si>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</si>
  <si>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</si>
  <si>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</si>
  <si>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</si>
  <si>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</si>
  <si>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</si>
  <si>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</si>
  <si>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</si>
  <si>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</si>
  <si>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</si>
  <si>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</si>
  <si>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</si>
  <si>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</si>
  <si>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</si>
  <si>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</si>
  <si>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</si>
  <si>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</si>
  <si>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</si>
  <si>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</si>
  <si>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</si>
  <si>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</si>
  <si>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</si>
  <si>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</si>
  <si>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</si>
  <si>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</si>
  <si>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</si>
  <si>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</si>
  <si>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</si>
  <si>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</si>
  <si>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</si>
  <si>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</si>
  <si>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</si>
  <si>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</si>
  <si>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</si>
  <si>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</si>
  <si>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</si>
  <si>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</si>
  <si>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</si>
  <si>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</si>
  <si>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</si>
  <si>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</si>
  <si>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</si>
  <si>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</si>
  <si>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</si>
  <si>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</si>
  <si>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</si>
  <si>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</si>
  <si>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</si>
  <si>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</si>
  <si>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</si>
  <si>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</si>
  <si>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</si>
  <si>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</si>
  <si>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</si>
  <si>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</si>
  <si>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</si>
  <si>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</si>
  <si>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</si>
  <si>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</si>
  <si>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</si>
  <si>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</si>
  <si>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</si>
  <si>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</si>
  <si>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</si>
  <si>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</si>
  <si>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</si>
  <si>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</si>
  <si>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</si>
  <si>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</si>
  <si>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</si>
  <si>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</si>
  <si>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</si>
  <si>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</si>
  <si>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</si>
  <si>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</si>
  <si>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</si>
  <si>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</si>
  <si>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</si>
  <si>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</si>
  <si>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</si>
  <si>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</si>
  <si>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</si>
  <si>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</si>
  <si>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</si>
  <si>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</si>
  <si>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</si>
  <si>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</si>
  <si>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</si>
  <si>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</si>
  <si>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</si>
  <si>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</si>
  <si>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</si>
  <si>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</si>
  <si>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</si>
  <si>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</si>
  <si>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</si>
  <si>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</si>
  <si>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</si>
  <si>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</si>
  <si>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</si>
  <si>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</si>
  <si>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</si>
  <si>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</si>
  <si>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</si>
  <si>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</si>
  <si>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</si>
  <si>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</si>
  <si>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</si>
  <si>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</si>
  <si>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</si>
  <si>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</si>
  <si>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</si>
  <si>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</si>
  <si>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</si>
  <si>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</si>
  <si>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</si>
  <si>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</si>
  <si>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</si>
  <si>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</si>
  <si>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</si>
  <si>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</si>
  <si>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</si>
  <si>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</si>
  <si>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</si>
  <si>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</si>
  <si>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</si>
  <si>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</si>
  <si>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</si>
  <si>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</si>
  <si>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</si>
  <si>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</si>
  <si>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</si>
  <si>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</si>
  <si>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</si>
  <si>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</si>
  <si>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</si>
  <si>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</si>
  <si>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</si>
  <si>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</si>
  <si>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</si>
  <si>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</si>
  <si>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</si>
  <si>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</si>
  <si>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</si>
  <si>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</si>
  <si>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</si>
  <si>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</si>
  <si>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</si>
  <si>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</si>
  <si>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</si>
  <si>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</si>
  <si>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</si>
  <si>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</si>
  <si>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</si>
  <si>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</si>
  <si>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</si>
  <si>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</si>
  <si>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</si>
  <si>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</si>
  <si>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</si>
  <si>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</si>
  <si>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</si>
  <si>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</si>
  <si>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</si>
  <si>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</si>
  <si>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</si>
  <si>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</si>
  <si>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</si>
  <si>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</si>
  <si>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</si>
  <si>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</si>
  <si>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</si>
  <si>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</si>
  <si>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</si>
  <si>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</si>
  <si>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</si>
  <si>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</si>
  <si>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</si>
  <si>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</si>
  <si>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</si>
  <si>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</si>
  <si>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</si>
  <si>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</si>
  <si>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</si>
  <si>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</si>
  <si>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</si>
  <si>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</si>
  <si>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</si>
  <si>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</si>
  <si>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</si>
  <si>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</si>
  <si>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</si>
  <si>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</si>
  <si>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</si>
  <si>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</si>
  <si>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</si>
  <si>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</si>
  <si>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</si>
  <si>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</si>
  <si>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</si>
  <si>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</si>
  <si>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</si>
  <si>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</si>
  <si>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</si>
  <si>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</si>
  <si>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</si>
  <si>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</si>
  <si>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</si>
  <si>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</si>
  <si>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</si>
  <si>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</si>
  <si>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</si>
  <si>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</si>
  <si>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</si>
  <si>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</si>
  <si>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</si>
  <si>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</si>
  <si>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</si>
  <si>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</si>
  <si>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</si>
  <si>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</si>
  <si>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</si>
  <si>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</si>
  <si>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</si>
  <si>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</si>
  <si>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</si>
  <si>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</si>
  <si>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</si>
  <si>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</si>
  <si>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</si>
  <si>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</si>
  <si>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</si>
  <si>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</si>
  <si>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</si>
  <si>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</si>
  <si>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</si>
  <si>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</si>
  <si>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</si>
  <si>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</si>
  <si>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</si>
  <si>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</si>
  <si>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</si>
  <si>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</si>
  <si>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</si>
  <si>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</si>
  <si>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</si>
  <si>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</si>
  <si>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</si>
  <si>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</si>
  <si>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</si>
  <si>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</si>
  <si>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</si>
  <si>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</si>
  <si>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</si>
  <si>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</si>
  <si>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</si>
  <si>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</si>
  <si>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</si>
  <si>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</si>
  <si>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</si>
  <si>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</si>
  <si>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</si>
  <si>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</si>
  <si>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</si>
  <si>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</si>
  <si>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</si>
  <si>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</si>
  <si>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</si>
  <si>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</si>
  <si>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</si>
  <si>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</si>
  <si>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</si>
  <si>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</si>
  <si>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</si>
  <si>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</si>
  <si>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</si>
  <si>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</si>
  <si>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</si>
  <si>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</si>
  <si>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</si>
  <si>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</si>
  <si>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</si>
  <si>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</si>
  <si>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</si>
  <si>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</si>
  <si>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</si>
  <si>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</si>
  <si>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</si>
  <si>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</si>
  <si>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</si>
  <si>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</si>
  <si>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</si>
  <si>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</si>
  <si>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</si>
  <si>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</si>
  <si>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</si>
  <si>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</si>
  <si>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</si>
  <si>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</si>
  <si>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</si>
  <si>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</si>
  <si>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</si>
  <si>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</si>
  <si>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</si>
  <si>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</si>
  <si>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</si>
  <si>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</si>
  <si>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</si>
  <si>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</si>
  <si>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</si>
  <si>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</si>
  <si>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</si>
  <si>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</si>
  <si>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</si>
  <si>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</si>
  <si>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</si>
  <si>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</si>
  <si>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</si>
  <si>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</si>
  <si>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</si>
  <si>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</si>
  <si>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</si>
  <si>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</si>
  <si>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</si>
  <si>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</si>
  <si>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</si>
  <si>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</si>
  <si>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</si>
  <si>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</si>
  <si>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</si>
  <si>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</si>
  <si>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</si>
  <si>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</si>
  <si>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</si>
  <si>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</si>
  <si>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</si>
  <si>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</si>
  <si>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</si>
  <si>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</si>
  <si>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</si>
  <si>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</si>
  <si>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</si>
  <si>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</si>
  <si>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</si>
  <si>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</si>
  <si>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</si>
  <si>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</si>
  <si>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</si>
  <si>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</si>
  <si>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</si>
  <si>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</si>
  <si>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</si>
  <si>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</si>
  <si>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</si>
  <si>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</si>
  <si>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</si>
  <si>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</si>
  <si>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</si>
  <si>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</si>
  <si>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</si>
  <si>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</si>
  <si>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</si>
  <si>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</si>
  <si>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</si>
  <si>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</si>
  <si>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</si>
  <si>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</si>
  <si>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</si>
  <si>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</si>
  <si>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</si>
  <si>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</si>
  <si>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</si>
  <si>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</si>
  <si>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</si>
  <si>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</si>
  <si>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</si>
  <si>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</si>
  <si>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</si>
  <si>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</si>
  <si>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</si>
  <si>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</si>
  <si>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</si>
  <si>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</si>
  <si>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</si>
  <si>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</si>
  <si>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</si>
  <si>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</si>
  <si>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</si>
  <si>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</si>
  <si>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</si>
  <si>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</si>
  <si>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</si>
  <si>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</si>
  <si>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</si>
  <si>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</si>
  <si>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</si>
  <si>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</si>
  <si>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</si>
  <si>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</si>
  <si>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</si>
  <si>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</si>
  <si>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</si>
  <si>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</si>
  <si>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</si>
  <si>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</si>
  <si>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</si>
  <si>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</si>
  <si>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</si>
  <si>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</si>
  <si>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</si>
  <si>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</si>
  <si>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</si>
  <si>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</si>
  <si>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</si>
  <si>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</si>
  <si>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</si>
  <si>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</si>
  <si>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</si>
  <si>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</si>
  <si>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</si>
  <si>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</si>
  <si>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</si>
  <si>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</si>
  <si>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</si>
  <si>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</si>
  <si>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</si>
  <si>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</si>
  <si>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</si>
  <si>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</si>
  <si>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</si>
  <si>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</si>
  <si>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</si>
  <si>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</si>
  <si>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</si>
  <si>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</si>
  <si>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</si>
  <si>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</si>
  <si>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</si>
  <si>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</si>
  <si>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</si>
  <si>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</si>
  <si>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</si>
  <si>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</si>
  <si>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</si>
  <si>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</si>
  <si>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</si>
  <si>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</si>
  <si>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</si>
  <si>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</si>
  <si>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</si>
  <si>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</si>
  <si>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</si>
  <si>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</si>
  <si>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</si>
  <si>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</si>
  <si>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</si>
  <si>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</si>
  <si>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</si>
  <si>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</si>
  <si>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</si>
  <si>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</si>
  <si>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</si>
  <si>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</si>
  <si>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</si>
  <si>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</si>
  <si>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</si>
  <si>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</si>
  <si>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</si>
  <si>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</si>
  <si>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</si>
  <si>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</si>
  <si>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</si>
  <si>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</si>
  <si>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</si>
  <si>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</si>
  <si>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</si>
  <si>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</si>
  <si>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</si>
  <si>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</si>
  <si>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</si>
  <si>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</si>
  <si>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</si>
  <si>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</si>
  <si>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</si>
  <si>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</si>
  <si>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</si>
  <si>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</si>
  <si>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</si>
  <si>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</si>
  <si>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</si>
  <si>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</si>
  <si>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</si>
  <si>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</si>
  <si>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</si>
  <si>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</si>
  <si>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</si>
  <si>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</si>
  <si>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</si>
  <si>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</si>
  <si>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</si>
  <si>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</si>
  <si>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</si>
  <si>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</si>
  <si>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</si>
  <si>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</si>
  <si>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</si>
  <si>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</si>
  <si>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</si>
  <si>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</si>
  <si>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</si>
  <si>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</si>
  <si>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</si>
  <si>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</si>
  <si>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</si>
  <si>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</si>
  <si>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</si>
  <si>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</si>
  <si>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</si>
  <si>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</si>
  <si>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</si>
  <si>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</si>
  <si>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</si>
  <si>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</si>
  <si>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</si>
  <si>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</si>
  <si>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</si>
  <si>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</si>
  <si>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</si>
  <si>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</si>
  <si>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</si>
  <si>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</si>
  <si>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</si>
  <si>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</si>
  <si>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</si>
  <si>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</si>
  <si>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</si>
  <si>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</si>
  <si>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</si>
  <si>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</si>
  <si>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</si>
  <si>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</si>
  <si>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</si>
  <si>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</si>
  <si>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</si>
  <si>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</si>
  <si>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</si>
  <si>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</si>
  <si>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</si>
  <si>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</si>
  <si>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</si>
  <si>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</si>
  <si>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</si>
  <si>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</si>
  <si>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</si>
  <si>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</si>
  <si>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</si>
  <si>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</si>
  <si>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</si>
  <si>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</si>
  <si>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</si>
  <si>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</si>
  <si>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</si>
  <si>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</si>
  <si>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</si>
  <si>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</si>
  <si>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</si>
  <si>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</si>
  <si>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</si>
  <si>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</si>
  <si>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</si>
  <si>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</si>
  <si>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</si>
  <si>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</si>
  <si>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</si>
  <si>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</si>
  <si>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</si>
  <si>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</si>
  <si>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</si>
  <si>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</si>
  <si>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</si>
  <si>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</si>
  <si>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</si>
  <si>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</si>
  <si>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</si>
  <si>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</si>
  <si>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</si>
  <si>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</si>
  <si>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</si>
  <si>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</si>
  <si>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</si>
  <si>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</si>
  <si>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</si>
  <si>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</si>
  <si>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</si>
  <si>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</si>
  <si>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</si>
  <si>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</si>
  <si>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</si>
  <si>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</si>
  <si>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</si>
  <si>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</si>
  <si>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</si>
  <si>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</si>
  <si>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</si>
  <si>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</si>
  <si>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</si>
  <si>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</si>
  <si>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</si>
  <si>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</si>
  <si>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</si>
  <si>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</si>
  <si>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</si>
  <si>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</si>
  <si>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</si>
  <si>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</si>
  <si>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</si>
  <si>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</si>
  <si>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</si>
  <si>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</si>
  <si>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</si>
  <si>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</si>
  <si>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</si>
  <si>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</si>
  <si>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</si>
  <si>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</si>
  <si>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</si>
  <si>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</si>
  <si>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</si>
  <si>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</si>
  <si>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</si>
  <si>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</si>
  <si>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</si>
  <si>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</si>
  <si>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</si>
  <si>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</si>
  <si>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</si>
  <si>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</si>
  <si>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</si>
  <si>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</si>
  <si>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</si>
  <si>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</si>
  <si>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</si>
  <si>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</si>
  <si>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</si>
  <si>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</si>
  <si>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</si>
  <si>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</si>
  <si>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</si>
  <si>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</si>
  <si>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</si>
  <si>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</si>
  <si>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</si>
  <si>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</si>
  <si>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</si>
  <si>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</si>
  <si>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</si>
  <si>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</si>
  <si>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</si>
  <si>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</si>
  <si>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</si>
  <si>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</si>
  <si>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</si>
  <si>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</si>
  <si>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</si>
  <si>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</si>
  <si>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</si>
  <si>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</si>
  <si>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</si>
  <si>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</si>
  <si>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</si>
  <si>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</si>
  <si>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</si>
  <si>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</si>
  <si>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</si>
  <si>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</si>
  <si>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</si>
  <si>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</si>
  <si>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</si>
  <si>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</si>
  <si>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</si>
  <si>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</si>
  <si>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</si>
  <si>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</si>
  <si>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</si>
  <si>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</si>
  <si>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</si>
  <si>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</si>
  <si>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</si>
  <si>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</si>
  <si>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</si>
  <si>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</si>
  <si>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</si>
  <si>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</si>
  <si>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</si>
  <si>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</si>
  <si>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</si>
  <si>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</si>
  <si>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</si>
  <si>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</si>
  <si>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</si>
  <si>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</si>
  <si>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</si>
  <si>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</si>
  <si>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</si>
  <si>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</si>
  <si>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</si>
  <si>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</si>
  <si>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</si>
  <si>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</si>
  <si>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</si>
  <si>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</si>
  <si>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</si>
  <si>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</si>
  <si>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</si>
  <si>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</si>
  <si>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</si>
  <si>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</si>
  <si>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</si>
  <si>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</si>
  <si>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</si>
  <si>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</si>
  <si>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</si>
  <si>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</si>
  <si>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</si>
  <si>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</si>
  <si>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</si>
  <si>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</si>
  <si>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</si>
  <si>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</si>
  <si>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</si>
  <si>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</si>
  <si>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</si>
  <si>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</si>
  <si>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</si>
  <si>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</si>
  <si>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</si>
  <si>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</si>
  <si>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</si>
  <si>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</si>
  <si>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</si>
  <si>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</si>
  <si>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</si>
  <si>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</si>
  <si>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</si>
  <si>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</si>
  <si>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</si>
  <si>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</si>
  <si>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</si>
  <si>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</si>
  <si>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</si>
  <si>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</si>
  <si>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</si>
  <si>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</si>
  <si>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</si>
  <si>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</si>
  <si>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</si>
  <si>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</si>
  <si>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</si>
  <si>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</si>
  <si>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</si>
  <si>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</si>
  <si>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</si>
  <si>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</si>
  <si>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</si>
  <si>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</si>
  <si>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</si>
  <si>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</si>
  <si>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</si>
  <si>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</si>
  <si>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</si>
  <si>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</si>
  <si>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</si>
  <si>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</si>
  <si>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</si>
  <si>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</si>
  <si>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</si>
  <si>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</si>
  <si>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</si>
  <si>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</si>
  <si>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</si>
  <si>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</si>
  <si>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</si>
  <si>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</si>
  <si>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</si>
  <si>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</si>
  <si>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</si>
  <si>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</si>
  <si>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</si>
  <si>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</si>
  <si>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</si>
  <si>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</si>
  <si>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</si>
  <si>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</si>
  <si>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</si>
  <si>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</si>
  <si>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</si>
  <si>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</si>
  <si>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</si>
  <si>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</si>
  <si>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</si>
  <si>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</si>
  <si>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</si>
  <si>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</si>
  <si>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</si>
  <si>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</si>
  <si>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</si>
  <si>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</si>
  <si>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</si>
  <si>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</si>
  <si>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</si>
  <si>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</si>
  <si>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</si>
  <si>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</si>
  <si>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</si>
  <si>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</si>
  <si>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</si>
  <si>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</si>
  <si>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</si>
  <si>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</si>
  <si>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</si>
  <si>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</si>
  <si>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</si>
  <si>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</si>
  <si>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</si>
  <si>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</si>
  <si>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</si>
  <si>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</si>
  <si>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</si>
  <si>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</si>
  <si>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</si>
  <si>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</si>
  <si>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</si>
  <si>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</si>
  <si>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</si>
  <si>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</si>
  <si>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</si>
  <si>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</si>
  <si>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</si>
  <si>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</si>
  <si>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</si>
  <si>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</si>
  <si>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</si>
  <si>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</si>
  <si>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</si>
  <si>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</si>
  <si>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</si>
  <si>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</si>
  <si>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</si>
  <si>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</si>
  <si>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</si>
  <si>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</si>
  <si>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</si>
  <si>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</si>
  <si>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</si>
  <si>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</si>
  <si>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</si>
  <si>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</si>
  <si>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</si>
  <si>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</si>
  <si>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</si>
  <si>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</si>
  <si>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</si>
  <si>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</si>
  <si>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</si>
  <si>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</si>
  <si>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</si>
  <si>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</si>
  <si>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</si>
  <si>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</si>
  <si>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</si>
  <si>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</si>
  <si>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</si>
  <si>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</si>
  <si>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</si>
  <si>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</si>
  <si>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</si>
  <si>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</si>
  <si>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</si>
  <si>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</si>
  <si>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</si>
  <si>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</si>
  <si>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</si>
  <si>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</si>
  <si>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</si>
  <si>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</si>
  <si>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</si>
  <si>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</si>
  <si>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</si>
  <si>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</si>
  <si>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</si>
  <si>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</si>
  <si>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</si>
  <si>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</si>
  <si>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</si>
  <si>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</si>
  <si>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</si>
  <si>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</si>
  <si>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</si>
  <si>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</si>
  <si>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</si>
  <si>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</si>
  <si>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</si>
  <si>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</si>
  <si>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</si>
  <si>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</si>
  <si>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</si>
  <si>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Anexo A</t>
  </si>
  <si>
    <t>Anexo B</t>
  </si>
  <si>
    <t xml:space="preserve">Desglose de saldo en Bancos e Inversiones </t>
  </si>
  <si>
    <t>Gasto de acuerdo a la Estructura Programática (LAYOUT EXCEL)</t>
  </si>
  <si>
    <t>Anexo C</t>
  </si>
  <si>
    <t xml:space="preserve">                                                                    </t>
  </si>
  <si>
    <t xml:space="preserve">                                                        </t>
  </si>
  <si>
    <t xml:space="preserve">       </t>
  </si>
  <si>
    <t xml:space="preserve">     </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</si>
  <si>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</si>
  <si>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</si>
  <si>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</si>
  <si>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</si>
  <si>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</si>
  <si>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</si>
  <si>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</si>
  <si>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</si>
  <si>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</si>
  <si>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</si>
  <si>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</si>
  <si>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</si>
  <si>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</si>
  <si>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Hacienda Pública / Patrimonio Neto Final de 2020</t>
  </si>
  <si>
    <t>Monto pagado de la inversión al XX de XXXXXX de 2020 (k)</t>
  </si>
  <si>
    <t>Monto pagado de la inversión actualizado al XX de XXXXXX de 2020 (l)</t>
  </si>
  <si>
    <t>Saldo pendiente por pagar de la inversión al XX de XXXXXX de 2020 (m = g – l)</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</si>
  <si>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</si>
  <si>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</si>
  <si>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</si>
  <si>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</si>
  <si>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</si>
  <si>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</si>
  <si>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</si>
  <si>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</si>
  <si>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</si>
  <si>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</si>
  <si>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</si>
  <si>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</si>
  <si>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</si>
  <si>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</si>
  <si>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</si>
  <si>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</si>
  <si>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</si>
  <si>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</si>
  <si>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</si>
  <si>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</si>
  <si>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</si>
  <si>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</si>
  <si>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</si>
  <si>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</si>
  <si>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</si>
  <si>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</si>
  <si>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</si>
  <si>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</si>
  <si>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</si>
  <si>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</si>
  <si>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</si>
  <si>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</si>
  <si>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</si>
  <si>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</si>
  <si>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</si>
  <si>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</si>
  <si>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</si>
  <si>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</si>
  <si>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ETCA-IV-05</t>
  </si>
  <si>
    <t>Listado de Formatos ETCA "Evaluación Trimestral Contabilidad Armonizada"</t>
  </si>
  <si>
    <t>TELEVISORA DE HERMOSILLO, S.A. DE C.V.</t>
  </si>
  <si>
    <t>TIE + 1.8</t>
  </si>
  <si>
    <t>CREDITO BANCARIO SIMPLE GRUPO FINANCIERO BANORTE</t>
  </si>
  <si>
    <t>INTERESES CREDITO BANCO GRUPO FINANCIERO BANORTE</t>
  </si>
  <si>
    <t>Pesos propios Televisora de Hermosillo, S.A. de C.V.</t>
  </si>
  <si>
    <t>HSBC</t>
  </si>
  <si>
    <t>071302967-3</t>
  </si>
  <si>
    <t>BBVA Bancomer</t>
  </si>
  <si>
    <t>Santander</t>
  </si>
  <si>
    <t>514650036-9</t>
  </si>
  <si>
    <t>6521970561-5</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</si>
  <si>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</si>
  <si>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</si>
  <si>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</si>
  <si>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</si>
  <si>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</si>
  <si>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</si>
  <si>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</si>
  <si>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</si>
  <si>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</si>
  <si>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</si>
  <si>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</si>
  <si>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</si>
  <si>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</si>
  <si>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</si>
  <si>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</si>
  <si>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</si>
  <si>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</si>
  <si>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</si>
  <si>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</si>
  <si>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</si>
  <si>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</si>
  <si>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</si>
  <si>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</si>
  <si>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</si>
  <si>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</si>
  <si>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</si>
  <si>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</si>
  <si>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</si>
  <si>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</si>
  <si>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</si>
  <si>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</si>
  <si>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</si>
  <si>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</si>
  <si>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</si>
  <si>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</si>
  <si>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</si>
  <si>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</si>
  <si>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</si>
  <si>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</si>
  <si>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</si>
  <si>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</si>
  <si>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</si>
  <si>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</si>
  <si>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</si>
  <si>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</si>
  <si>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</si>
  <si>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</si>
  <si>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</si>
  <si>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</si>
  <si>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</si>
  <si>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</si>
  <si>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</si>
  <si>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</si>
  <si>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</si>
  <si>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</si>
  <si>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</si>
  <si>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</si>
  <si>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</si>
  <si>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</si>
  <si>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</si>
  <si>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</si>
  <si>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</si>
  <si>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</si>
  <si>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</si>
  <si>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</si>
  <si>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</si>
  <si>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</si>
  <si>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</si>
  <si>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</si>
  <si>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</si>
  <si>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</si>
  <si>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</si>
  <si>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</si>
  <si>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</si>
  <si>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</si>
  <si>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</si>
  <si>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</si>
  <si>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</si>
  <si>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</si>
  <si>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</si>
  <si>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</si>
  <si>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</si>
  <si>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</si>
  <si>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</si>
  <si>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</si>
  <si>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</si>
  <si>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</si>
  <si>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</si>
  <si>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</si>
  <si>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</si>
  <si>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</si>
  <si>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</si>
  <si>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</si>
  <si>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</si>
  <si>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</si>
  <si>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</si>
  <si>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</si>
  <si>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</si>
  <si>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</si>
  <si>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</si>
  <si>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</si>
  <si>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</si>
  <si>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</si>
  <si>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</si>
  <si>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</si>
  <si>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</si>
  <si>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</si>
  <si>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</si>
  <si>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</si>
  <si>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</si>
  <si>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</si>
  <si>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</si>
  <si>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</si>
  <si>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</si>
  <si>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</si>
  <si>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</si>
  <si>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</si>
  <si>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</si>
  <si>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</si>
  <si>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</si>
  <si>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</si>
  <si>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</si>
  <si>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</si>
  <si>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</si>
  <si>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</si>
  <si>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</si>
  <si>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</si>
  <si>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</si>
  <si>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</si>
  <si>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</si>
  <si>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</si>
  <si>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</si>
  <si>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</si>
  <si>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</si>
  <si>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</si>
  <si>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</si>
  <si>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</si>
  <si>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</si>
  <si>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</si>
  <si>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</si>
  <si>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</si>
  <si>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</si>
  <si>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</si>
  <si>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</si>
  <si>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</si>
  <si>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</si>
  <si>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</si>
  <si>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</si>
  <si>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</si>
  <si>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</si>
  <si>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</si>
  <si>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</si>
  <si>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</si>
  <si>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</si>
  <si>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</si>
  <si>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</si>
  <si>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</si>
  <si>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</si>
  <si>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</si>
  <si>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</si>
  <si>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</si>
  <si>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</si>
  <si>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TECNICOS Y REPETIDORAS</t>
  </si>
  <si>
    <t>NOTICIAS</t>
  </si>
  <si>
    <t>VENTAS</t>
  </si>
  <si>
    <t>ADMINISTRACION</t>
  </si>
  <si>
    <t>OPERACIONES</t>
  </si>
  <si>
    <t>DIRECCION GENERAL</t>
  </si>
  <si>
    <t>AUDITORIAS</t>
  </si>
  <si>
    <t>GERENTE DE ADMINISTRACION Y FINANZAS</t>
  </si>
  <si>
    <t>E101R01</t>
  </si>
  <si>
    <t>11301</t>
  </si>
  <si>
    <t>Z1</t>
  </si>
  <si>
    <t>11303</t>
  </si>
  <si>
    <t>11308</t>
  </si>
  <si>
    <t>12101</t>
  </si>
  <si>
    <t>13201</t>
  </si>
  <si>
    <t>13202</t>
  </si>
  <si>
    <t>14101</t>
  </si>
  <si>
    <t>14201</t>
  </si>
  <si>
    <t>14301</t>
  </si>
  <si>
    <t>15101</t>
  </si>
  <si>
    <t>15901</t>
  </si>
  <si>
    <t>17102</t>
  </si>
  <si>
    <t>34701</t>
  </si>
  <si>
    <t>37201</t>
  </si>
  <si>
    <t>13301</t>
  </si>
  <si>
    <t>15303</t>
  </si>
  <si>
    <t>15404</t>
  </si>
  <si>
    <t>15413</t>
  </si>
  <si>
    <t>91101</t>
  </si>
  <si>
    <t>SISTEMA ESTATAL DE EVALUACION</t>
  </si>
  <si>
    <t xml:space="preserve">            TELEVISORA DE HERMOSILLO, SA DE CV</t>
  </si>
  <si>
    <t>COD</t>
  </si>
  <si>
    <t>PARTIDA</t>
  </si>
  <si>
    <t>ORIGINAL</t>
  </si>
  <si>
    <t>VARIACIÓN</t>
  </si>
  <si>
    <t>JUSTIFICACION</t>
  </si>
  <si>
    <t>NOTA:</t>
  </si>
  <si>
    <t xml:space="preserve">CLASIFICACION ECONOMICA DE LOS INGRESOS, DE LOS GASTOS Y DEL FINANCIAMIENTO </t>
  </si>
  <si>
    <t>Código</t>
  </si>
  <si>
    <t xml:space="preserve">Referencia: </t>
  </si>
  <si>
    <t>Clasificador por Rubros de Ingresos (CRI), Clasificador por Objeto del Gasto (COG), Plan de Cuentas (PC).</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</si>
  <si>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</si>
  <si>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</si>
  <si>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</si>
  <si>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</si>
  <si>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</si>
  <si>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</si>
  <si>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</si>
  <si>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</si>
  <si>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</si>
  <si>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</si>
  <si>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</si>
  <si>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</si>
  <si>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</si>
  <si>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</si>
  <si>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</si>
  <si>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</si>
  <si>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</si>
  <si>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</si>
  <si>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</si>
  <si>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</si>
  <si>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</si>
  <si>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</si>
  <si>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</si>
  <si>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</si>
  <si>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</si>
  <si>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</si>
  <si>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</si>
  <si>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</si>
  <si>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</si>
  <si>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</si>
  <si>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</si>
  <si>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</si>
  <si>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</si>
  <si>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</si>
  <si>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</si>
  <si>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</si>
  <si>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</si>
  <si>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</si>
  <si>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</si>
  <si>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</si>
  <si>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</si>
  <si>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</si>
  <si>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</si>
  <si>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</si>
  <si>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</si>
  <si>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</si>
  <si>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</si>
  <si>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</si>
  <si>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</si>
  <si>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</si>
  <si>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</si>
  <si>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</si>
  <si>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</si>
  <si>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</si>
  <si>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</si>
  <si>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</si>
  <si>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</si>
  <si>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</si>
  <si>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</si>
  <si>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</si>
  <si>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</si>
  <si>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</si>
  <si>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</si>
  <si>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</si>
  <si>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</si>
  <si>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</si>
  <si>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</si>
  <si>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</si>
  <si>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</si>
  <si>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</si>
  <si>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</si>
  <si>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</si>
  <si>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</si>
  <si>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</si>
  <si>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</si>
  <si>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</si>
  <si>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</si>
  <si>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</si>
  <si>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</si>
  <si>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</si>
  <si>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</si>
  <si>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</si>
  <si>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</si>
  <si>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</si>
  <si>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</si>
  <si>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</si>
  <si>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</si>
  <si>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</si>
  <si>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</si>
  <si>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</si>
  <si>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</si>
  <si>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</si>
  <si>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</si>
  <si>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</si>
  <si>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</si>
  <si>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CRI 94X†</t>
  </si>
  <si>
    <t>1.1.8.2</t>
  </si>
  <si>
    <t>Del Sector Público</t>
  </si>
  <si>
    <t>1.1.8.2.1</t>
  </si>
  <si>
    <t>De la Federación</t>
  </si>
  <si>
    <t>1.1.8.2.1.1</t>
  </si>
  <si>
    <t xml:space="preserve">Transferencias Internas y Asignaciones </t>
  </si>
  <si>
    <t>1.1.8.2.1.2</t>
  </si>
  <si>
    <t>Transferencias del Resto del Sector Público</t>
  </si>
  <si>
    <t>1.1.8.2.1.3</t>
  </si>
  <si>
    <t>1.1.8.2.1.4</t>
  </si>
  <si>
    <t>Transferencias de Fideicomisos, Mandatos y Contratos Análogos</t>
  </si>
  <si>
    <t>1.1.8.2.2</t>
  </si>
  <si>
    <t>De Entidades Federativas</t>
  </si>
  <si>
    <t>1.1.8.2.3</t>
  </si>
  <si>
    <t>De Municipios</t>
  </si>
  <si>
    <t>1.1.8.3</t>
  </si>
  <si>
    <t>Del Sector Externo</t>
  </si>
  <si>
    <t>1.1.8.3.1</t>
  </si>
  <si>
    <t>De Gobiernos Extranjeros</t>
  </si>
  <si>
    <t>1.1.8.3.2</t>
  </si>
  <si>
    <t>De Organismos Internacionales</t>
  </si>
  <si>
    <t>1.1.8.3.3</t>
  </si>
  <si>
    <t>Del Sector Privado Externo</t>
  </si>
  <si>
    <t>1.1.9</t>
  </si>
  <si>
    <t>INGRESOS DE CAPITAL</t>
  </si>
  <si>
    <t>1.2.1</t>
  </si>
  <si>
    <t>Venta (Disposición) de Activos</t>
  </si>
  <si>
    <t>1.2.1.1</t>
  </si>
  <si>
    <t>Venta de Activos Fijos</t>
  </si>
  <si>
    <t>1.2.1.2</t>
  </si>
  <si>
    <t>Venta de Objetos de Valor</t>
  </si>
  <si>
    <t>1.2.1.3</t>
  </si>
  <si>
    <t>Venta de Activos No Producidos</t>
  </si>
  <si>
    <t>1.2.2</t>
  </si>
  <si>
    <t>Disminución de Existencias</t>
  </si>
  <si>
    <t>Variación: Saldo Final – Inicial de las Cuentas Contables</t>
  </si>
  <si>
    <t>1.2.2.1</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</si>
  <si>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</si>
  <si>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</si>
  <si>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</si>
  <si>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</si>
  <si>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</si>
  <si>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</si>
  <si>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</si>
  <si>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</si>
  <si>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</si>
  <si>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</si>
  <si>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</si>
  <si>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</si>
  <si>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</si>
  <si>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</si>
  <si>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</si>
  <si>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</si>
  <si>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</si>
  <si>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</si>
  <si>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</si>
  <si>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</si>
  <si>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</si>
  <si>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1.2.4</t>
  </si>
  <si>
    <t>Transferencias, Asignaciones y Donativos de Capital Recibidas</t>
  </si>
  <si>
    <t xml:space="preserve">1.2.4.1 </t>
  </si>
  <si>
    <t>CRI 91X*, 92X*, 95X*, 96X*</t>
  </si>
  <si>
    <t>(Requiere Apertura en cada Nivel de Gobierno)</t>
  </si>
  <si>
    <t>1.2.4.2</t>
  </si>
  <si>
    <t>1.2.4.2.1</t>
  </si>
  <si>
    <t xml:space="preserve">De la Federación </t>
  </si>
  <si>
    <t>1.2.4.2.1.1</t>
  </si>
  <si>
    <t>1.2.4.2.1.2</t>
  </si>
  <si>
    <t>1.2.4.2.1.3</t>
  </si>
  <si>
    <t>1.2.4.2.1.4</t>
  </si>
  <si>
    <t xml:space="preserve">1.2.4.2.2 </t>
  </si>
  <si>
    <t>1.2.4.2.3</t>
  </si>
  <si>
    <t>1.2.4.3</t>
  </si>
  <si>
    <t>1.2.4.3.1</t>
  </si>
  <si>
    <t>1.2.4.3.2</t>
  </si>
  <si>
    <t>1.2.4.3.3</t>
  </si>
  <si>
    <t>1.2.5</t>
  </si>
  <si>
    <t>Recuperación de Inversiones Financieras Realizadas con Fines de Política</t>
  </si>
  <si>
    <t>CRI 62X*</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</si>
  <si>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</si>
  <si>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</si>
  <si>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</si>
  <si>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</si>
  <si>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</si>
  <si>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</si>
  <si>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</si>
  <si>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</si>
  <si>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</si>
  <si>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GASTOS</t>
  </si>
  <si>
    <t>GASTOS CORRIENTES</t>
  </si>
  <si>
    <t>2.1.1</t>
  </si>
  <si>
    <t>Gastos de Consumo de los Entes del Gobierno General/ Gastos de Explotación de las Entidades Empresariales</t>
  </si>
  <si>
    <t>2.1.1.1</t>
  </si>
  <si>
    <t>Remuneraciones</t>
  </si>
  <si>
    <t>2.1.1.1.1</t>
  </si>
  <si>
    <t>Sueldos y Salarios</t>
  </si>
  <si>
    <t>2.1.1.1.2</t>
  </si>
  <si>
    <t>Contribuciones Sociales</t>
  </si>
  <si>
    <t xml:space="preserve">2.1.1.1.3 </t>
  </si>
  <si>
    <t>Impuestos sobre Nóminas</t>
  </si>
  <si>
    <t>2.1.1.2</t>
  </si>
  <si>
    <t>Compra de Bienes y Servicios</t>
  </si>
  <si>
    <t>2.1.1.3</t>
  </si>
  <si>
    <t>Variación de Existencias (Disminución (+) Incremento (-))</t>
  </si>
  <si>
    <t>2.1.1.4</t>
  </si>
  <si>
    <t>2.1.1.5</t>
  </si>
  <si>
    <t>2.1.1.6</t>
  </si>
  <si>
    <t>Impuestos sobre los Productos, la Producción y las Importaciones de las Entidades Empresariales</t>
  </si>
  <si>
    <t>2.1.2</t>
  </si>
  <si>
    <t>Prestaciones de la Seguridad Social  (MEFP 6.69)</t>
  </si>
  <si>
    <t>2.1.3</t>
  </si>
  <si>
    <t>Gasto de la Propiedad</t>
  </si>
  <si>
    <t>2.1.3.1</t>
  </si>
  <si>
    <t>2.1.3.1.1</t>
  </si>
  <si>
    <t>Intereses de la Deuda Interna</t>
  </si>
  <si>
    <t>2.1.3.1.2</t>
  </si>
  <si>
    <t>Intereses de la Deuda Externa</t>
  </si>
  <si>
    <t>2.1.3.2</t>
  </si>
  <si>
    <t>Gastos de la Propiedad Distintos de Intereses</t>
  </si>
  <si>
    <t>2.1.3.2.1</t>
  </si>
  <si>
    <t>2.1.3.2.2</t>
  </si>
  <si>
    <t>Arrendamientos de Tierras y Terrenos  (MEFP 6.81)</t>
  </si>
  <si>
    <t>2.1.4</t>
  </si>
  <si>
    <t>Subsidios y Subvenciones a Empresas (MEFP 6.61)</t>
  </si>
  <si>
    <t>2.1.4.1</t>
  </si>
  <si>
    <t xml:space="preserve">A Entidades Empresariales del Sector Privado </t>
  </si>
  <si>
    <t>2.1.4.1.1</t>
  </si>
  <si>
    <t>A Entidades Empresariales no Financieras</t>
  </si>
  <si>
    <t>2.1.4.1.2</t>
  </si>
  <si>
    <t>A Entidades Empresariales Financieras</t>
  </si>
  <si>
    <t>2.1.4.2</t>
  </si>
  <si>
    <t>A Entidades Empresariales del Sector Público</t>
  </si>
  <si>
    <t>2.1.4.2.1</t>
  </si>
  <si>
    <t>A Entidades Empresariales No Financieras</t>
  </si>
  <si>
    <t>2.1.4.2.2</t>
  </si>
  <si>
    <t>2.1.5</t>
  </si>
  <si>
    <t xml:space="preserve">Transferencias, Asignaciones y Donativos Corrientes Otorgados </t>
  </si>
  <si>
    <t xml:space="preserve">2.1.5.1 </t>
  </si>
  <si>
    <t>Al Sector Privado</t>
  </si>
  <si>
    <t>2.1.5.1.1</t>
  </si>
  <si>
    <t>Ayuda a Personas</t>
  </si>
  <si>
    <t>2.1.5.1.2</t>
  </si>
  <si>
    <t>Becas</t>
  </si>
  <si>
    <t>2.1.5.1.3</t>
  </si>
  <si>
    <t>Ayuda a Instituciones</t>
  </si>
  <si>
    <t xml:space="preserve">2.1.5.1.4 </t>
  </si>
  <si>
    <t>Instituciones de Interés Público</t>
  </si>
  <si>
    <t>2.1.5.1.5</t>
  </si>
  <si>
    <t>2.1.5.1.6</t>
  </si>
  <si>
    <t>Fideicomisos, Mandatos y Contratos Análogos</t>
  </si>
  <si>
    <t>2.1.5.1.7</t>
  </si>
  <si>
    <t>Otras</t>
  </si>
  <si>
    <t>2.1.5.2</t>
  </si>
  <si>
    <t>Al Sector Público</t>
  </si>
  <si>
    <t>2.1.5.2.1</t>
  </si>
  <si>
    <t>A la Federación</t>
  </si>
  <si>
    <t>2.1.5.2.1.1</t>
  </si>
  <si>
    <t>2.1.5.2.1.2</t>
  </si>
  <si>
    <t>2.1.5.2.1.3</t>
  </si>
  <si>
    <t>Organismos de la Seguridad Social</t>
  </si>
  <si>
    <t>2.1.5.2.1.4</t>
  </si>
  <si>
    <t>2.1.5.2.2</t>
  </si>
  <si>
    <t>A Entidades Federativas</t>
  </si>
  <si>
    <t>2.1.5.2.3</t>
  </si>
  <si>
    <t>A Municipios</t>
  </si>
  <si>
    <t>2.1.5.3</t>
  </si>
  <si>
    <t>Al Sector Externo</t>
  </si>
  <si>
    <t>2.1.5.3.1</t>
  </si>
  <si>
    <t>A Gobiernos Extranjeros</t>
  </si>
  <si>
    <t>2.1.5.3.2</t>
  </si>
  <si>
    <t>A Organismos Internacionales</t>
  </si>
  <si>
    <t>2.1.5.3.3</t>
  </si>
  <si>
    <t>Al Sector Privado Externo</t>
  </si>
  <si>
    <t>2.1.6</t>
  </si>
  <si>
    <t xml:space="preserve">Impuesto sobre los Ingresos, la Riqueza y Otros a las Entidades Empresariales Públicas </t>
  </si>
  <si>
    <t>2.1.7</t>
  </si>
  <si>
    <t>2.1.8</t>
  </si>
  <si>
    <t>Provisiones y Otras Estimaciones</t>
  </si>
  <si>
    <t>2.1.8.1</t>
  </si>
  <si>
    <t>2.1.8.2</t>
  </si>
  <si>
    <t>2.1.8.3</t>
  </si>
  <si>
    <t>Estimaciones por Pérdida o Deterioro a Corto Plazo</t>
  </si>
  <si>
    <t>2.1.8.4</t>
  </si>
  <si>
    <t>Estimaciones por Pérdida o Deterioro a Largo Plazo</t>
  </si>
  <si>
    <t>GASTOS DE CAPITAL</t>
  </si>
  <si>
    <t>2.2.1</t>
  </si>
  <si>
    <t>Construcciones en Proceso</t>
  </si>
  <si>
    <t>2.2.2</t>
  </si>
  <si>
    <t>Activos Fijos (Formación Bruta de Capital Fijo)</t>
  </si>
  <si>
    <t>2.2.2.1</t>
  </si>
  <si>
    <t>Viviendas, Edificios y Estructuras</t>
  </si>
  <si>
    <t>2.2.2.1.1</t>
  </si>
  <si>
    <t>Viviendas</t>
  </si>
  <si>
    <t>2.2.2.1.2</t>
  </si>
  <si>
    <t>Edificios No Residenciales</t>
  </si>
  <si>
    <t>2.2.2.1.3</t>
  </si>
  <si>
    <t>Otras Estructuras</t>
  </si>
  <si>
    <t>2.2.2.2</t>
  </si>
  <si>
    <t>Maquinaria y Equipo</t>
  </si>
  <si>
    <t>2.2.2.2.1</t>
  </si>
  <si>
    <t>Equipo de Transporte</t>
  </si>
  <si>
    <t>2.2.2.2.2</t>
  </si>
  <si>
    <t xml:space="preserve">Equipo de Tecnología de la Información y Comunicaciones </t>
  </si>
  <si>
    <t>2.2.2.2.3</t>
  </si>
  <si>
    <t xml:space="preserve">Otra Maquinaria y Equipo </t>
  </si>
  <si>
    <t xml:space="preserve">2.2.2.3 </t>
  </si>
  <si>
    <t xml:space="preserve">Equipo de Defensa y Seguridad </t>
  </si>
  <si>
    <t>2.2.2.4</t>
  </si>
  <si>
    <t>Activos Biológicos Cultivados</t>
  </si>
  <si>
    <t>2.2.2.4.1</t>
  </si>
  <si>
    <t>Ganado para Cría, Leche, Tiro, etc., que dan Productos Recurrentes</t>
  </si>
  <si>
    <t>2.2.2.4.2</t>
  </si>
  <si>
    <t>Árboles, Cultivos y Otras Plantaciones que dan Productos Recurrentes</t>
  </si>
  <si>
    <t>2.2.2.5</t>
  </si>
  <si>
    <t>Activos Fijos Intangibles</t>
  </si>
  <si>
    <t>2.2.2.5.1</t>
  </si>
  <si>
    <t>Investigación y Desarrollo</t>
  </si>
  <si>
    <t>2.2.2.5.2</t>
  </si>
  <si>
    <t>Exploración y Evaluación Minera</t>
  </si>
  <si>
    <t>2.2.2.5.3</t>
  </si>
  <si>
    <t>Programas de Informática y Base de Datos</t>
  </si>
  <si>
    <t>2.2.2.5.4</t>
  </si>
  <si>
    <t>Originales para Esparcimiento, Literarios o Artísticos</t>
  </si>
  <si>
    <t>2.2.2.5.5</t>
  </si>
  <si>
    <t>Otros Activos Fijos Intangibles</t>
  </si>
  <si>
    <t>2.2.3</t>
  </si>
  <si>
    <t>Incremento de Existencias</t>
  </si>
  <si>
    <t>2.2.3.1</t>
  </si>
  <si>
    <t>2.2.3.2</t>
  </si>
  <si>
    <t>2.2.3.3</t>
  </si>
  <si>
    <t>2.2.3.4</t>
  </si>
  <si>
    <t>2.2.3.5</t>
  </si>
  <si>
    <t>Bienes de Venta</t>
  </si>
  <si>
    <t>2.2.3.6</t>
  </si>
  <si>
    <t>Bienes en Tránsito</t>
  </si>
  <si>
    <t>2.2.3.7</t>
  </si>
  <si>
    <t xml:space="preserve">Existencias de Materiales de Seguridad y Defensa </t>
  </si>
  <si>
    <t>2.2.4</t>
  </si>
  <si>
    <t>Objetos de Valor</t>
  </si>
  <si>
    <t>2.2.4.1</t>
  </si>
  <si>
    <t>Metales y Piedras Preciosas</t>
  </si>
  <si>
    <t>2.2.4.2</t>
  </si>
  <si>
    <t>Antigüedades y Otros Objetos de Arte</t>
  </si>
  <si>
    <t>2.2.4.3</t>
  </si>
  <si>
    <t>Otros Objetos de Valor</t>
  </si>
  <si>
    <t>2.2.5</t>
  </si>
  <si>
    <t>Activos No Producidos</t>
  </si>
  <si>
    <t>2.2.5.1</t>
  </si>
  <si>
    <t>Activos Intangibles No Producidos de Origen Natural</t>
  </si>
  <si>
    <t>2.2.5.1.1</t>
  </si>
  <si>
    <t>Tierras y Terrenos  (MEFP 7.70)</t>
  </si>
  <si>
    <t>2.2.5.1.2</t>
  </si>
  <si>
    <t>Recursos Minerales y Energéticos</t>
  </si>
  <si>
    <t>2.2.5.1.3</t>
  </si>
  <si>
    <t>Recursos Biológicos No Cultivados</t>
  </si>
  <si>
    <t>2.2.5.1.4</t>
  </si>
  <si>
    <t>Recursos Hídricos</t>
  </si>
  <si>
    <t>2.2.5.1.5</t>
  </si>
  <si>
    <t>Otros Activos de Origen Natural</t>
  </si>
  <si>
    <t>2.2.5.2</t>
  </si>
  <si>
    <t>Activos Intangibles No Producidos  (MEFP 7.78)</t>
  </si>
  <si>
    <t>2.2.5.2.1</t>
  </si>
  <si>
    <t>Derechos Patentados</t>
  </si>
  <si>
    <t>2.2.5.2.2</t>
  </si>
  <si>
    <t>Arrendamientos Operativos Comerciales</t>
  </si>
  <si>
    <t>2.2.5.2.3</t>
  </si>
  <si>
    <t>Fondos de Comercio Adquiridos</t>
  </si>
  <si>
    <t>2.2.5.2.4</t>
  </si>
  <si>
    <t>Otros Activos Intangibles No Producidos</t>
  </si>
  <si>
    <t>2.2.6</t>
  </si>
  <si>
    <t>Transferencias y Asignaciones y Donativos de Capital Otorgados</t>
  </si>
  <si>
    <t>2.2.6.1</t>
  </si>
  <si>
    <t>2.2.6.1.1</t>
  </si>
  <si>
    <t>2.2.6.1.2</t>
  </si>
  <si>
    <t>2.2.6.1.3</t>
  </si>
  <si>
    <t>2.2.6.1.4</t>
  </si>
  <si>
    <t>2.2.6.2</t>
  </si>
  <si>
    <t>2.2.6.2.1</t>
  </si>
  <si>
    <t>2.1.6.2.1.1</t>
  </si>
  <si>
    <t>2.1.6.2.1.2</t>
  </si>
  <si>
    <t>Transferencias al resto del sector público</t>
  </si>
  <si>
    <t>2.1.6.2.1.3</t>
  </si>
  <si>
    <t>Transferencias de Fideicomisos, Mandatos y Contratos análogos</t>
  </si>
  <si>
    <t>2.2.6.2.2</t>
  </si>
  <si>
    <t>2.2.6.2.3</t>
  </si>
  <si>
    <t>2.2.6.3</t>
  </si>
  <si>
    <t>2.2.6.3.1</t>
  </si>
  <si>
    <t>2.2.6.3.2</t>
  </si>
  <si>
    <t>2.2.6.3.3</t>
  </si>
  <si>
    <t>2.2.7</t>
  </si>
  <si>
    <t>Inversión Financiera con Fines de Política Económica</t>
  </si>
  <si>
    <t>2.2.7.1</t>
  </si>
  <si>
    <t>2.2.7.1.1</t>
  </si>
  <si>
    <t>Interna</t>
  </si>
  <si>
    <t>2.2.7.1.1.1</t>
  </si>
  <si>
    <t>Sector Público</t>
  </si>
  <si>
    <t>2.2.7.1.1.2</t>
  </si>
  <si>
    <t>Sector Privado</t>
  </si>
  <si>
    <t>2.2.7.1.2</t>
  </si>
  <si>
    <t>Externa</t>
  </si>
  <si>
    <t>2.2.7.2</t>
  </si>
  <si>
    <t>Valores Representativos de Deuda Adquiridos con Fines de Política Económica</t>
  </si>
  <si>
    <t>2.2.7.3</t>
  </si>
  <si>
    <t>Obligaciones Negociables Adquiridas con Fines de Política Económica</t>
  </si>
  <si>
    <t xml:space="preserve">2.2.7.4 </t>
  </si>
  <si>
    <t>2.2.7.4.1</t>
  </si>
  <si>
    <t>2.2.7.4.1.1</t>
  </si>
  <si>
    <t>2.2.7.4.1.2</t>
  </si>
  <si>
    <t>2.2.7.4.2</t>
  </si>
  <si>
    <t>TOTAL DEL GASTO</t>
  </si>
  <si>
    <t>FINANCIAMIENTO</t>
  </si>
  <si>
    <t>FUENTES FINANCIERAS</t>
  </si>
  <si>
    <t>3.1.1</t>
  </si>
  <si>
    <t>Disminución de Activos Financieros</t>
  </si>
  <si>
    <t>3.1.1.1</t>
  </si>
  <si>
    <t>Disminución de Activos Financieros Corrientes (Circulantes)</t>
  </si>
  <si>
    <t>3.1.1.1.1</t>
  </si>
  <si>
    <t>Disminución de Caja y Bancos (Efectivo y Equivalentes)</t>
  </si>
  <si>
    <t>3.1.1.1.1.1</t>
  </si>
  <si>
    <t>Efectivo</t>
  </si>
  <si>
    <t>3.1.1.1.1.2</t>
  </si>
  <si>
    <t>Bancos / Tesorería</t>
  </si>
  <si>
    <t>3.1.1.1.1.3</t>
  </si>
  <si>
    <t>Bancos / Dependencias y Otros</t>
  </si>
  <si>
    <t>3.1.1.1.1.4</t>
  </si>
  <si>
    <t>Inversiones Temporales (Hasta 3 meses)</t>
  </si>
  <si>
    <t>3.1.1.1.1.5</t>
  </si>
  <si>
    <t>Fondos con Afectación Específica</t>
  </si>
  <si>
    <t>3.1.1.1.1.6</t>
  </si>
  <si>
    <t>Depósitos de Fondos de Terceros en garantía y Administración</t>
  </si>
  <si>
    <t>3.1.1.1.1.7</t>
  </si>
  <si>
    <t>Otro Efectivo y Equivalentes</t>
  </si>
  <si>
    <t>3.1.1.1.2</t>
  </si>
  <si>
    <t>Disminución de Inversiones Financieras de Corto Plazo (Derechos a Recibir Efectivo o Equivalentes)</t>
  </si>
  <si>
    <t>Variación: Saldo Final – Inicial</t>
  </si>
  <si>
    <t>de las Cuentas Contables</t>
  </si>
  <si>
    <t>3.1.1.1.2.1</t>
  </si>
  <si>
    <t>3.1.1.1.2.2</t>
  </si>
  <si>
    <t xml:space="preserve">Acciones y Participaciones de Capital </t>
  </si>
  <si>
    <t>3.1.1.1.2.3</t>
  </si>
  <si>
    <t>3.1.1.1.3</t>
  </si>
  <si>
    <t>Disminución de Cuentas por Cobrar</t>
  </si>
  <si>
    <t xml:space="preserve">Variación: Saldo Final – Inicial </t>
  </si>
  <si>
    <t>3.1.1.1.3.1</t>
  </si>
  <si>
    <t>Cuentas por Cobrar</t>
  </si>
  <si>
    <t>3.1.1.1.3.2</t>
  </si>
  <si>
    <t>Deudores Diversos por Cobrar</t>
  </si>
  <si>
    <t>3.1.1.1.3.3</t>
  </si>
  <si>
    <t>Ingresos por Recuperar</t>
  </si>
  <si>
    <t>3.1.1.1.3.4</t>
  </si>
  <si>
    <t>Deudores por Anticipos de la Tesorería</t>
  </si>
  <si>
    <t>3.1.1.1.4</t>
  </si>
  <si>
    <t xml:space="preserve">Disminución de Documentos por Cobrar </t>
  </si>
  <si>
    <t xml:space="preserve"> de las Cuentas Contables:</t>
  </si>
  <si>
    <t>3.1.1.1.4.1</t>
  </si>
  <si>
    <t>Otros Derechos a Recibir Efectivo o Equivalentes</t>
  </si>
  <si>
    <t>3.1.1.1.5</t>
  </si>
  <si>
    <t>Recuperación de Préstamos Otorgados de Corto Plazo</t>
  </si>
  <si>
    <t>Abono en cuenta contable PC 1.1.2.6</t>
  </si>
  <si>
    <t>3.1.1.1.6</t>
  </si>
  <si>
    <t xml:space="preserve">Disminución de Otros Activos Financieros Corrientes </t>
  </si>
  <si>
    <t xml:space="preserve">Variación </t>
  </si>
  <si>
    <t>Saldo Final – Inicial</t>
  </si>
  <si>
    <t xml:space="preserve"> de las Cuentas Contables</t>
  </si>
  <si>
    <t>3.1.1.1.6.1</t>
  </si>
  <si>
    <t>Anticipo a Proveedores por Adquisición de Bienes y Prestación de Servicios</t>
  </si>
  <si>
    <t>3.1.1.1.6.2</t>
  </si>
  <si>
    <t>Anticipo a Proveedores por Adquisición de Bienes Inmuebles y Muebles</t>
  </si>
  <si>
    <t>3.1.1.1.6.3</t>
  </si>
  <si>
    <t>Anticipo a Proveedores por Adquisición de Bienes Intangibles</t>
  </si>
  <si>
    <t>3.1.1.1.6.4</t>
  </si>
  <si>
    <t>Anticipo a Contratistas por Obras Públicas</t>
  </si>
  <si>
    <t>3.1.1.1.6.5</t>
  </si>
  <si>
    <t>Otros Derechos a Recibir Bienes o Servicios</t>
  </si>
  <si>
    <t>3.1.1.1.6.6</t>
  </si>
  <si>
    <t>Disminución de Otros Activos Circulantes</t>
  </si>
  <si>
    <t>3.1.1.2</t>
  </si>
  <si>
    <t>Disminución de Activos Financieros No Corrientes</t>
  </si>
  <si>
    <t>3.1.1.2.1</t>
  </si>
  <si>
    <t xml:space="preserve">Recuperación de Inversiones Financieras a Largo Plazo con Fines de Liquidez </t>
  </si>
  <si>
    <t>3.1.1.2.1.1</t>
  </si>
  <si>
    <t>Venta de Acciones y Participaciones de Capital</t>
  </si>
  <si>
    <t>3.1.1.2.1.1.1</t>
  </si>
  <si>
    <t>3.1.1.2.1.1.2</t>
  </si>
  <si>
    <t>3.1.1.2.1.2</t>
  </si>
  <si>
    <t>Venta de Títulos y Valores Representativos de la Deuda</t>
  </si>
  <si>
    <t>3.1.1.2.1.3</t>
  </si>
  <si>
    <t xml:space="preserve">Venta de Obligaciones Negociables </t>
  </si>
  <si>
    <t>3.1.1.2.1.4</t>
  </si>
  <si>
    <t>Recuperación de Préstamos</t>
  </si>
  <si>
    <t>3.1.1.2.1.4.1</t>
  </si>
  <si>
    <t>3.1.1.2.1.4.2</t>
  </si>
  <si>
    <t>3.1.1.2.2</t>
  </si>
  <si>
    <t>Disminución de Otros Activos Financieros No Corrientes</t>
  </si>
  <si>
    <t>Variación:  Saldo Final – Inicial</t>
  </si>
  <si>
    <t>3.1.1.2.2.1</t>
  </si>
  <si>
    <t>Documentos por Cobrar</t>
  </si>
  <si>
    <t>3.1.1.2.2.2</t>
  </si>
  <si>
    <t>Deudores Diversos</t>
  </si>
  <si>
    <t>3.1.1.2.2.3</t>
  </si>
  <si>
    <t>3.1.1.2.2.4</t>
  </si>
  <si>
    <t>3.1.1.2.2.5</t>
  </si>
  <si>
    <t>Otros Activos</t>
  </si>
  <si>
    <t xml:space="preserve">3.1.2 </t>
  </si>
  <si>
    <t>Incremento de Pasivos</t>
  </si>
  <si>
    <t>3.1.2.1</t>
  </si>
  <si>
    <t>Incremento de Pasivos Corrientes</t>
  </si>
  <si>
    <t>3.1.2.1.1</t>
  </si>
  <si>
    <t>Incremento de Cuentas por Pagar</t>
  </si>
  <si>
    <t>3.1.2.1.1.1</t>
  </si>
  <si>
    <t>3.1.2.1.1.2</t>
  </si>
  <si>
    <t>Proveedores por Pagar</t>
  </si>
  <si>
    <t>3.1.2.1.1.3</t>
  </si>
  <si>
    <t>Contratistas por Obras Públicas por Pagar</t>
  </si>
  <si>
    <t>3.1.2.1.1.4</t>
  </si>
  <si>
    <t>Participaciones y Aportaciones por Pagar</t>
  </si>
  <si>
    <t>3.1.2.1.1.5</t>
  </si>
  <si>
    <t>Transferencias Otorgadas por Pagar</t>
  </si>
  <si>
    <t>3.1.2.1.1.6</t>
  </si>
  <si>
    <t>Intereses y Comisiones por Pagar</t>
  </si>
  <si>
    <t>3.1.2.1.1.7</t>
  </si>
  <si>
    <t>Retenciones y Contribuciones por Pagar</t>
  </si>
  <si>
    <t>3.1.2.1.1.8</t>
  </si>
  <si>
    <t>Devoluciones de Contribuciones por Pagar</t>
  </si>
  <si>
    <t>3.1.2.1.1.9</t>
  </si>
  <si>
    <t>Otras Cuentas por Pagar</t>
  </si>
  <si>
    <t>3.1.2.1.2</t>
  </si>
  <si>
    <t>Incremento de Documentos por Pagar</t>
  </si>
  <si>
    <t>3.1.2.1.2.1</t>
  </si>
  <si>
    <t>Documentos Comerciales por Pagar</t>
  </si>
  <si>
    <t>3.1.2.1.2.2</t>
  </si>
  <si>
    <t>Documentos con Contratistas por Obras Públicas por Pagar</t>
  </si>
  <si>
    <t>3.1.2.1.2.3</t>
  </si>
  <si>
    <t>Otros Documentos por Pagar</t>
  </si>
  <si>
    <t>3.1.2.1.2.4</t>
  </si>
  <si>
    <t>Títulos y Valores de la Deuda Pública Interna</t>
  </si>
  <si>
    <t>3.1.2.1.2.5</t>
  </si>
  <si>
    <t>Títulos y Valores de la Deuda Pública Externa</t>
  </si>
  <si>
    <t>3.1.2.1.3</t>
  </si>
  <si>
    <t>Conversión de Deuda Pública a Largo Plazo en Porción Circulante</t>
  </si>
  <si>
    <t>3.1.2.1.3.1</t>
  </si>
  <si>
    <t>Conversión de Títulos y Valores de Largo Plazo en Corto Plazo</t>
  </si>
  <si>
    <t>3.1.2.1.3.1.1</t>
  </si>
  <si>
    <t>Porción de Corto Plazo de Títulos y Valores de la Deuda Pública Interna de L.P.</t>
  </si>
  <si>
    <t>3.1.2.1.3.1.2</t>
  </si>
  <si>
    <t>Porción de Corto Plazo de Títulos y Valores de la Deuda Pública Externa de L.P.</t>
  </si>
  <si>
    <t>3.1.2.1.3.2</t>
  </si>
  <si>
    <t>Conversión de Préstamos de Largo Plazo en Corto Plazo</t>
  </si>
  <si>
    <t>3.1.2.1.3.2.1</t>
  </si>
  <si>
    <t>Porción a Corto Plazo de Préstamos de la Deuda Pública Interna de L.P.</t>
  </si>
  <si>
    <t>3.1.2.1.3.2.2</t>
  </si>
  <si>
    <t>Porción a Corto Plazo de Préstamos de la Deuda Pública Externa de L.P.</t>
  </si>
  <si>
    <t>3.1.2.1.4</t>
  </si>
  <si>
    <t>Incremento de Otros Pasivos de Corto Plazo</t>
  </si>
  <si>
    <t>3.1.2.1.4.1</t>
  </si>
  <si>
    <t>Pasivos Diferidos</t>
  </si>
  <si>
    <t xml:space="preserve">3.1.2.1.4.2 </t>
  </si>
  <si>
    <t>Fondos y Bienes de Terceros</t>
  </si>
  <si>
    <t>3.1.2.1.4.3</t>
  </si>
  <si>
    <t>3.1.2.2</t>
  </si>
  <si>
    <t xml:space="preserve">Incremento de Pasivo No Corrientes </t>
  </si>
  <si>
    <t>3.1.2.2.1</t>
  </si>
  <si>
    <t xml:space="preserve">Incremento de Cuentas por Pagar a Largo Plazo </t>
  </si>
  <si>
    <t>3.1.2.2.1.1</t>
  </si>
  <si>
    <t xml:space="preserve">Proveedores por Pagar </t>
  </si>
  <si>
    <t>3.1.2.2.1.2</t>
  </si>
  <si>
    <t>3.1.2.2.2</t>
  </si>
  <si>
    <t>Incremento de Documentos por Pagar a Largo Plazo</t>
  </si>
  <si>
    <t>3.1.2.2.2.1</t>
  </si>
  <si>
    <t>3.1.2.2.2.2</t>
  </si>
  <si>
    <t>3.1.2.2.2.3</t>
  </si>
  <si>
    <t>Otros documentos por Pagar</t>
  </si>
  <si>
    <t>3.1.2.2.3</t>
  </si>
  <si>
    <t>Colocación de Títulos y Valores a Largo Plazo</t>
  </si>
  <si>
    <t>3.1.2.2.3.1</t>
  </si>
  <si>
    <t>Colocación de Títulos y Valores de la Deuda Pública Interna</t>
  </si>
  <si>
    <t>3.1.2.2.3.2</t>
  </si>
  <si>
    <t>Colocación de Títulos y Valores de la Deuda Pública Externa</t>
  </si>
  <si>
    <t>3.1.2.2.4</t>
  </si>
  <si>
    <t>Obtención de Préstamos de la Deuda Pública a Largo Plazo</t>
  </si>
  <si>
    <t>3.1.2.2.4.1</t>
  </si>
  <si>
    <t>Obtención de Préstamos Internos</t>
  </si>
  <si>
    <t>3.1.2.2.4.2</t>
  </si>
  <si>
    <t>Obtención de Préstamos Externos</t>
  </si>
  <si>
    <t>Abono PC 2.2.3.4</t>
  </si>
  <si>
    <t>3.1.2.2.5</t>
  </si>
  <si>
    <t>Incremento de Otros Pasivos a Largo Plazo</t>
  </si>
  <si>
    <t>3.1.2.2.5.1</t>
  </si>
  <si>
    <t>3.1.2.2.5.2</t>
  </si>
  <si>
    <t>3.1.2.2.5.3</t>
  </si>
  <si>
    <t>3.1.3</t>
  </si>
  <si>
    <t>Incremento de Patrimonio</t>
  </si>
  <si>
    <t>TOTAL DE FUENTES FINANCIERAS</t>
  </si>
  <si>
    <t>APLICACIONES FINANCIERAS    (Usos)</t>
  </si>
  <si>
    <t>3.2.1</t>
  </si>
  <si>
    <t>Incremento de Activos Financieros</t>
  </si>
  <si>
    <t>3.2.1.1</t>
  </si>
  <si>
    <t>Incremento de Activos Financieros Corrientes  (Circulantes)</t>
  </si>
  <si>
    <t>3.2.1.1.1</t>
  </si>
  <si>
    <t>Incremento de Caja y Bancos (Efectivo y Equivalentes)</t>
  </si>
  <si>
    <t>Variación Positiva:  Saldo Final – Inicial</t>
  </si>
  <si>
    <t>3.2.1.1.1.1</t>
  </si>
  <si>
    <t>3.2.1.1.1.2</t>
  </si>
  <si>
    <t>3.2.1.1.1.3</t>
  </si>
  <si>
    <t>3.2.1.1.1.4</t>
  </si>
  <si>
    <t>Inversiones Temporales ( Hasta 3 Meses)</t>
  </si>
  <si>
    <t>3.2.1.1.1.5</t>
  </si>
  <si>
    <t>3.2.1.1.1.6</t>
  </si>
  <si>
    <t>Depósitos de Fondo de Terceros en Garantía y/o Administración</t>
  </si>
  <si>
    <t>3.2.1.1.1.7</t>
  </si>
  <si>
    <t>3.2.1.1.2</t>
  </si>
  <si>
    <t>Incremento de Inversiones Financieras de Corto Plazo (Derechos a recibir Efectivo o Equivalentes)</t>
  </si>
  <si>
    <t>3.2.1.1.2.1</t>
  </si>
  <si>
    <t>3.2.1.1.2.2</t>
  </si>
  <si>
    <t>3.2.1.1.2.3</t>
  </si>
  <si>
    <t>3.2.1.1.3</t>
  </si>
  <si>
    <t>Incremento de Cuentas por Cobrar</t>
  </si>
  <si>
    <t>3.2.1.1.3.1</t>
  </si>
  <si>
    <t>3.2.1.1.3.2</t>
  </si>
  <si>
    <t>3.2.1.1.3.3</t>
  </si>
  <si>
    <t>3.2.1.1.3.4</t>
  </si>
  <si>
    <t>Deudores por Anticipos de Tesorería</t>
  </si>
  <si>
    <t>3.2.1.1.4</t>
  </si>
  <si>
    <t>Incremento de Documentos por Cobrar</t>
  </si>
  <si>
    <t xml:space="preserve"> de las Cuentas contables</t>
  </si>
  <si>
    <t>3.2.1.1.4.1</t>
  </si>
  <si>
    <t>3.2.1.1.5</t>
  </si>
  <si>
    <t>Préstamos Otorgados de Corto Plazo</t>
  </si>
  <si>
    <t>3.2.1.1.6</t>
  </si>
  <si>
    <t>Incremento de Otros Activos Financieros Corrientes</t>
  </si>
  <si>
    <t>3.2.1.1.6.1</t>
  </si>
  <si>
    <t>3.2.1.1.6.2</t>
  </si>
  <si>
    <t>3.2.1.1.6.3</t>
  </si>
  <si>
    <t>3.2.1.1.6.4</t>
  </si>
  <si>
    <t>3.2.1.1.6.5</t>
  </si>
  <si>
    <t>Otros Derechos a Recibir Bienes y Servicios</t>
  </si>
  <si>
    <t>3.2.1.1.6.6</t>
  </si>
  <si>
    <t>3.2.1.2</t>
  </si>
  <si>
    <t>Incremento de Activos Financieros No Corrientes</t>
  </si>
  <si>
    <t>3.2.1.2.1</t>
  </si>
  <si>
    <t>Inversiones Financieras a Largo Plazo con Fines de Liquidez</t>
  </si>
  <si>
    <t>3.2.1.2.1.1</t>
  </si>
  <si>
    <t>Compra de Acciones y Participaciones de Capital</t>
  </si>
  <si>
    <t>3.2.1.2.1.1.1</t>
  </si>
  <si>
    <t>3.2.1.2.1.1.2</t>
  </si>
  <si>
    <t>3.2.1.2.1.2</t>
  </si>
  <si>
    <t>Compra de Títulos y Valores Representativos de la Deuda</t>
  </si>
  <si>
    <t>3.2.1.2.1.3</t>
  </si>
  <si>
    <t>Compra de Obligaciones negociables</t>
  </si>
  <si>
    <t>3.2.1.2.1.4</t>
  </si>
  <si>
    <t xml:space="preserve">3.2.1.2.1.4.1 </t>
  </si>
  <si>
    <t xml:space="preserve">3.2.1.2.1.4.2 </t>
  </si>
  <si>
    <t>3.2.1.2.2</t>
  </si>
  <si>
    <t>Incremento de Otros Activos Financieros No Corrientes</t>
  </si>
  <si>
    <t>3.2.1.2.2.1</t>
  </si>
  <si>
    <t>3.2.1.2.2.2</t>
  </si>
  <si>
    <t>3.2.1.2.2.3</t>
  </si>
  <si>
    <t>Otros Derechos a Recibir Efectivo y Equivalentes</t>
  </si>
  <si>
    <t>3.2.1.2.2.4</t>
  </si>
  <si>
    <t>3.2.1.2.2.5</t>
  </si>
  <si>
    <t>3.2.2</t>
  </si>
  <si>
    <t>Disminución de Pasivos</t>
  </si>
  <si>
    <t>3.2.2.1</t>
  </si>
  <si>
    <t>Disminución de Pasivos Corrientes</t>
  </si>
  <si>
    <t>3.2.2.1.1</t>
  </si>
  <si>
    <t>Disminución de Cuentas por Pagar</t>
  </si>
  <si>
    <t>3.2.2.1.1.1</t>
  </si>
  <si>
    <t>Servicios Personales por Pagar</t>
  </si>
  <si>
    <t>3.2.2.1.1.2</t>
  </si>
  <si>
    <t>3.2.2.1.1.3</t>
  </si>
  <si>
    <t>3.2.2.1.1.4</t>
  </si>
  <si>
    <t>3.2.2.1.1.5</t>
  </si>
  <si>
    <t>3.2.2.1.1.6</t>
  </si>
  <si>
    <t>Intereses y Comisiones y otros gastos de la Deuda Pública por Pagar</t>
  </si>
  <si>
    <t>3.2.2.1.1.7</t>
  </si>
  <si>
    <t>3.2.2.1.1.8</t>
  </si>
  <si>
    <t>Devoluciones de la Ley de Ingresos por Pagar</t>
  </si>
  <si>
    <t>3.2.2.1.1.9</t>
  </si>
  <si>
    <t>3.2.2.1.2</t>
  </si>
  <si>
    <t>Disminución de Documentos por Pagar</t>
  </si>
  <si>
    <t>3.2.2.1.2.1</t>
  </si>
  <si>
    <t>3.2.2.1.2.2</t>
  </si>
  <si>
    <t>3.2.2.1.2.3</t>
  </si>
  <si>
    <t>3.2.2.1.2.4</t>
  </si>
  <si>
    <t>3.2.2.1.2.5</t>
  </si>
  <si>
    <t>3.2.2.1.3</t>
  </si>
  <si>
    <t>Amortización de la Porción Circulante de la Deuda Pública de Largo Plazo</t>
  </si>
  <si>
    <t>3.2.2.1.3.1</t>
  </si>
  <si>
    <t>Amortización de la Porción Circulante de la Deuda Pública de L.P. en Títulos y Valores</t>
  </si>
  <si>
    <t>3.2.2.1.3.1.1</t>
  </si>
  <si>
    <t>Amortización de la Porción Circulante de la Deuda Pública Interna de L.P. en Títulos y Valores</t>
  </si>
  <si>
    <t>3.2.2.1.3.1.2</t>
  </si>
  <si>
    <t>Amortización de la Porción de la Deuda Pública Externa de L.P. En Títulos y Valores</t>
  </si>
  <si>
    <t>3.2.2.1.3.2</t>
  </si>
  <si>
    <t xml:space="preserve">Amortización de la Porción Circulante de la Deuda Pública de L.P. en Préstamos </t>
  </si>
  <si>
    <t>3.2.2.1.3.2.1</t>
  </si>
  <si>
    <t xml:space="preserve">Amortización de la Porción Circulante de la Deuda Pública Interna de L.P en Préstamos </t>
  </si>
  <si>
    <t>3.2.2.1.3.2.2</t>
  </si>
  <si>
    <t xml:space="preserve">Amortización de la Porción Circulante de la Deuda Pública Externa de L.P. en Préstamos </t>
  </si>
  <si>
    <t>3.2.2.1.4</t>
  </si>
  <si>
    <t xml:space="preserve">Disminución de Otros Pasivos de Corto Plazo </t>
  </si>
  <si>
    <t>3.2.2.1.4.1</t>
  </si>
  <si>
    <t>3.2.2.1.4.2</t>
  </si>
  <si>
    <t>Fondos y Bienes de Terceros en Garantía y/o Administración</t>
  </si>
  <si>
    <t>3.2.2.1.4.3</t>
  </si>
  <si>
    <t>3.2.2.2</t>
  </si>
  <si>
    <t>Disminución de Pasivos No Corrientes</t>
  </si>
  <si>
    <t xml:space="preserve">3.2.2.2.1 </t>
  </si>
  <si>
    <t>Disminución de Cuentas por Pagar a Largo Plazo</t>
  </si>
  <si>
    <t>3.2.2.2.1.1</t>
  </si>
  <si>
    <t>3.2.2.2.1.2</t>
  </si>
  <si>
    <t>3.2.2.2.2</t>
  </si>
  <si>
    <t>Disminución de Documentos por Pagar a  Largo Plazo</t>
  </si>
  <si>
    <t>3.2.2.2.2.1</t>
  </si>
  <si>
    <t>3.2.2.2.2.2</t>
  </si>
  <si>
    <t>3.2.2.2.2.3</t>
  </si>
  <si>
    <t>3.2.2.2.3</t>
  </si>
  <si>
    <t>Conversión de Deuda Pública de Largo Plazo en Porción Circulante</t>
  </si>
  <si>
    <t>3.2.2.2.3.1</t>
  </si>
  <si>
    <t xml:space="preserve">Conversión de Títulos y Valores de Largo Plazo en Corto Plazo </t>
  </si>
  <si>
    <t>3.2.2.2.3.1.1</t>
  </si>
  <si>
    <t>Porción de Corto Plazo de Títulos y Valores de la Deuda Pública Interna</t>
  </si>
  <si>
    <t>3.2.2.2.3.1.2</t>
  </si>
  <si>
    <t>Porción de Corto Plazo de Títulos y Valores de la Deuda Pública Externa</t>
  </si>
  <si>
    <t>3.2.2.2.3.2</t>
  </si>
  <si>
    <t>3.2.2.2.3.2.1</t>
  </si>
  <si>
    <t xml:space="preserve">Porción a Corto Plazo de Préstamos de la Deuda Pública Interna </t>
  </si>
  <si>
    <t>3.2.2.2.3.2.2</t>
  </si>
  <si>
    <t xml:space="preserve">Porción a Corto Plazo de Préstamos de la Deuda Pública Externa </t>
  </si>
  <si>
    <t>3.2.2.2.4</t>
  </si>
  <si>
    <t xml:space="preserve">Disminución de Otros Pasivos de Largo Plazo </t>
  </si>
  <si>
    <t>3.2.2.2.4.1</t>
  </si>
  <si>
    <t>3.2.2.2.4.2</t>
  </si>
  <si>
    <t>3.2.2.2.4.3</t>
  </si>
  <si>
    <t>3.2.3</t>
  </si>
  <si>
    <t>Disminución de Patrimonio</t>
  </si>
  <si>
    <t>TOTAL APLICACIONES FINANCIERAS</t>
  </si>
  <si>
    <r>
      <t>X</t>
    </r>
    <r>
      <rPr>
        <vertAlign val="superscript"/>
        <sz val="10"/>
        <color theme="1"/>
        <rFont val="Symbol"/>
        <family val="1"/>
        <charset val="2"/>
      </rPr>
      <t>*</t>
    </r>
    <r>
      <rPr>
        <sz val="10"/>
        <color theme="1"/>
        <rFont val="Verdana"/>
        <family val="2"/>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</si>
  <si>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r>
      <t>X</t>
    </r>
    <r>
      <rPr>
        <vertAlign val="superscript"/>
        <sz val="9"/>
        <color theme="1"/>
        <rFont val="Arial"/>
        <family val="2"/>
      </rPr>
      <t>†</t>
    </r>
    <r>
      <rPr>
        <sz val="12"/>
        <color theme="1"/>
        <rFont val="Times New Roman"/>
        <family val="1"/>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</si>
  <si>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t>Variación negativa: Saldo Final – Inicial de las Cuentas Contables:</t>
  </si>
  <si>
    <t/>
  </si>
  <si>
    <t>al 31 de diciembre de 2020(d)</t>
  </si>
  <si>
    <t>Hacienda Pública / Patrimonio Contribuido Neto de 2020</t>
  </si>
  <si>
    <t>Hacienda Pública / Patrimonio Generado Neto de 2020</t>
  </si>
  <si>
    <t>Exceso o Insuficiencia en la Actualización de la Hacienda Pública / Patrimonio Neto de 2020</t>
  </si>
  <si>
    <t>Cambios en la Hacienda Pública / Patrimonio Contribuido Neto de 2021</t>
  </si>
  <si>
    <t>Variaciones de la Hacienda Pública / Patrimonio Generado Neto de 2021</t>
  </si>
  <si>
    <t>Cambios en el Exceso o Insuficiencia en la Actualización de la Hacienda Pública / Patrimonio Neto de 2021</t>
  </si>
  <si>
    <t>Hacienda Pública / Patrimonio Neto Final de 2021</t>
  </si>
  <si>
    <t>92101</t>
  </si>
  <si>
    <t>Servicio Postal</t>
  </si>
  <si>
    <t>Arrendamiento de Edificios</t>
  </si>
  <si>
    <t>La variación a la presente se deriva del pago del arrendamiento de bodega utilizada para resguardar Equipo Tecnico a dar de baja de activo fijo.</t>
  </si>
  <si>
    <t>La presente disminución se realiza por la necesidad de cubrir un pago del arrendamiento de bodega para almacenamiento de activos fijos a dar de baja.</t>
  </si>
  <si>
    <t>Flejes y Maniobras</t>
  </si>
  <si>
    <t xml:space="preserve">La variación a la presente se deriva del pago de un flete por envio de liquidos sanitizantes registrados en un reembolso de gastos. </t>
  </si>
  <si>
    <t>Mantenimiento y conservación de bienes informáticos.</t>
  </si>
  <si>
    <t>Servicio de limpieza y manejo de desechos.</t>
  </si>
  <si>
    <t>La variación a la presente se deriva por el registro de un pasivo por servicios de Cobertura Informativa del Area de Noticias.</t>
  </si>
  <si>
    <t>Gastos de Orden Social y Cultural</t>
  </si>
  <si>
    <t>ANEXO A</t>
  </si>
  <si>
    <t>Dependencia y/o Entidad:</t>
  </si>
  <si>
    <t>TELEVISORA DE HERMOSILLO, S.A. DE C.V./SETS</t>
  </si>
  <si>
    <t>Programa Presupuestario:</t>
  </si>
  <si>
    <t>E101R01 OPERACIÓN DE RADIODIFUSORAS Y ESTACIONES DE TELEVISIÓN</t>
  </si>
  <si>
    <t>Eje del PED:</t>
  </si>
  <si>
    <t>EJE 1  SONORA EN PAZ Y TRANQUILIDAD</t>
  </si>
  <si>
    <t>Reto del PED:</t>
  </si>
  <si>
    <t>Reto 01 FORTALECER LA CULTURA DE PROTECCIÓN CIVIL QUE PERMITA SALVAGUARDAR LA INTEGRIDAD FÍSICA DE LAS PERSONAS, SU PATRIMONIO Y ENTORNO</t>
  </si>
  <si>
    <t>Beneficiarios:</t>
  </si>
  <si>
    <t>POBLACIÓN DEL ESTADO DE SONORA</t>
  </si>
  <si>
    <t>Resumen narrativo</t>
  </si>
  <si>
    <t>Indicadores</t>
  </si>
  <si>
    <t>Línea base</t>
  </si>
  <si>
    <t>Meta Anual</t>
  </si>
  <si>
    <t>Medios de verificación</t>
  </si>
  <si>
    <t>Supuestos</t>
  </si>
  <si>
    <t>Avance del Período</t>
  </si>
  <si>
    <t>% de Avance del periiodo</t>
  </si>
  <si>
    <t>(Objetivos)</t>
  </si>
  <si>
    <t>Nombre</t>
  </si>
  <si>
    <t>Fórmula</t>
  </si>
  <si>
    <t>Sentido del indicador</t>
  </si>
  <si>
    <t>Frecuencia</t>
  </si>
  <si>
    <t>Unidad de Medida</t>
  </si>
  <si>
    <t>Valor 2016</t>
  </si>
  <si>
    <t>(Fuentes)</t>
  </si>
  <si>
    <t>FIN</t>
  </si>
  <si>
    <t>BENEFICIAR TANTO A LA POBLACION PRINCIPALMENTE ESTATAL, ASI COMO NACIONAL E INTERNACIONAL CON UN ACCESO A PROGRAMAS EDUCATIVOS, CULTURALES, DEPORTIVO Y DE ENTRETENIMIENTO  TRANSMITIDOS VÍA SATÉLITE.</t>
  </si>
  <si>
    <t xml:space="preserve">TRANSMISION DE PROGRAMAS EDUCATIVOS, CULTURALES, DEPORTIVO Y DE ENTRETENIMIENTO </t>
  </si>
  <si>
    <t>Programas Educativos, Culturales, Deportivos y de Entretenimiento con produccion propia y apoyos externos, con transmision vía satélite con cobertura tanto estatal, nacional e internacional.</t>
  </si>
  <si>
    <t>Ascendente</t>
  </si>
  <si>
    <t>TRIMESTRAL</t>
  </si>
  <si>
    <t>PROGRAMAS</t>
  </si>
  <si>
    <t>PROGRAMACION DIARIA</t>
  </si>
  <si>
    <t>PRESUPUESTO APROBADO PARA LA ENTIDAD</t>
  </si>
  <si>
    <t>PROPÓSITO</t>
  </si>
  <si>
    <t>EL MAYOR NUMERO DE TELEVIDENTES QUE SE BENEFICIEN CON ESTE TIPO DE PROGRAMACIONES.</t>
  </si>
  <si>
    <t>POBLACION BENEFICIADA CON LA PROGRAMACION EDUCATIVA, CULTURAL, DEPORTIVA Y DE ENTRETENIMIENTO VIA SEÑAL SATELITAL</t>
  </si>
  <si>
    <t>((Programas educativos, cultural, deportiva y de entretenimiento con produccion propia al año+Programas educativos, cultural, deportiva y de entretenimiento con apoyos externos al año transmitidos en el año) / total de la programacion educativa, cultural, deportiva y de entretenimiento programados a transmitirse) /100</t>
  </si>
  <si>
    <t>(1972+2144)/ (4200) =
103%</t>
  </si>
  <si>
    <t>(1,121,711/2,932,821)*100=
38.2%</t>
  </si>
  <si>
    <t>(1720+1680)/(3400)= 100%</t>
  </si>
  <si>
    <t>COMPONENTES</t>
  </si>
  <si>
    <t>C1 Programas producidos por TELEMAX</t>
  </si>
  <si>
    <t>PROGRAMAS PRODUCIDOS POR TELEMAX CUIDANDO SU CALIDAD Y CONTENIDO EN BENEFICIO DE LA POBLACION DE TODAS LAS EDADES.</t>
  </si>
  <si>
    <t>(Programas con produccion propia/Programas con produccion externa)/100</t>
  </si>
  <si>
    <t>4116 (absoluto línea base)</t>
  </si>
  <si>
    <t xml:space="preserve">  ((242,433-230,888)/230,888)*100= 5%                         </t>
  </si>
  <si>
    <t xml:space="preserve">  1720/3400 =  51 %                         </t>
  </si>
  <si>
    <t>C2 Programas con produccion externa.</t>
  </si>
  <si>
    <t>PROGRAMAS CON PRODUCCION EXTERNA Y TRANSMITIDOS POR TELEMAX CUIDANDO SU CALIDAD Y CONTENIDO EN BENEFICIO DE LA POBLACION DE TODAS LAS EDADES.</t>
  </si>
  <si>
    <t>(Programas con produccion externa/Programas con produccion propia)*100</t>
  </si>
  <si>
    <t xml:space="preserve">                                              (136,000-135,812)/135,812)*100= 0%</t>
  </si>
  <si>
    <t>1680/3400  = 49%</t>
  </si>
  <si>
    <t>ACTIVIDADES</t>
  </si>
  <si>
    <t xml:space="preserve">A1 C1 Realización de programas en el Estudio.
</t>
  </si>
  <si>
    <t xml:space="preserve">Programas producidos por TELEMAX </t>
  </si>
  <si>
    <t xml:space="preserve">Porcentaje de programacion propia producida en los estudios de TELEMAX en relacion al total de programacion cultural </t>
  </si>
  <si>
    <t>variable</t>
  </si>
  <si>
    <t>A2 C1 Realizacion de programas o capsulas informativas en locaciones tanto estatales, nacionales como internacionales.</t>
  </si>
  <si>
    <t>Programas producidos en otras locaciones por TELEMAX</t>
  </si>
  <si>
    <t xml:space="preserve">Porcentaje de programacion propia producida fuera de las instalaciones de TELEMAX, en relacion al total de programacion cultural </t>
  </si>
  <si>
    <t>A3 C1 Transmision de eventos truqueados o en vivo.</t>
  </si>
  <si>
    <t>Cobertura de programas y eventos.</t>
  </si>
  <si>
    <t xml:space="preserve">Porcentaje de programas y eventos culturales, con cobertura y edicion propios en relacion al total de programacion cultural   </t>
  </si>
  <si>
    <t>A1 C2 Transmision de programas proporcionados por la SEC</t>
  </si>
  <si>
    <t>Programacion diaria enviada por la SEC</t>
  </si>
  <si>
    <t>Porcentaje de programacion externa diaria enviada por la SEC para ser transmitidos por TELEMAX en relacion al total de programacion cultural</t>
  </si>
  <si>
    <t>A2 C2 Temporadas de programas educativos escolares.</t>
  </si>
  <si>
    <t xml:space="preserve">Programas escolares producidos por la SEC y SEP </t>
  </si>
  <si>
    <t>Porcentaje de programas externos escolares enviados tanto por la SEC como por la SEP, para ser transmitidos por TELEMAX en relacion al total de programacion cultural</t>
  </si>
  <si>
    <t>A3 C2 Recepcion y transmision de programas de diferentes casas productoras.</t>
  </si>
  <si>
    <t>Programas producidos por otras casas productoras</t>
  </si>
  <si>
    <t>Porcentaje de programas externos recibidos para su transmision de casas prodcutoras, cuidando su calidad y contenido en relacion al total de programacion cultural</t>
  </si>
  <si>
    <t>LIC. TALINA MARTINEZ RAMOS</t>
  </si>
  <si>
    <t>15201</t>
  </si>
  <si>
    <t>Honorarios</t>
  </si>
  <si>
    <t>La disminucíón a la presente se deriva para el registro de concepto de Gratificacion a personal del Area de Dirección.</t>
  </si>
  <si>
    <t>La variación a la presente se deriva del pago de finiquito a personal del Area de Administración asi como el pago de Demanda por Prestaciones Condenadas recibido.</t>
  </si>
  <si>
    <t>Dias Economicos y de Descanso Obligatorios Laborados</t>
  </si>
  <si>
    <t>La disminución a la presente partida se lleva a cabo por la necesidad de aplicar ésta,  en partidas de la 1000 que fueron insuficientes y la requirieron para su registro.</t>
  </si>
  <si>
    <t>La variación a la presente se deriva del pago de finiquitos a personal del Area de Noticias, Operaciones y Administración asi como compromisos realizados con STIRT.</t>
  </si>
  <si>
    <t>Estimulos al Personal</t>
  </si>
  <si>
    <t>La variación a la presente se deriva del pago de finiquitos a personal del Area de Operaciones y de Bono de Productividad de personal 2021.</t>
  </si>
  <si>
    <t>Material de Limpieza</t>
  </si>
  <si>
    <t>La variación a la presente se deriva del pago de Materiales necesarios para el mantenimiento de Televisora.</t>
  </si>
  <si>
    <t>Productos Alimenticios para el Personal</t>
  </si>
  <si>
    <t>La variación a la presente se deriva del pago de Alimentación a personal por trabajos necesarios de Televisora.</t>
  </si>
  <si>
    <t>Servicios de Acceso a Internet, Redes y Procesamiento de Información</t>
  </si>
  <si>
    <t>La disminución a la presente partida se lleva a cabo por la necesidad de aplicar ésta,  en partidas de la 3000 que fueron insuficientes y la requirieron para su registro.</t>
  </si>
  <si>
    <t>Arrendamiento de Terrenos</t>
  </si>
  <si>
    <t>Servicios legales, de contabilidad, auditorias y relacionados</t>
  </si>
  <si>
    <t>Mantenimiento y Conservacion de Inmuebles</t>
  </si>
  <si>
    <t>Mantenimiento y Conservacion de Mobiliario y Equipo</t>
  </si>
  <si>
    <t>La variación a la presente se deriva por el registro de un pasivo por servicios de Mantenimiento Preventido a Instalaciones de Aires Acondicionados de Televisora.</t>
  </si>
  <si>
    <t>Mantenimiento y Conservacion de Equipo de Transporte</t>
  </si>
  <si>
    <t>La variación a la presente se deriva por el registro de un pasivo por servicios de Mantenimiento a  Flotilla Vehicular de Televisora.</t>
  </si>
  <si>
    <t>Difusion por Radio, Television y otros medios de mensajes comerciales, para promover la venta de productos o servicios</t>
  </si>
  <si>
    <t>Servicios de creatividad, preproducción y producción de publicidad, excepto internet.</t>
  </si>
  <si>
    <t>La variación a la presente se deriva por el registro de un pasivo por espacios publicitarios, impresiones y servicios fotográficos.</t>
  </si>
  <si>
    <t>La variación a al presente se deriva por el registro de viajes a la Cd. De México de Dirección y Gerencia de Administración a reunión en ASF.</t>
  </si>
  <si>
    <t>LIC. TALINA MARTÍNEZ RAMOS</t>
  </si>
  <si>
    <t>Análisis cualitativo de las metas programadas en la
Matriz de Indicadores de Resultados</t>
  </si>
  <si>
    <t>Indicador:Transmisión de Programas Educativos, Culturales, Deportivos y de Entretenimiento</t>
  </si>
  <si>
    <t>META 2021</t>
  </si>
  <si>
    <t>AVANCE</t>
  </si>
  <si>
    <t>Eficacia:</t>
  </si>
  <si>
    <t>Se cumplió con la meta establecida</t>
  </si>
  <si>
    <t>No se cuenta con información (Meta Anual)</t>
  </si>
  <si>
    <t>No se alcanzó la meta establecida</t>
  </si>
  <si>
    <t>x</t>
  </si>
  <si>
    <t>ANALISIS CUALITATIVO</t>
  </si>
  <si>
    <t>TELEVISORA DE HERMOSILLO, S.A. DE C.V., SOBRE PASO LA  META ESTABLECIDA POR EL TIEMPO CEDIDO A LA PROGRAMACIÓN "APRENDE EN CLASE" DE LA SERETARIA DE EDUCACIÓN Y CULTURA, COMO CONSECUENCIA DE LA PANDEMIA POR SARS-COVID-2019</t>
  </si>
  <si>
    <t>Propósito</t>
  </si>
  <si>
    <t>Indicador: Población beneficiada con la Programación Educativa, Ciltural, Deportiva y de Entretenimiento vía señal satelital</t>
  </si>
  <si>
    <t>Causa:</t>
  </si>
  <si>
    <t>Efecto:</t>
  </si>
  <si>
    <t>Contribución al Fin:</t>
  </si>
  <si>
    <t>El mayor numero de televidentes que se beneficien con este tipo de programación.</t>
  </si>
  <si>
    <t>Componente C1: Programas producidos por TELEMAX</t>
  </si>
  <si>
    <t>Indicador. Programas producidos por TELEMAX, cuidando su calidad y contenido en beneficio de la población de todas las edades.</t>
  </si>
  <si>
    <t>X</t>
  </si>
  <si>
    <t xml:space="preserve">Se tuvo la necesidad de dejar de producir programas grabados en los estudios, por la contingencia sanitaria, sin dejar de atender este indicador. </t>
  </si>
  <si>
    <t>Contribución al Propósito:</t>
  </si>
  <si>
    <t>Una realidad para el teleauditorio es que aún y cuando no se realizaron el total de programas planeados, los espacios fueron cubiertos por programación grabada en archivos, noticieros, y "aprende en casa", por lo que la teleaudiencia siguió la programación de TELEMAX y siempre se cuidó su calidad y contenido</t>
  </si>
  <si>
    <t>Actividad A1 C1: Realización de Programas en el Estudio</t>
  </si>
  <si>
    <t>Indicador.  Programas Producidos por TELEMAX</t>
  </si>
  <si>
    <t>Relación con el componente:</t>
  </si>
  <si>
    <t>Los espacios de transmisión se cedieron a las clases de la SEC "APRENDE EN CASA II"</t>
  </si>
  <si>
    <t>Actividad A2 C1: Realizacion de programas y cápsulas informativas de locaciones tanto estatales, nacionales como internacionales.</t>
  </si>
  <si>
    <t>Indicador.  Programas producidos en otras locaciones por TELEMAX</t>
  </si>
  <si>
    <t>Actividad A3 C1: Transmisión de eventos truqueados o en vivo</t>
  </si>
  <si>
    <t>Indicador.  Cobertura de Programas y Eventos</t>
  </si>
  <si>
    <t>Componente C2: : Programas con Producción externa.</t>
  </si>
  <si>
    <t>Indicador. Programas con Producción externa y transmitidos por TELEMAX, cuidando su calidad y contenido en beneficio  de la población de todas las edades.</t>
  </si>
  <si>
    <t>LA Programación transmitida por TELEMAX pero con producción externa, dió paso a la progamación de las clases "APRENDE EN CASA II", para este ultimo trimestre del año, producido por la Secretaria de Educacion, para este periodo de pandemia que ha obligado a los estudiantes a recibir sus lecciones en casa por este medio, lo cual a logrado que TELEMAX tenga cubierto este propósito.</t>
  </si>
  <si>
    <t>Actividad A1 C2: Transmisión de Programas proporcionados por la SEC</t>
  </si>
  <si>
    <t>Indicador.  Programación diaria enviada por la SEC</t>
  </si>
  <si>
    <t>Diariamente se recibe el contenido producido por la SEC que es incluida en nuestra prgamación cultural y que busca beneficiar al público de todas las edades</t>
  </si>
  <si>
    <t>Actividad A2 C2: Temporadas de programas educativos escolares</t>
  </si>
  <si>
    <t>Indicador.  Programas escolares producidos por la SEC y SEP</t>
  </si>
  <si>
    <t>META 2020</t>
  </si>
  <si>
    <t>Actividad A3 C2: Recepción y Transmisión de programas de diferentes casas productoras</t>
  </si>
  <si>
    <t>Indicador.  Programación producidos por otras casas productoras</t>
  </si>
  <si>
    <t>Es el espacio de transmisión de programación de casas productoras que aporten interes al teleauditorio, cuidando calidad y contenido</t>
  </si>
  <si>
    <t>Al 30 de Septiembre de 2021</t>
  </si>
  <si>
    <t>Al 30 de Septiembre de 2020 y al 30 de Septiembre de 2021 (b)</t>
  </si>
  <si>
    <t>Del 01 de Enero al 30 de Septiembre de 2021</t>
  </si>
  <si>
    <t>ANALISIS DE VARIACIONES PROGRAMATICO-PRESUPUESTAL 30 DE SEPTIEMBRE DE  2021.</t>
  </si>
  <si>
    <t>LIC. KARLA PAULINA OCAÑA ENCINAS</t>
  </si>
  <si>
    <t>Existe jucio pendiente de determinar fallo representando una contingencia aproximada de  $ 236,687,.84</t>
  </si>
  <si>
    <t>DIRECTORA GENERAL</t>
  </si>
  <si>
    <t>MODIFICADO AL TERCER TRIMESTRE DE 2021</t>
  </si>
  <si>
    <t>La disminucíón a la presente se deriva para el registro de finiquitos a personal del Area de Noticias, Operaciones, Administración y Técnica llevados a cabo en el presente.</t>
  </si>
  <si>
    <t>La variación a la presente se deriva del pago de Tiempo extraordinario  a personal del Area de Tecnica en el presente.</t>
  </si>
  <si>
    <t>Diferencial por concepto de pensiones y jubilaciones</t>
  </si>
  <si>
    <t>La variación a la presente se deriva del pago pensiones alimenticias a personal del Area de Operaciones.</t>
  </si>
  <si>
    <t>Materiales, útiles y equipos menores de oficina</t>
  </si>
  <si>
    <t>La disminución a la presente partida se lleva a cabo por la necesidad de aplicar ésta,  en partidas de la 2000 que fueron insuficientes y la requirieron para su registro.</t>
  </si>
  <si>
    <t>La variación a la presente se deriva por la adquisición de baterias para UPS que soporta la transmisión de Televisora en caso de fallas de corriente eléctrica.</t>
  </si>
  <si>
    <t>La variación a la presente se deriva del pago de Vestuarios a personal del Area de Operaciones para realización del Programa Que tal Sonora.</t>
  </si>
  <si>
    <t>Refacciones y accesorios menores de equipo de transporte</t>
  </si>
  <si>
    <t>Seguro de bienes patrimoniales</t>
  </si>
  <si>
    <t>La variación a la presente se deriva por el registro de un pasivo por servicios de transmisión satelital de eventos transmitidos.</t>
  </si>
  <si>
    <t>La variación a la presente se deriva por el pago de revalidación de placas 2021 a la flotilla vehicular de Televisora.</t>
  </si>
  <si>
    <t>Se informa acerca de las variaciones presupuestales realizadas con corte al Tercer Trimestre de 2021,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</si>
  <si>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092</t>
  </si>
  <si>
    <t>3er.Trimestre 2021</t>
  </si>
  <si>
    <t>Periodo reportado: Tercer Trimestre 2021 ETCA-III-05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</si>
</sst>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quot;$&quot;#,##0.00"/>
    <numFmt numFmtId="43" formatCode="_-* #,##0.00_-;\-* #,##0.00_-;_-* &quot;-&quot;??_-;_-@_-"/>
    <numFmt numFmtId="164" formatCode="_(* #,##0_);_(* \(#,##0\);_(* &quot;-&quot;_);_(@_)"/>
    <numFmt numFmtId="165" formatCode="_(&quot;$&quot;* #,##0.00_);_(&quot;$&quot;* \(#,##0.00\);_(&quot;$&quot;* &quot;-&quot;??_);_(@_)"/>
    <numFmt numFmtId="166" formatCode="_(* #,##0.00_);_(* \(#,##0.00\);_(* &quot;-&quot;??_);_(@_)"/>
    <numFmt numFmtId="167" formatCode="_-&quot;€&quot;* #,##0.00_-;\-&quot;€&quot;* #,##0.00_-;_-&quot;€&quot;* &quot;-&quot;??_-;_-@_-"/>
    <numFmt numFmtId="168" formatCode="_-* #,##0.0000_-;\-* #,##0.0000_-;_-* &quot;-&quot;??_-;_-@_-"/>
    <numFmt numFmtId="169" formatCode="#,##0.00_ ;[Red]\-#,##0.00\ "/>
    <numFmt numFmtId="170" formatCode="_-* #,##0_-;\-* #,##0_-;_-* &quot;-&quot;??_-;_-@_-"/>
    <numFmt numFmtId="171" formatCode="#,##0_ ;[Red]\-#,##0\ "/>
    <numFmt numFmtId="172" formatCode="0.000%"/>
    <numFmt numFmtId="173" formatCode="0.00000000000000%"/>
  </numFmts>
  <fonts count="125"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sz val="12"/>
      <name val="Calibri"/>
      <family val="2"/>
      <scheme val="minor"/>
    </font>
    <font>
      <sz val="10"/>
      <color theme="1"/>
      <name val="Calibri"/>
      <family val="2"/>
      <scheme val="minor"/>
    </font>
    <font>
      <sz val="12"/>
      <color theme="1"/>
      <name val="Arial"/>
      <family val="2"/>
    </font>
    <font>
      <sz val="10"/>
      <color indexed="8"/>
      <name val="Arial Narrow"/>
      <family val="2"/>
    </font>
    <font>
      <sz val="9"/>
      <name val="Times New Roman"/>
      <family val="1"/>
    </font>
    <font>
      <sz val="11"/>
      <color rgb="FFFF0000"/>
      <name val="Calibri"/>
      <family val="2"/>
      <scheme val="minor"/>
    </font>
    <font>
      <u/>
      <sz val="11"/>
      <color theme="10"/>
      <name val="Calibri"/>
      <family val="2"/>
      <scheme val="minor"/>
    </font>
    <font>
      <b/>
      <sz val="12"/>
      <name val="Arial"/>
      <family val="2"/>
    </font>
    <font>
      <sz val="11"/>
      <color rgb="FFFFFF00"/>
      <name val="Calibri"/>
      <family val="2"/>
      <scheme val="minor"/>
    </font>
    <font>
      <b/>
      <sz val="16"/>
      <color theme="1"/>
      <name val="Arial"/>
      <family val="2"/>
    </font>
    <font>
      <sz val="12"/>
      <name val="Arial"/>
      <family val="2"/>
    </font>
    <font>
      <sz val="11"/>
      <name val="Arial"/>
      <family val="2"/>
    </font>
    <font>
      <u/>
      <sz val="11"/>
      <name val="Calibri"/>
      <family val="2"/>
      <scheme val="minor"/>
    </font>
    <font>
      <sz val="11"/>
      <name val="Calibri"/>
      <family val="2"/>
      <scheme val="minor"/>
    </font>
    <font>
      <sz val="10"/>
      <color rgb="FF000000"/>
      <name val="Calibri"/>
      <family val="2"/>
      <scheme val="minor"/>
    </font>
    <font>
      <b/>
      <sz val="8"/>
      <color rgb="FF000000"/>
      <name val="Calibri"/>
      <family val="2"/>
    </font>
    <font>
      <sz val="11"/>
      <color rgb="FF000000"/>
      <name val="Calibri"/>
      <family val="2"/>
    </font>
    <font>
      <b/>
      <sz val="9"/>
      <color theme="1"/>
      <name val="Arial"/>
      <family val="2"/>
    </font>
    <font>
      <sz val="9"/>
      <color theme="1"/>
      <name val="Arial"/>
      <family val="2"/>
    </font>
    <font>
      <i/>
      <sz val="9"/>
      <color theme="1"/>
      <name val="Arial"/>
      <family val="2"/>
    </font>
    <font>
      <u/>
      <sz val="9"/>
      <color theme="1"/>
      <name val="Arial"/>
      <family val="2"/>
    </font>
    <font>
      <sz val="10"/>
      <color theme="1"/>
      <name val="Verdana"/>
      <family val="2"/>
    </font>
    <font>
      <vertAlign val="superscript"/>
      <sz val="10"/>
      <color theme="1"/>
      <name val="Symbol"/>
      <family val="1"/>
      <charset val="2"/>
    </font>
    <font>
      <vertAlign val="superscript"/>
      <sz val="9"/>
      <color theme="1"/>
      <name val="Arial"/>
      <family val="2"/>
    </font>
    <font>
      <sz val="12"/>
      <color theme="1"/>
      <name val="Times New Roman"/>
      <family val="1"/>
    </font>
    <font>
      <sz val="10"/>
      <color indexed="10"/>
      <name val="Arial Narrow"/>
      <family val="2"/>
    </font>
    <font>
      <b/>
      <sz val="9"/>
      <color rgb="FFFFFFFF"/>
      <name val="Montserrat"/>
    </font>
    <font>
      <sz val="9"/>
      <color theme="1"/>
      <name val="Calibri"/>
      <family val="2"/>
      <scheme val="minor"/>
    </font>
    <font>
      <sz val="9"/>
      <name val="Montserrat"/>
    </font>
    <font>
      <b/>
      <sz val="9"/>
      <color rgb="FF000000"/>
      <name val="Montserrat"/>
    </font>
    <font>
      <b/>
      <sz val="9"/>
      <color theme="1"/>
      <name val="Calibri"/>
      <family val="2"/>
      <scheme val="minor"/>
    </font>
    <font>
      <b/>
      <sz val="9"/>
      <name val="Montserrat"/>
    </font>
    <font>
      <sz val="9"/>
      <color rgb="FF000000"/>
      <name val="Montserrat"/>
    </font>
    <font>
      <sz val="10"/>
      <color rgb="FF000000"/>
      <name val="Arial"/>
      <family val="2"/>
    </font>
    <font>
      <b/>
      <sz val="10"/>
      <color theme="1"/>
      <name val="Calibri"/>
      <family val="2"/>
      <scheme val="minor"/>
    </font>
    <font>
      <sz val="10"/>
      <color indexed="8"/>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FF"/>
      </patternFill>
    </fill>
    <fill>
      <patternFill patternType="solid">
        <fgColor theme="9"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thin">
        <color indexed="64"/>
      </bottom>
      <diagonal/>
    </border>
    <border>
      <left style="thin">
        <color indexed="64"/>
      </left>
      <right style="thick">
        <color indexed="64"/>
      </right>
      <top style="medium">
        <color indexed="64"/>
      </top>
      <bottom style="double">
        <color indexed="64"/>
      </bottom>
      <diagonal/>
    </border>
    <border>
      <left/>
      <right style="thick">
        <color indexed="64"/>
      </right>
      <top style="double">
        <color indexed="64"/>
      </top>
      <bottom/>
      <diagonal/>
    </border>
    <border>
      <left/>
      <right style="thick">
        <color indexed="64"/>
      </right>
      <top/>
      <bottom/>
      <diagonal/>
    </border>
    <border>
      <left/>
      <right style="thick">
        <color indexed="64"/>
      </right>
      <top/>
      <bottom style="medium">
        <color indexed="64"/>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165" fontId="8" fillId="0" borderId="0" applyFont="0" applyFill="0" applyBorder="0" applyAlignment="0" applyProtection="0"/>
    <xf numFmtId="166" fontId="4" fillId="0" borderId="0" applyFont="0" applyFill="0" applyBorder="0" applyAlignment="0" applyProtection="0"/>
    <xf numFmtId="0" fontId="13" fillId="5" borderId="0" applyNumberFormat="0" applyBorder="0" applyAlignment="0" applyProtection="0"/>
    <xf numFmtId="0" fontId="8" fillId="0" borderId="0"/>
    <xf numFmtId="166" fontId="8" fillId="0" borderId="0" applyFont="0" applyFill="0" applyBorder="0" applyAlignment="0" applyProtection="0"/>
    <xf numFmtId="0" fontId="8" fillId="0" borderId="0"/>
    <xf numFmtId="0" fontId="95" fillId="0" borderId="0" applyNumberFormat="0" applyFill="0" applyBorder="0" applyAlignment="0" applyProtection="0"/>
    <xf numFmtId="0" fontId="105" fillId="0" borderId="0" applyNumberFormat="0" applyBorder="0" applyAlignment="0"/>
    <xf numFmtId="43" fontId="8" fillId="0" borderId="0" applyFont="0" applyFill="0" applyBorder="0" applyAlignment="0" applyProtection="0"/>
  </cellStyleXfs>
  <cellXfs count="1540">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166"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166"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166"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166" fontId="1" fillId="0" borderId="0" xfId="0" applyNumberFormat="1" applyFont="1" applyFill="1" applyBorder="1" applyAlignment="1" applyProtection="1">
      <alignment wrapText="1"/>
      <protection locked="0"/>
    </xf>
    <xf numFmtId="166"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166" fontId="17" fillId="0" borderId="6" xfId="0" applyNumberFormat="1" applyFont="1" applyFill="1" applyBorder="1" applyAlignment="1" applyProtection="1">
      <alignment wrapText="1"/>
      <protection locked="0"/>
    </xf>
    <xf numFmtId="166" fontId="15" fillId="0" borderId="0" xfId="0" applyNumberFormat="1" applyFont="1" applyFill="1" applyBorder="1" applyAlignment="1" applyProtection="1">
      <alignment wrapText="1"/>
      <protection locked="0"/>
    </xf>
    <xf numFmtId="166"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166"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166"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166"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166"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166" fontId="15" fillId="2" borderId="6" xfId="0" applyNumberFormat="1" applyFont="1" applyFill="1" applyBorder="1" applyAlignment="1" applyProtection="1">
      <alignment wrapText="1"/>
    </xf>
    <xf numFmtId="166" fontId="3" fillId="2" borderId="0" xfId="0" applyNumberFormat="1" applyFont="1" applyFill="1" applyBorder="1" applyAlignment="1" applyProtection="1">
      <alignment wrapText="1"/>
    </xf>
    <xf numFmtId="166" fontId="3" fillId="2" borderId="6" xfId="0" applyNumberFormat="1" applyFont="1" applyFill="1" applyBorder="1" applyAlignment="1" applyProtection="1">
      <alignment wrapText="1"/>
    </xf>
    <xf numFmtId="166" fontId="3" fillId="2" borderId="0" xfId="0" applyNumberFormat="1" applyFont="1" applyFill="1" applyBorder="1" applyAlignment="1" applyProtection="1">
      <alignment vertical="center" wrapText="1"/>
    </xf>
    <xf numFmtId="166" fontId="3" fillId="2" borderId="6" xfId="0" applyNumberFormat="1" applyFont="1" applyFill="1" applyBorder="1" applyAlignment="1" applyProtection="1">
      <alignment vertical="center" wrapText="1"/>
    </xf>
    <xf numFmtId="166" fontId="15" fillId="2" borderId="0" xfId="0" applyNumberFormat="1" applyFont="1" applyFill="1" applyBorder="1" applyAlignment="1" applyProtection="1"/>
    <xf numFmtId="166" fontId="15" fillId="2" borderId="6" xfId="0" applyNumberFormat="1" applyFont="1" applyFill="1" applyBorder="1" applyAlignment="1" applyProtection="1"/>
    <xf numFmtId="0" fontId="6" fillId="0" borderId="37" xfId="0" applyFont="1" applyFill="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0"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1" xfId="0" applyFont="1" applyFill="1" applyBorder="1" applyAlignment="1" applyProtection="1">
      <alignment horizontal="justify" vertical="center"/>
      <protection locked="0"/>
    </xf>
    <xf numFmtId="0" fontId="27" fillId="3" borderId="40" xfId="0" applyFont="1" applyFill="1" applyBorder="1" applyAlignment="1" applyProtection="1">
      <alignment horizontal="center" vertical="center"/>
      <protection locked="0"/>
    </xf>
    <xf numFmtId="0" fontId="27" fillId="3" borderId="42" xfId="0" applyFont="1" applyFill="1" applyBorder="1" applyAlignment="1" applyProtection="1">
      <alignment horizontal="center" vertical="center"/>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12" fillId="0" borderId="0" xfId="0" applyNumberFormat="1" applyFont="1" applyFill="1" applyBorder="1" applyProtection="1">
      <protection locked="0"/>
    </xf>
    <xf numFmtId="4" fontId="24" fillId="0" borderId="0"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0" fontId="14" fillId="0" borderId="40"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3" fillId="0" borderId="0" xfId="0" applyFont="1" applyAlignment="1" applyProtection="1">
      <alignment vertical="center"/>
      <protection locked="0"/>
    </xf>
    <xf numFmtId="0" fontId="44"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1" xfId="0" applyFont="1" applyFill="1" applyBorder="1" applyAlignment="1" applyProtection="1">
      <alignment horizontal="center" vertical="center" wrapText="1"/>
      <protection locked="0"/>
    </xf>
    <xf numFmtId="4" fontId="6" fillId="2" borderId="44" xfId="0" applyNumberFormat="1" applyFont="1" applyFill="1" applyBorder="1" applyAlignment="1" applyProtection="1">
      <alignment horizontal="right" vertical="center" wrapText="1"/>
    </xf>
    <xf numFmtId="0" fontId="21" fillId="3" borderId="43"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16" fillId="3" borderId="21" xfId="0" applyFont="1" applyFill="1" applyBorder="1" applyAlignment="1" applyProtection="1">
      <alignment horizontal="justify" vertical="center"/>
      <protection locked="0"/>
    </xf>
    <xf numFmtId="4" fontId="6" fillId="0" borderId="44" xfId="0" applyNumberFormat="1" applyFont="1" applyFill="1" applyBorder="1" applyAlignment="1" applyProtection="1">
      <alignment horizontal="right" vertical="center" wrapText="1"/>
    </xf>
    <xf numFmtId="166" fontId="6" fillId="0" borderId="17" xfId="0" applyNumberFormat="1" applyFont="1" applyFill="1" applyBorder="1" applyAlignment="1" applyProtection="1">
      <alignment horizontal="right" vertical="center" wrapText="1"/>
      <protection locked="0"/>
    </xf>
    <xf numFmtId="166"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3"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0" fontId="16" fillId="2" borderId="21"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7" xfId="0" applyFont="1" applyFill="1" applyBorder="1" applyAlignment="1" applyProtection="1">
      <alignment horizontal="justify" vertical="center"/>
      <protection locked="0"/>
    </xf>
    <xf numFmtId="0" fontId="19" fillId="3" borderId="27"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5" fillId="0" borderId="0" xfId="0" applyFont="1" applyFill="1" applyAlignment="1" applyProtection="1">
      <alignment horizontal="justify"/>
      <protection locked="0"/>
    </xf>
    <xf numFmtId="0" fontId="46" fillId="0" borderId="0" xfId="0" applyFont="1" applyFill="1" applyAlignment="1" applyProtection="1">
      <alignment horizontal="right"/>
      <protection locked="0"/>
    </xf>
    <xf numFmtId="0" fontId="1" fillId="0" borderId="47" xfId="0" applyFont="1" applyFill="1" applyBorder="1" applyAlignment="1" applyProtection="1">
      <alignment horizontal="left" vertical="center" wrapText="1" indent="2"/>
      <protection locked="0"/>
    </xf>
    <xf numFmtId="0" fontId="1" fillId="0" borderId="48"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7" xfId="0" applyFont="1" applyFill="1" applyBorder="1" applyAlignment="1" applyProtection="1">
      <alignment horizontal="justify" vertical="center" wrapText="1"/>
      <protection locked="0"/>
    </xf>
    <xf numFmtId="0" fontId="3" fillId="0" borderId="43"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6"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4"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2"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7"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6"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7" xfId="0" applyFont="1" applyBorder="1" applyAlignment="1">
      <alignment horizontal="left" vertical="top" wrapText="1"/>
    </xf>
    <xf numFmtId="0" fontId="3" fillId="0" borderId="17" xfId="0" applyFont="1" applyBorder="1" applyAlignment="1">
      <alignment horizontal="justify" vertical="top" wrapText="1"/>
    </xf>
    <xf numFmtId="0" fontId="1" fillId="0" borderId="47"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7" xfId="0" applyFont="1" applyBorder="1" applyAlignment="1">
      <alignment horizontal="left" vertical="top" wrapText="1" indent="2"/>
    </xf>
    <xf numFmtId="0" fontId="1" fillId="0" borderId="47" xfId="0" applyFont="1" applyBorder="1" applyAlignment="1">
      <alignment horizontal="left" vertical="top" wrapText="1" indent="3"/>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1" xfId="0" applyNumberFormat="1" applyFont="1" applyBorder="1" applyAlignment="1" applyProtection="1">
      <alignment horizontal="right" vertical="center"/>
    </xf>
    <xf numFmtId="4" fontId="33" fillId="0" borderId="44"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8" fillId="0" borderId="0" xfId="0" applyFont="1" applyProtection="1">
      <protection locked="0"/>
    </xf>
    <xf numFmtId="0" fontId="11" fillId="0" borderId="47"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7" xfId="0" applyFont="1" applyBorder="1" applyAlignment="1" applyProtection="1">
      <alignment horizontal="justify" vertical="center" wrapText="1"/>
      <protection locked="0"/>
    </xf>
    <xf numFmtId="0" fontId="22" fillId="0" borderId="47" xfId="0" applyFont="1" applyBorder="1" applyAlignment="1" applyProtection="1">
      <alignment horizontal="left" vertical="center" wrapText="1" indent="4"/>
      <protection locked="0"/>
    </xf>
    <xf numFmtId="0" fontId="3" fillId="0" borderId="43" xfId="0" applyFont="1" applyBorder="1" applyAlignment="1" applyProtection="1">
      <alignment horizontal="justify" vertical="center" wrapText="1"/>
      <protection locked="0"/>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6"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6" xfId="0" applyNumberFormat="1" applyFont="1" applyBorder="1" applyAlignment="1" applyProtection="1">
      <alignment horizontal="right" vertical="center"/>
    </xf>
    <xf numFmtId="0" fontId="49"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3"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vertical="center"/>
      <protection locked="0"/>
    </xf>
    <xf numFmtId="0" fontId="2" fillId="0" borderId="47"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8"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2"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6"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7"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6"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51" fillId="0" borderId="0" xfId="0" applyFont="1" applyFill="1" applyBorder="1" applyAlignment="1" applyProtection="1">
      <alignment horizontal="center"/>
      <protection locked="0"/>
    </xf>
    <xf numFmtId="0" fontId="50" fillId="0" borderId="0" xfId="0" applyFont="1" applyBorder="1" applyAlignment="1" applyProtection="1">
      <alignment horizontal="left"/>
      <protection locked="0"/>
    </xf>
    <xf numFmtId="0" fontId="47" fillId="0" borderId="0" xfId="0" applyFont="1" applyBorder="1" applyAlignment="1" applyProtection="1">
      <alignment horizontal="left"/>
      <protection locked="0"/>
    </xf>
    <xf numFmtId="0" fontId="50" fillId="0" borderId="0" xfId="0" applyFont="1" applyFill="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50"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51"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4" fillId="0" borderId="0" xfId="0" applyFont="1" applyFill="1" applyBorder="1" applyAlignment="1" applyProtection="1">
      <alignment horizontal="left"/>
    </xf>
    <xf numFmtId="0" fontId="22" fillId="0" borderId="0" xfId="0" applyFont="1" applyFill="1" applyProtection="1">
      <protection locked="0"/>
    </xf>
    <xf numFmtId="0" fontId="44"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pplyProtection="1">
      <alignment horizontal="right" vertical="center" wrapText="1"/>
    </xf>
    <xf numFmtId="0" fontId="3" fillId="0" borderId="47"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6"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6" xfId="0" applyNumberFormat="1" applyFont="1" applyFill="1" applyBorder="1" applyAlignment="1" applyProtection="1">
      <alignment horizontal="right" vertical="center" wrapText="1"/>
    </xf>
    <xf numFmtId="0" fontId="1" fillId="0" borderId="47" xfId="0" applyFont="1" applyFill="1" applyBorder="1" applyAlignment="1" applyProtection="1">
      <alignment horizontal="left" vertical="top" wrapText="1" indent="2"/>
      <protection locked="0"/>
    </xf>
    <xf numFmtId="3" fontId="1" fillId="0" borderId="21" xfId="0" applyNumberFormat="1" applyFont="1" applyFill="1" applyBorder="1" applyAlignment="1" applyProtection="1">
      <alignment horizontal="right" vertical="center" wrapText="1"/>
    </xf>
    <xf numFmtId="3" fontId="1" fillId="0" borderId="44" xfId="0" applyNumberFormat="1" applyFont="1" applyFill="1" applyBorder="1" applyAlignment="1" applyProtection="1">
      <alignment horizontal="right" vertical="center" wrapText="1"/>
    </xf>
    <xf numFmtId="3" fontId="3" fillId="0" borderId="21" xfId="0" applyNumberFormat="1" applyFont="1" applyFill="1" applyBorder="1" applyAlignment="1" applyProtection="1">
      <alignment horizontal="right" vertical="center" wrapText="1"/>
    </xf>
    <xf numFmtId="3" fontId="3" fillId="0" borderId="44"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5"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1" fillId="0" borderId="47"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3" fillId="0" borderId="43"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6"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4"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166"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6" xfId="0" applyNumberFormat="1" applyFont="1" applyFill="1" applyBorder="1" applyAlignment="1" applyProtection="1">
      <alignment horizontal="right" vertical="center" wrapText="1"/>
      <protection locked="0"/>
    </xf>
    <xf numFmtId="0" fontId="1" fillId="0" borderId="48" xfId="0" applyFont="1" applyFill="1" applyBorder="1" applyAlignment="1" applyProtection="1">
      <alignment horizontal="justify" vertical="center" wrapText="1"/>
    </xf>
    <xf numFmtId="0" fontId="1" fillId="0" borderId="47" xfId="0" applyFont="1" applyFill="1" applyBorder="1" applyAlignment="1" applyProtection="1">
      <alignment horizontal="justify" vertical="center" wrapText="1"/>
    </xf>
    <xf numFmtId="0" fontId="53"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6"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166" fontId="6" fillId="2" borderId="0" xfId="12" applyFont="1" applyFill="1" applyBorder="1" applyAlignment="1" applyProtection="1">
      <alignment horizontal="right" vertical="top"/>
    </xf>
    <xf numFmtId="166" fontId="6" fillId="2" borderId="6" xfId="12" applyFont="1" applyFill="1" applyBorder="1" applyAlignment="1" applyProtection="1">
      <alignment horizontal="right" vertical="top"/>
    </xf>
    <xf numFmtId="166" fontId="5" fillId="0" borderId="0" xfId="12" applyFont="1" applyBorder="1" applyAlignment="1" applyProtection="1">
      <alignment horizontal="right" vertical="top"/>
      <protection locked="0"/>
    </xf>
    <xf numFmtId="166" fontId="5" fillId="0" borderId="6" xfId="12" applyFont="1" applyBorder="1" applyAlignment="1" applyProtection="1">
      <alignment horizontal="right" vertical="top"/>
      <protection locked="0"/>
    </xf>
    <xf numFmtId="166" fontId="7" fillId="2" borderId="0" xfId="12" applyFont="1" applyFill="1" applyBorder="1" applyAlignment="1" applyProtection="1">
      <alignment horizontal="right" vertical="top"/>
    </xf>
    <xf numFmtId="166"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6"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6"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6"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6"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7"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9" xfId="0" applyNumberFormat="1" applyFont="1" applyBorder="1" applyAlignment="1" applyProtection="1">
      <alignment horizontal="left" vertical="top"/>
      <protection locked="0"/>
    </xf>
    <xf numFmtId="0" fontId="54"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2"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2"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2" fillId="6" borderId="6"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63" fillId="0" borderId="6" xfId="0" applyFont="1" applyBorder="1" applyAlignment="1">
      <alignment horizontal="justify" vertical="center" wrapText="1"/>
    </xf>
    <xf numFmtId="0" fontId="58"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2" fillId="6" borderId="3" xfId="0" applyFont="1" applyFill="1" applyBorder="1" applyAlignment="1">
      <alignment horizontal="center" vertical="center" wrapText="1"/>
    </xf>
    <xf numFmtId="0" fontId="64" fillId="6" borderId="9" xfId="0" applyFont="1" applyFill="1" applyBorder="1" applyAlignment="1">
      <alignment vertical="center" wrapText="1"/>
    </xf>
    <xf numFmtId="0" fontId="62" fillId="0" borderId="4" xfId="0" applyFont="1" applyBorder="1" applyAlignment="1">
      <alignment horizontal="left" vertical="center" wrapText="1"/>
    </xf>
    <xf numFmtId="0" fontId="63" fillId="0" borderId="4" xfId="0" applyFont="1" applyBorder="1" applyAlignment="1">
      <alignment horizontal="justify" vertical="center" wrapText="1"/>
    </xf>
    <xf numFmtId="0" fontId="63" fillId="0" borderId="13" xfId="0" applyFont="1" applyBorder="1" applyAlignment="1">
      <alignment horizontal="justify" vertical="center" wrapText="1"/>
    </xf>
    <xf numFmtId="0" fontId="56" fillId="0" borderId="0" xfId="0" applyFont="1" applyAlignment="1">
      <alignment horizontal="center" vertical="center"/>
    </xf>
    <xf numFmtId="0" fontId="56" fillId="0" borderId="9" xfId="0" applyFont="1" applyBorder="1" applyAlignment="1">
      <alignment vertical="center" wrapText="1"/>
    </xf>
    <xf numFmtId="0" fontId="56" fillId="0" borderId="7" xfId="0" applyFont="1" applyBorder="1" applyAlignment="1">
      <alignment vertical="center" wrapText="1"/>
    </xf>
    <xf numFmtId="0" fontId="58" fillId="6" borderId="9" xfId="0" applyFont="1" applyFill="1" applyBorder="1" applyAlignment="1">
      <alignment horizontal="center" vertical="center" wrapText="1"/>
    </xf>
    <xf numFmtId="0" fontId="59" fillId="0" borderId="6" xfId="0" applyFont="1" applyBorder="1" applyAlignment="1">
      <alignment vertical="center" wrapText="1"/>
    </xf>
    <xf numFmtId="0" fontId="58" fillId="0" borderId="6" xfId="0" applyFont="1" applyBorder="1" applyAlignment="1">
      <alignment vertical="center" wrapText="1"/>
    </xf>
    <xf numFmtId="0" fontId="59" fillId="0" borderId="6" xfId="0" applyFont="1" applyBorder="1" applyAlignment="1">
      <alignment horizontal="left" vertical="center" wrapText="1" indent="5"/>
    </xf>
    <xf numFmtId="0" fontId="59" fillId="0" borderId="7" xfId="0" applyFont="1" applyBorder="1" applyAlignment="1">
      <alignment vertical="center" wrapText="1"/>
    </xf>
    <xf numFmtId="0" fontId="58" fillId="0" borderId="9" xfId="0" applyFont="1" applyBorder="1" applyAlignment="1">
      <alignment vertical="center" wrapText="1"/>
    </xf>
    <xf numFmtId="0" fontId="59" fillId="0" borderId="9" xfId="0" applyFont="1" applyBorder="1" applyAlignment="1">
      <alignment vertical="center" wrapText="1"/>
    </xf>
    <xf numFmtId="0" fontId="65" fillId="0" borderId="7" xfId="0" applyFont="1" applyBorder="1" applyAlignment="1">
      <alignment horizontal="left" vertical="center"/>
    </xf>
    <xf numFmtId="0" fontId="58" fillId="6" borderId="3" xfId="0" applyFont="1" applyFill="1" applyBorder="1" applyAlignment="1">
      <alignment horizontal="center" vertical="center"/>
    </xf>
    <xf numFmtId="0" fontId="58" fillId="6" borderId="9" xfId="0" applyFont="1" applyFill="1" applyBorder="1" applyAlignment="1">
      <alignment horizontal="center" vertical="center"/>
    </xf>
    <xf numFmtId="0" fontId="59" fillId="0" borderId="6" xfId="0" applyFont="1" applyBorder="1" applyAlignment="1">
      <alignment vertical="center"/>
    </xf>
    <xf numFmtId="0" fontId="59" fillId="0" borderId="6" xfId="0" applyFont="1" applyBorder="1" applyAlignment="1">
      <alignment horizontal="left" vertical="center" indent="5"/>
    </xf>
    <xf numFmtId="0" fontId="59" fillId="0" borderId="6" xfId="0" applyFont="1" applyBorder="1" applyAlignment="1">
      <alignment horizontal="justify" vertical="center"/>
    </xf>
    <xf numFmtId="0" fontId="58" fillId="0" borderId="6" xfId="0" applyFont="1" applyBorder="1" applyAlignment="1">
      <alignment horizontal="left" vertical="center" indent="1"/>
    </xf>
    <xf numFmtId="0" fontId="59" fillId="0" borderId="9" xfId="0" applyFont="1" applyBorder="1" applyAlignment="1">
      <alignment horizontal="left" vertical="center" indent="1"/>
    </xf>
    <xf numFmtId="0" fontId="58" fillId="0" borderId="0" xfId="0" applyFont="1" applyBorder="1" applyAlignment="1">
      <alignment vertical="center"/>
    </xf>
    <xf numFmtId="0" fontId="58" fillId="0" borderId="5" xfId="0" applyFont="1" applyBorder="1" applyAlignment="1">
      <alignment horizontal="left" vertical="center" wrapText="1"/>
    </xf>
    <xf numFmtId="0" fontId="59" fillId="0" borderId="5" xfId="0" applyFont="1" applyBorder="1" applyAlignment="1">
      <alignment horizontal="left" vertical="center" wrapText="1"/>
    </xf>
    <xf numFmtId="0" fontId="59" fillId="0" borderId="5" xfId="0" applyFont="1" applyBorder="1" applyAlignment="1">
      <alignment horizontal="left" vertical="center" wrapText="1" indent="1"/>
    </xf>
    <xf numFmtId="0" fontId="58" fillId="0" borderId="7" xfId="0" applyFont="1" applyBorder="1" applyAlignment="1">
      <alignment horizontal="left" vertical="center" wrapText="1"/>
    </xf>
    <xf numFmtId="0" fontId="58" fillId="0" borderId="13" xfId="0" applyFont="1" applyBorder="1" applyAlignment="1">
      <alignment horizontal="center" vertical="center" wrapText="1"/>
    </xf>
    <xf numFmtId="0" fontId="58"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7" fillId="4" borderId="0" xfId="0" applyFont="1" applyFill="1" applyBorder="1" applyAlignment="1">
      <alignment vertical="center" wrapText="1"/>
    </xf>
    <xf numFmtId="0" fontId="39" fillId="0" borderId="0" xfId="0" applyFont="1"/>
    <xf numFmtId="0" fontId="59" fillId="0" borderId="6" xfId="0" applyFont="1" applyBorder="1" applyAlignment="1">
      <alignment horizontal="right" vertical="center"/>
    </xf>
    <xf numFmtId="0" fontId="59" fillId="0" borderId="13" xfId="0" applyFont="1" applyBorder="1" applyAlignment="1">
      <alignment horizontal="right" vertical="center"/>
    </xf>
    <xf numFmtId="0" fontId="59" fillId="0" borderId="9" xfId="0" applyFont="1" applyBorder="1" applyAlignment="1">
      <alignment horizontal="right" vertical="center"/>
    </xf>
    <xf numFmtId="166" fontId="58" fillId="0" borderId="6" xfId="0" applyNumberFormat="1" applyFont="1" applyBorder="1" applyAlignment="1">
      <alignment horizontal="right" vertical="center" wrapText="1"/>
    </xf>
    <xf numFmtId="166" fontId="59" fillId="0" borderId="6" xfId="0" applyNumberFormat="1" applyFont="1" applyBorder="1" applyAlignment="1">
      <alignment horizontal="right" vertical="center" wrapText="1"/>
    </xf>
    <xf numFmtId="166" fontId="59" fillId="0" borderId="9" xfId="0" applyNumberFormat="1" applyFont="1" applyBorder="1" applyAlignment="1">
      <alignment horizontal="right" vertical="center" wrapText="1"/>
    </xf>
    <xf numFmtId="0" fontId="60" fillId="0" borderId="9" xfId="0" applyFont="1" applyBorder="1" applyAlignment="1">
      <alignment horizontal="right" vertical="center" wrapText="1"/>
    </xf>
    <xf numFmtId="166" fontId="25" fillId="0" borderId="6" xfId="0" applyNumberFormat="1" applyFont="1" applyBorder="1" applyAlignment="1">
      <alignment horizontal="right" vertical="center" wrapText="1"/>
    </xf>
    <xf numFmtId="0" fontId="58" fillId="0" borderId="51" xfId="0" applyFont="1" applyBorder="1" applyAlignment="1">
      <alignment vertical="center"/>
    </xf>
    <xf numFmtId="166" fontId="59" fillId="0" borderId="9" xfId="0" applyNumberFormat="1" applyFont="1" applyBorder="1" applyAlignment="1">
      <alignment horizontal="right" vertical="center"/>
    </xf>
    <xf numFmtId="0" fontId="59" fillId="0" borderId="6" xfId="0" applyFont="1" applyBorder="1" applyAlignment="1" applyProtection="1">
      <alignment horizontal="right" vertical="center"/>
    </xf>
    <xf numFmtId="166" fontId="25" fillId="0" borderId="6" xfId="0" applyNumberFormat="1" applyFont="1" applyBorder="1" applyAlignment="1" applyProtection="1">
      <alignment horizontal="right" vertical="center" wrapText="1"/>
      <protection locked="0"/>
    </xf>
    <xf numFmtId="166" fontId="25" fillId="0" borderId="6" xfId="0" applyNumberFormat="1" applyFont="1" applyBorder="1" applyAlignment="1" applyProtection="1">
      <alignment horizontal="right" vertical="center" wrapText="1"/>
    </xf>
    <xf numFmtId="0" fontId="0" fillId="0" borderId="0" xfId="0" applyFill="1"/>
    <xf numFmtId="0" fontId="69" fillId="0" borderId="8" xfId="0" applyFont="1" applyBorder="1" applyAlignment="1">
      <alignment horizontal="left" vertical="center"/>
    </xf>
    <xf numFmtId="0" fontId="69" fillId="0" borderId="13" xfId="0" applyFont="1" applyBorder="1" applyAlignment="1">
      <alignment horizontal="center" vertical="center"/>
    </xf>
    <xf numFmtId="0" fontId="69" fillId="0" borderId="9" xfId="0" applyFont="1" applyBorder="1" applyAlignment="1">
      <alignment horizontal="center" vertical="center"/>
    </xf>
    <xf numFmtId="0" fontId="23" fillId="0" borderId="13" xfId="0" applyFont="1" applyBorder="1" applyAlignment="1">
      <alignment horizontal="justify" vertical="center" wrapText="1"/>
    </xf>
    <xf numFmtId="0" fontId="58" fillId="6" borderId="3" xfId="0" applyFont="1" applyFill="1" applyBorder="1" applyAlignment="1">
      <alignment horizontal="center" vertical="center" wrapText="1"/>
    </xf>
    <xf numFmtId="166" fontId="23" fillId="0" borderId="9" xfId="0" applyNumberFormat="1" applyFont="1" applyBorder="1" applyAlignment="1">
      <alignment horizontal="right" vertical="center" wrapText="1"/>
    </xf>
    <xf numFmtId="166" fontId="59"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166"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166"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166" fontId="12" fillId="0" borderId="6" xfId="0" applyNumberFormat="1" applyFont="1" applyBorder="1" applyAlignment="1">
      <alignment horizontal="right" vertical="center" wrapText="1"/>
    </xf>
    <xf numFmtId="166"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166" fontId="12" fillId="0" borderId="6" xfId="0" applyNumberFormat="1" applyFont="1" applyBorder="1" applyAlignment="1">
      <alignment horizontal="justify" vertical="center" wrapText="1"/>
    </xf>
    <xf numFmtId="166" fontId="25" fillId="0" borderId="9" xfId="0" applyNumberFormat="1" applyFont="1" applyBorder="1" applyAlignment="1">
      <alignment horizontal="right" vertical="center" wrapText="1"/>
    </xf>
    <xf numFmtId="166" fontId="58" fillId="6" borderId="6" xfId="0" applyNumberFormat="1" applyFont="1" applyFill="1" applyBorder="1" applyAlignment="1">
      <alignment horizontal="right" vertical="center" wrapText="1"/>
    </xf>
    <xf numFmtId="166" fontId="68" fillId="0" borderId="4" xfId="0" applyNumberFormat="1" applyFont="1" applyBorder="1" applyAlignment="1">
      <alignment vertical="center"/>
    </xf>
    <xf numFmtId="166" fontId="69" fillId="0" borderId="4" xfId="0" applyNumberFormat="1" applyFont="1" applyBorder="1" applyAlignment="1">
      <alignment vertical="center"/>
    </xf>
    <xf numFmtId="166" fontId="69" fillId="0" borderId="6" xfId="0" applyNumberFormat="1" applyFont="1" applyBorder="1" applyAlignment="1">
      <alignment vertical="center"/>
    </xf>
    <xf numFmtId="166" fontId="69" fillId="0" borderId="4" xfId="0" applyNumberFormat="1" applyFont="1" applyBorder="1" applyAlignment="1" applyProtection="1">
      <alignment vertical="center"/>
      <protection locked="0"/>
    </xf>
    <xf numFmtId="166" fontId="69" fillId="0" borderId="4" xfId="0" applyNumberFormat="1" applyFont="1" applyBorder="1" applyAlignment="1" applyProtection="1">
      <alignment vertical="center"/>
    </xf>
    <xf numFmtId="166" fontId="68" fillId="0" borderId="4" xfId="0" applyNumberFormat="1" applyFont="1" applyBorder="1" applyAlignment="1" applyProtection="1">
      <alignment vertical="center"/>
    </xf>
    <xf numFmtId="0" fontId="68" fillId="0" borderId="9" xfId="0" applyFont="1" applyFill="1" applyBorder="1" applyAlignment="1">
      <alignment horizontal="center" vertical="center" wrapText="1"/>
    </xf>
    <xf numFmtId="166" fontId="58" fillId="0" borderId="4" xfId="0" applyNumberFormat="1" applyFont="1" applyBorder="1" applyAlignment="1">
      <alignment horizontal="right" wrapText="1"/>
    </xf>
    <xf numFmtId="166" fontId="58" fillId="0" borderId="6" xfId="0" applyNumberFormat="1" applyFont="1" applyBorder="1" applyAlignment="1">
      <alignment horizontal="right" wrapText="1"/>
    </xf>
    <xf numFmtId="166" fontId="58" fillId="0" borderId="4" xfId="0" applyNumberFormat="1" applyFont="1" applyBorder="1" applyAlignment="1" applyProtection="1">
      <alignment horizontal="right" wrapText="1"/>
      <protection locked="0"/>
    </xf>
    <xf numFmtId="166" fontId="58" fillId="0" borderId="6" xfId="0" applyNumberFormat="1" applyFont="1" applyBorder="1" applyAlignment="1" applyProtection="1">
      <alignment horizontal="right" wrapText="1"/>
      <protection locked="0"/>
    </xf>
    <xf numFmtId="0" fontId="25" fillId="0" borderId="50" xfId="0" applyFont="1" applyBorder="1" applyAlignment="1">
      <alignment horizontal="justify" vertical="center" wrapText="1"/>
    </xf>
    <xf numFmtId="166"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3" fillId="0" borderId="0" xfId="0" applyFont="1" applyFill="1"/>
    <xf numFmtId="166"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166"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166" fontId="25" fillId="0" borderId="6" xfId="0" applyNumberFormat="1" applyFont="1" applyBorder="1" applyAlignment="1" applyProtection="1">
      <alignment vertical="center"/>
    </xf>
    <xf numFmtId="166" fontId="12" fillId="0" borderId="6" xfId="0" applyNumberFormat="1" applyFont="1" applyBorder="1" applyAlignment="1" applyProtection="1">
      <alignment vertical="center"/>
    </xf>
    <xf numFmtId="166"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166" fontId="12" fillId="0" borderId="9" xfId="0" applyNumberFormat="1" applyFont="1" applyBorder="1" applyAlignment="1" applyProtection="1">
      <alignment vertical="center"/>
      <protection locked="0"/>
    </xf>
    <xf numFmtId="166" fontId="12" fillId="0" borderId="9" xfId="0" applyNumberFormat="1" applyFont="1" applyBorder="1" applyAlignment="1">
      <alignment vertical="center"/>
    </xf>
    <xf numFmtId="0" fontId="12" fillId="0" borderId="0" xfId="0" applyFont="1" applyBorder="1" applyAlignment="1">
      <alignment horizontal="left" vertical="center"/>
    </xf>
    <xf numFmtId="166" fontId="12" fillId="0" borderId="0" xfId="0" applyNumberFormat="1" applyFont="1" applyBorder="1" applyAlignment="1" applyProtection="1">
      <alignment vertical="center"/>
      <protection locked="0"/>
    </xf>
    <xf numFmtId="166" fontId="12" fillId="0" borderId="0" xfId="0" applyNumberFormat="1" applyFont="1" applyBorder="1" applyAlignment="1">
      <alignment vertical="center"/>
    </xf>
    <xf numFmtId="0" fontId="69" fillId="0" borderId="7" xfId="0" applyFont="1" applyBorder="1" applyAlignment="1">
      <alignment horizontal="left" vertical="center"/>
    </xf>
    <xf numFmtId="0" fontId="69" fillId="0" borderId="0" xfId="0" applyFont="1" applyBorder="1" applyAlignment="1">
      <alignment horizontal="left" vertical="center"/>
    </xf>
    <xf numFmtId="164" fontId="59"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166" fontId="58" fillId="0" borderId="6" xfId="0" applyNumberFormat="1" applyFont="1" applyFill="1" applyBorder="1" applyAlignment="1">
      <alignment horizontal="right" vertical="center" wrapText="1"/>
    </xf>
    <xf numFmtId="166" fontId="25" fillId="0" borderId="9" xfId="0" applyNumberFormat="1" applyFont="1" applyFill="1" applyBorder="1" applyAlignment="1">
      <alignment horizontal="right" vertical="center" wrapText="1"/>
    </xf>
    <xf numFmtId="166" fontId="12" fillId="0" borderId="9" xfId="0" applyNumberFormat="1" applyFont="1" applyBorder="1" applyAlignment="1" applyProtection="1">
      <alignment vertical="center"/>
    </xf>
    <xf numFmtId="164" fontId="59" fillId="0" borderId="6" xfId="0" applyNumberFormat="1" applyFont="1" applyBorder="1" applyAlignment="1">
      <alignment vertical="center" wrapText="1"/>
    </xf>
    <xf numFmtId="164" fontId="59" fillId="0" borderId="6" xfId="0" applyNumberFormat="1" applyFont="1" applyBorder="1" applyAlignment="1">
      <alignment horizontal="right" vertical="center"/>
    </xf>
    <xf numFmtId="164" fontId="59" fillId="6" borderId="6" xfId="0" applyNumberFormat="1" applyFont="1" applyFill="1" applyBorder="1" applyAlignment="1">
      <alignment horizontal="right" vertical="center" wrapText="1"/>
    </xf>
    <xf numFmtId="164" fontId="58" fillId="0" borderId="6" xfId="0" applyNumberFormat="1" applyFont="1" applyBorder="1" applyAlignment="1">
      <alignment horizontal="right" vertical="center" wrapText="1"/>
    </xf>
    <xf numFmtId="164" fontId="58" fillId="0" borderId="6" xfId="0" applyNumberFormat="1" applyFont="1" applyBorder="1" applyAlignment="1">
      <alignment horizontal="right" vertical="center"/>
    </xf>
    <xf numFmtId="164" fontId="58" fillId="0" borderId="6" xfId="0" applyNumberFormat="1" applyFont="1" applyBorder="1" applyAlignment="1">
      <alignment vertical="center" wrapText="1"/>
    </xf>
    <xf numFmtId="164" fontId="58" fillId="0" borderId="6" xfId="0" applyNumberFormat="1" applyFont="1" applyBorder="1" applyAlignment="1" applyProtection="1">
      <alignment vertical="center" wrapText="1"/>
      <protection locked="0"/>
    </xf>
    <xf numFmtId="164" fontId="59" fillId="2" borderId="6" xfId="0" applyNumberFormat="1" applyFont="1" applyFill="1" applyBorder="1" applyAlignment="1" applyProtection="1">
      <alignment vertical="center" wrapText="1"/>
    </xf>
    <xf numFmtId="164" fontId="59" fillId="0" borderId="6" xfId="0" applyNumberFormat="1" applyFont="1" applyFill="1" applyBorder="1" applyAlignment="1">
      <alignment horizontal="right" vertical="center" wrapText="1"/>
    </xf>
    <xf numFmtId="0" fontId="68" fillId="0" borderId="6" xfId="0" applyFont="1" applyFill="1" applyBorder="1" applyAlignment="1">
      <alignment horizontal="center" vertical="center"/>
    </xf>
    <xf numFmtId="0" fontId="68" fillId="0" borderId="6" xfId="0" applyFont="1" applyFill="1" applyBorder="1" applyAlignment="1">
      <alignment horizontal="center" vertical="center" wrapText="1"/>
    </xf>
    <xf numFmtId="0" fontId="68" fillId="0" borderId="4" xfId="0" applyFont="1" applyFill="1" applyBorder="1" applyAlignment="1">
      <alignment horizontal="center" vertical="center"/>
    </xf>
    <xf numFmtId="166" fontId="58" fillId="0" borderId="6" xfId="0" applyNumberFormat="1" applyFont="1" applyFill="1" applyBorder="1" applyAlignment="1" applyProtection="1">
      <alignment horizontal="right" vertical="center" wrapText="1"/>
      <protection locked="0"/>
    </xf>
    <xf numFmtId="0" fontId="70" fillId="0" borderId="0" xfId="0" applyFont="1" applyAlignment="1" applyProtection="1">
      <protection locked="0"/>
    </xf>
    <xf numFmtId="0" fontId="71"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70" fillId="0" borderId="0" xfId="0" applyFont="1" applyProtection="1">
      <protection locked="0"/>
    </xf>
    <xf numFmtId="0" fontId="72" fillId="0" borderId="0" xfId="0" applyFont="1" applyFill="1" applyProtection="1">
      <protection locked="0"/>
    </xf>
    <xf numFmtId="0" fontId="71" fillId="0" borderId="0" xfId="0" applyFont="1" applyProtection="1">
      <protection locked="0"/>
    </xf>
    <xf numFmtId="0" fontId="65" fillId="0" borderId="3" xfId="0" applyFont="1" applyBorder="1" applyAlignment="1">
      <alignment horizontal="center" vertical="center"/>
    </xf>
    <xf numFmtId="0" fontId="12" fillId="0" borderId="3" xfId="0" applyFont="1" applyBorder="1" applyAlignment="1">
      <alignment horizontal="center" vertical="center" wrapText="1"/>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58" fillId="4" borderId="9"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0" xfId="0" applyFont="1" applyBorder="1" applyAlignment="1">
      <alignment vertical="center"/>
    </xf>
    <xf numFmtId="0" fontId="59" fillId="0" borderId="51" xfId="0" applyFont="1" applyBorder="1" applyAlignment="1">
      <alignment vertical="center"/>
    </xf>
    <xf numFmtId="0" fontId="59" fillId="0" borderId="51" xfId="0" applyFont="1" applyBorder="1" applyAlignment="1">
      <alignment horizontal="left" vertical="justify"/>
    </xf>
    <xf numFmtId="0" fontId="3" fillId="0" borderId="48"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8" fillId="0" borderId="5" xfId="0" applyFont="1" applyBorder="1" applyAlignment="1">
      <alignment vertical="center"/>
    </xf>
    <xf numFmtId="0" fontId="59" fillId="0" borderId="5" xfId="0" applyFont="1" applyBorder="1" applyAlignment="1">
      <alignment vertical="center"/>
    </xf>
    <xf numFmtId="0" fontId="59" fillId="0" borderId="6" xfId="0" applyFont="1" applyBorder="1" applyAlignment="1">
      <alignment horizontal="left" vertical="center" indent="1"/>
    </xf>
    <xf numFmtId="0" fontId="58" fillId="0" borderId="6" xfId="0" applyFont="1" applyBorder="1" applyAlignment="1">
      <alignmen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4" fillId="0" borderId="13" xfId="0" applyFont="1" applyBorder="1" applyAlignment="1">
      <alignment horizontal="justify" vertical="center" wrapText="1"/>
    </xf>
    <xf numFmtId="0" fontId="74" fillId="0" borderId="9" xfId="0" applyFont="1" applyBorder="1" applyAlignment="1">
      <alignment horizontal="justify" vertical="center" wrapText="1"/>
    </xf>
    <xf numFmtId="0" fontId="74" fillId="6" borderId="13" xfId="0" applyFont="1" applyFill="1" applyBorder="1" applyAlignment="1">
      <alignment horizontal="justify" vertical="center" wrapText="1"/>
    </xf>
    <xf numFmtId="0" fontId="74" fillId="6" borderId="9" xfId="0" applyFont="1" applyFill="1" applyBorder="1" applyAlignment="1">
      <alignment horizontal="justify" vertical="center" wrapText="1"/>
    </xf>
    <xf numFmtId="0" fontId="74" fillId="6" borderId="6" xfId="0" applyFont="1" applyFill="1" applyBorder="1" applyAlignment="1">
      <alignment horizontal="justify" vertical="center" wrapText="1"/>
    </xf>
    <xf numFmtId="0" fontId="74"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0"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9" fillId="0" borderId="5" xfId="0" applyFont="1" applyBorder="1" applyAlignment="1">
      <alignment horizontal="left" vertical="center"/>
    </xf>
    <xf numFmtId="0" fontId="68" fillId="0" borderId="9" xfId="0" applyFont="1" applyFill="1" applyBorder="1" applyAlignment="1">
      <alignment horizontal="center" vertical="center"/>
    </xf>
    <xf numFmtId="0" fontId="68"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21" fillId="0" borderId="40"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0"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166" fontId="5" fillId="0" borderId="17" xfId="12" applyFont="1" applyFill="1" applyBorder="1" applyAlignment="1" applyProtection="1">
      <alignment horizontal="right" vertical="center"/>
      <protection locked="0"/>
    </xf>
    <xf numFmtId="166" fontId="5" fillId="0" borderId="16" xfId="12" applyFont="1" applyFill="1" applyBorder="1" applyAlignment="1" applyProtection="1">
      <alignment horizontal="right" vertical="center"/>
      <protection locked="0"/>
    </xf>
    <xf numFmtId="166" fontId="16" fillId="0" borderId="15" xfId="12" applyFont="1" applyFill="1" applyBorder="1" applyAlignment="1" applyProtection="1">
      <alignment horizontal="justify" vertical="center"/>
      <protection locked="0"/>
    </xf>
    <xf numFmtId="166" fontId="16" fillId="0" borderId="16" xfId="12" applyFont="1" applyFill="1" applyBorder="1" applyAlignment="1" applyProtection="1">
      <alignment horizontal="justify" vertical="center"/>
      <protection locked="0"/>
    </xf>
    <xf numFmtId="166" fontId="16" fillId="0" borderId="21" xfId="12" applyFont="1" applyFill="1" applyBorder="1" applyAlignment="1" applyProtection="1">
      <alignment horizontal="justify" vertical="center"/>
      <protection locked="0"/>
    </xf>
    <xf numFmtId="4" fontId="19" fillId="0" borderId="46"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6" fillId="0" borderId="57" xfId="0" applyFont="1" applyBorder="1" applyAlignment="1">
      <alignment horizontal="justify" vertical="center"/>
    </xf>
    <xf numFmtId="0" fontId="56" fillId="0" borderId="58" xfId="0" applyFont="1" applyBorder="1" applyAlignment="1">
      <alignment horizontal="center" vertical="center" wrapText="1"/>
    </xf>
    <xf numFmtId="0" fontId="56" fillId="0" borderId="58" xfId="0" applyFont="1" applyBorder="1" applyAlignment="1">
      <alignment horizontal="center" vertical="center"/>
    </xf>
    <xf numFmtId="0" fontId="57" fillId="0" borderId="57" xfId="0" applyFont="1" applyBorder="1" applyAlignment="1">
      <alignment horizontal="justify" vertical="center"/>
    </xf>
    <xf numFmtId="166" fontId="56" fillId="0" borderId="58" xfId="12" applyFont="1" applyBorder="1" applyAlignment="1">
      <alignment horizontal="center" vertical="center" wrapText="1"/>
    </xf>
    <xf numFmtId="0" fontId="56" fillId="2" borderId="58" xfId="0" applyFont="1" applyFill="1" applyBorder="1" applyAlignment="1" applyProtection="1">
      <alignment horizontal="center" vertical="center" wrapText="1"/>
    </xf>
    <xf numFmtId="0" fontId="56" fillId="2" borderId="58" xfId="0" applyFont="1" applyFill="1" applyBorder="1" applyAlignment="1" applyProtection="1">
      <alignment horizontal="center" vertical="center"/>
    </xf>
    <xf numFmtId="166" fontId="56" fillId="0" borderId="58" xfId="12" applyFont="1" applyBorder="1" applyAlignment="1">
      <alignment horizontal="center" vertical="center"/>
    </xf>
    <xf numFmtId="0" fontId="76" fillId="0" borderId="57" xfId="0" applyFont="1" applyBorder="1" applyAlignment="1">
      <alignment horizontal="justify" vertical="center"/>
    </xf>
    <xf numFmtId="166" fontId="65" fillId="0" borderId="58" xfId="12" applyFont="1" applyBorder="1" applyAlignment="1" applyProtection="1">
      <alignment horizontal="center" vertical="center" wrapText="1"/>
      <protection locked="0"/>
    </xf>
    <xf numFmtId="0" fontId="65" fillId="2" borderId="58" xfId="0" applyFont="1" applyFill="1" applyBorder="1" applyAlignment="1" applyProtection="1">
      <alignment horizontal="center" vertical="center" wrapText="1"/>
    </xf>
    <xf numFmtId="0" fontId="65" fillId="2" borderId="58" xfId="0" applyFont="1" applyFill="1" applyBorder="1" applyAlignment="1" applyProtection="1">
      <alignment horizontal="center" vertical="center"/>
    </xf>
    <xf numFmtId="0" fontId="56" fillId="0" borderId="58" xfId="0" applyFont="1" applyBorder="1" applyAlignment="1">
      <alignment horizontal="justify" vertical="center" wrapText="1"/>
    </xf>
    <xf numFmtId="0" fontId="56" fillId="0" borderId="58" xfId="0" applyFont="1" applyBorder="1" applyAlignment="1">
      <alignment horizontal="justify" vertical="center"/>
    </xf>
    <xf numFmtId="0" fontId="56" fillId="2" borderId="58" xfId="0" applyFont="1" applyFill="1" applyBorder="1" applyAlignment="1">
      <alignment horizontal="center" vertical="center" wrapText="1"/>
    </xf>
    <xf numFmtId="0" fontId="56" fillId="2" borderId="58" xfId="0" applyFont="1" applyFill="1" applyBorder="1" applyAlignment="1">
      <alignment horizontal="center" vertical="center"/>
    </xf>
    <xf numFmtId="0" fontId="65" fillId="2" borderId="58" xfId="0" applyFont="1" applyFill="1" applyBorder="1" applyAlignment="1">
      <alignment horizontal="center" vertical="center" wrapText="1"/>
    </xf>
    <xf numFmtId="0" fontId="65" fillId="2" borderId="58" xfId="0" applyFont="1" applyFill="1" applyBorder="1" applyAlignment="1">
      <alignment horizontal="center" vertical="center"/>
    </xf>
    <xf numFmtId="166" fontId="65" fillId="0" borderId="58" xfId="12" applyFont="1" applyBorder="1" applyAlignment="1" applyProtection="1">
      <alignment horizontal="center" vertical="center"/>
      <protection locked="0"/>
    </xf>
    <xf numFmtId="0" fontId="65" fillId="0" borderId="58" xfId="0" applyFont="1" applyBorder="1" applyAlignment="1">
      <alignment horizontal="center" vertical="center" wrapText="1"/>
    </xf>
    <xf numFmtId="0" fontId="65" fillId="0" borderId="58" xfId="0" applyFont="1" applyBorder="1" applyAlignment="1">
      <alignment horizontal="center" vertical="center"/>
    </xf>
    <xf numFmtId="0" fontId="57" fillId="0" borderId="13" xfId="0" applyFont="1" applyBorder="1" applyAlignment="1">
      <alignment horizontal="left" vertical="center"/>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166" fontId="56" fillId="0" borderId="9" xfId="12" applyFont="1" applyBorder="1" applyAlignment="1">
      <alignment horizontal="center" vertical="center" wrapText="1"/>
    </xf>
    <xf numFmtId="166" fontId="56" fillId="0" borderId="9" xfId="12" applyFont="1" applyBorder="1" applyAlignment="1">
      <alignment horizontal="center" vertical="center"/>
    </xf>
    <xf numFmtId="0" fontId="77" fillId="0" borderId="0" xfId="0" applyFont="1" applyAlignment="1">
      <alignment horizontal="left" vertical="center"/>
    </xf>
    <xf numFmtId="0" fontId="57" fillId="0" borderId="13" xfId="0" applyFont="1" applyBorder="1" applyAlignment="1">
      <alignment horizontal="left" vertical="center" wrapText="1"/>
    </xf>
    <xf numFmtId="0" fontId="57" fillId="0" borderId="57" xfId="0" applyFont="1" applyBorder="1" applyAlignment="1">
      <alignment horizontal="left" vertical="center" wrapText="1"/>
    </xf>
    <xf numFmtId="0" fontId="3" fillId="0" borderId="61" xfId="0" applyFont="1" applyFill="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4"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79" fillId="0" borderId="0" xfId="0" applyFont="1" applyBorder="1" applyAlignment="1" applyProtection="1">
      <alignment horizontal="center" vertical="center"/>
      <protection locked="0"/>
    </xf>
    <xf numFmtId="0" fontId="80" fillId="0" borderId="0" xfId="0" applyFont="1" applyBorder="1" applyAlignment="1" applyProtection="1">
      <alignment horizontal="left" vertical="center"/>
      <protection locked="0"/>
    </xf>
    <xf numFmtId="4" fontId="80" fillId="0" borderId="0" xfId="0" applyNumberFormat="1" applyFont="1" applyBorder="1" applyAlignment="1" applyProtection="1">
      <alignment horizontal="right" vertical="center" wrapText="1"/>
      <protection locked="0"/>
    </xf>
    <xf numFmtId="4" fontId="80" fillId="0" borderId="0" xfId="0" applyNumberFormat="1" applyFont="1" applyBorder="1" applyAlignment="1" applyProtection="1">
      <alignment vertical="center"/>
      <protection locked="0"/>
    </xf>
    <xf numFmtId="0" fontId="83" fillId="0" borderId="0" xfId="0" applyFont="1" applyAlignment="1" applyProtection="1">
      <alignment vertical="center"/>
      <protection locked="0"/>
    </xf>
    <xf numFmtId="0" fontId="80"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57" fillId="11" borderId="64" xfId="0" applyFont="1" applyFill="1" applyBorder="1" applyAlignment="1">
      <alignment horizontal="center" vertical="center" textRotation="90" wrapText="1"/>
    </xf>
    <xf numFmtId="0" fontId="57" fillId="11" borderId="23" xfId="0" applyFont="1" applyFill="1" applyBorder="1" applyAlignment="1">
      <alignment horizontal="center" vertical="center" textRotation="90" wrapText="1"/>
    </xf>
    <xf numFmtId="0" fontId="57" fillId="11" borderId="63" xfId="0" applyFont="1" applyFill="1" applyBorder="1" applyAlignment="1">
      <alignment horizontal="center" vertical="center" textRotation="90" wrapText="1"/>
    </xf>
    <xf numFmtId="0" fontId="57" fillId="12" borderId="24" xfId="0" applyFont="1" applyFill="1" applyBorder="1" applyAlignment="1">
      <alignment horizontal="center" vertical="center" textRotation="90" wrapText="1"/>
    </xf>
    <xf numFmtId="0" fontId="57" fillId="12" borderId="63" xfId="0" applyFont="1" applyFill="1" applyBorder="1" applyAlignment="1">
      <alignment horizontal="center" vertical="center" textRotation="90" wrapText="1"/>
    </xf>
    <xf numFmtId="0" fontId="57" fillId="8" borderId="24" xfId="0" applyFont="1" applyFill="1" applyBorder="1" applyAlignment="1">
      <alignment horizontal="center" vertical="center" textRotation="90"/>
    </xf>
    <xf numFmtId="0" fontId="57" fillId="8" borderId="23" xfId="0" applyFont="1" applyFill="1" applyBorder="1" applyAlignment="1">
      <alignment horizontal="center" vertical="center" textRotation="90"/>
    </xf>
    <xf numFmtId="0" fontId="57" fillId="13" borderId="23" xfId="0" applyFont="1" applyFill="1" applyBorder="1" applyAlignment="1">
      <alignment horizontal="center" vertical="center" textRotation="90"/>
    </xf>
    <xf numFmtId="0" fontId="57" fillId="13" borderId="63" xfId="0" applyFont="1" applyFill="1" applyBorder="1" applyAlignment="1">
      <alignment horizontal="center" vertical="center" textRotation="90"/>
    </xf>
    <xf numFmtId="0" fontId="57" fillId="13" borderId="63" xfId="0" applyFont="1" applyFill="1" applyBorder="1" applyAlignment="1">
      <alignment horizontal="center" vertical="center" textRotation="90" wrapText="1"/>
    </xf>
    <xf numFmtId="0" fontId="32" fillId="0" borderId="19" xfId="0" applyFont="1" applyBorder="1" applyAlignment="1">
      <alignment horizontal="center"/>
    </xf>
    <xf numFmtId="0" fontId="32" fillId="0" borderId="19" xfId="0" applyFont="1" applyBorder="1" applyAlignment="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87" fillId="0" borderId="0" xfId="0" applyFont="1" applyFill="1" applyAlignment="1" applyProtection="1">
      <alignment wrapText="1"/>
    </xf>
    <xf numFmtId="0" fontId="33" fillId="2" borderId="32" xfId="0" applyFont="1" applyFill="1" applyBorder="1" applyAlignment="1">
      <alignment horizontal="right" vertical="center"/>
    </xf>
    <xf numFmtId="0" fontId="1" fillId="0" borderId="0" xfId="0" applyFont="1" applyFill="1" applyProtection="1"/>
    <xf numFmtId="0" fontId="89" fillId="0" borderId="0" xfId="1" applyFont="1" applyFill="1" applyBorder="1" applyAlignment="1">
      <alignment vertical="top"/>
    </xf>
    <xf numFmtId="0" fontId="89" fillId="0" borderId="0" xfId="1" applyFont="1" applyFill="1" applyBorder="1" applyAlignment="1">
      <alignment horizontal="center" vertical="top"/>
    </xf>
    <xf numFmtId="49" fontId="89" fillId="0" borderId="0" xfId="1" applyNumberFormat="1" applyFont="1" applyFill="1" applyBorder="1" applyAlignment="1">
      <alignment horizontal="center" vertical="top"/>
    </xf>
    <xf numFmtId="168" fontId="59" fillId="0" borderId="6" xfId="0" applyNumberFormat="1" applyFont="1" applyBorder="1" applyAlignment="1">
      <alignment horizontal="right" vertical="center" wrapText="1"/>
    </xf>
    <xf numFmtId="166" fontId="59" fillId="0" borderId="6" xfId="0" applyNumberFormat="1" applyFont="1" applyBorder="1" applyAlignment="1">
      <alignment horizontal="center" vertical="center" wrapText="1"/>
    </xf>
    <xf numFmtId="0" fontId="1" fillId="0" borderId="7" xfId="0" applyFont="1" applyBorder="1" applyAlignment="1">
      <alignment vertical="center"/>
    </xf>
    <xf numFmtId="0" fontId="1" fillId="0" borderId="9" xfId="0" applyFont="1" applyBorder="1" applyAlignment="1">
      <alignment vertical="center"/>
    </xf>
    <xf numFmtId="169" fontId="33" fillId="0" borderId="17" xfId="0" applyNumberFormat="1" applyFont="1" applyBorder="1" applyAlignment="1" applyProtection="1">
      <alignment horizontal="right" vertical="center"/>
      <protection locked="0"/>
    </xf>
    <xf numFmtId="169" fontId="33" fillId="0" borderId="6" xfId="0" applyNumberFormat="1" applyFont="1" applyBorder="1" applyAlignment="1" applyProtection="1">
      <alignment horizontal="right" vertical="center"/>
      <protection locked="0"/>
    </xf>
    <xf numFmtId="0" fontId="33" fillId="0" borderId="14" xfId="0" applyFont="1" applyBorder="1" applyAlignment="1">
      <alignment horizontal="center" vertical="center"/>
    </xf>
    <xf numFmtId="171" fontId="33" fillId="2" borderId="32" xfId="0" applyNumberFormat="1" applyFont="1" applyFill="1" applyBorder="1" applyAlignment="1">
      <alignment vertical="center"/>
    </xf>
    <xf numFmtId="171" fontId="3" fillId="0" borderId="17" xfId="0" applyNumberFormat="1" applyFont="1" applyBorder="1" applyAlignment="1">
      <alignment vertical="center" wrapText="1"/>
    </xf>
    <xf numFmtId="9" fontId="67" fillId="0" borderId="46" xfId="6" applyFont="1" applyBorder="1" applyAlignment="1">
      <alignment horizontal="center" vertical="center" wrapText="1"/>
    </xf>
    <xf numFmtId="171" fontId="1" fillId="0" borderId="0" xfId="0" applyNumberFormat="1" applyFont="1"/>
    <xf numFmtId="171" fontId="1" fillId="0" borderId="17" xfId="8" applyNumberFormat="1" applyFont="1" applyBorder="1" applyAlignment="1">
      <alignment vertical="center" wrapText="1"/>
    </xf>
    <xf numFmtId="171" fontId="1" fillId="0" borderId="17" xfId="0" applyNumberFormat="1" applyFont="1" applyBorder="1" applyAlignment="1">
      <alignment vertical="center" wrapText="1"/>
    </xf>
    <xf numFmtId="171" fontId="34" fillId="0" borderId="17" xfId="8" applyNumberFormat="1" applyFont="1" applyBorder="1" applyAlignment="1">
      <alignment vertical="center" wrapText="1"/>
    </xf>
    <xf numFmtId="171" fontId="1" fillId="0" borderId="17" xfId="0" applyNumberFormat="1" applyFont="1" applyBorder="1" applyAlignment="1">
      <alignment horizontal="right" vertical="center" wrapText="1"/>
    </xf>
    <xf numFmtId="171" fontId="34" fillId="0" borderId="17" xfId="0" applyNumberFormat="1" applyFont="1" applyBorder="1" applyAlignment="1">
      <alignment vertical="center" wrapText="1"/>
    </xf>
    <xf numFmtId="171" fontId="34" fillId="0" borderId="17" xfId="0" applyNumberFormat="1" applyFont="1" applyBorder="1" applyAlignment="1">
      <alignment horizontal="justify" vertical="center" wrapText="1"/>
    </xf>
    <xf numFmtId="169" fontId="1" fillId="0" borderId="0" xfId="0" applyNumberFormat="1" applyFont="1"/>
    <xf numFmtId="0" fontId="1" fillId="0" borderId="47" xfId="0" applyFont="1" applyBorder="1" applyAlignment="1">
      <alignment horizontal="center" vertical="top" wrapText="1"/>
    </xf>
    <xf numFmtId="171" fontId="92" fillId="0" borderId="17" xfId="0" applyNumberFormat="1" applyFont="1" applyBorder="1" applyAlignment="1">
      <alignment vertical="center"/>
    </xf>
    <xf numFmtId="0" fontId="3" fillId="0" borderId="47" xfId="0" applyFont="1" applyBorder="1" applyAlignment="1">
      <alignment horizontal="center" vertical="top" wrapText="1"/>
    </xf>
    <xf numFmtId="171" fontId="92" fillId="0" borderId="17" xfId="0" applyNumberFormat="1" applyFont="1" applyBorder="1" applyAlignment="1">
      <alignment horizontal="right" vertical="center"/>
    </xf>
    <xf numFmtId="0" fontId="5" fillId="0" borderId="48" xfId="0" applyFont="1" applyBorder="1" applyAlignment="1">
      <alignment vertical="center"/>
    </xf>
    <xf numFmtId="0" fontId="5" fillId="0" borderId="16" xfId="0" applyFont="1" applyBorder="1" applyAlignment="1">
      <alignment horizontal="justify" vertical="center" wrapText="1"/>
    </xf>
    <xf numFmtId="171" fontId="6" fillId="0" borderId="16" xfId="0" applyNumberFormat="1" applyFont="1" applyBorder="1" applyAlignment="1">
      <alignment vertical="center" wrapText="1"/>
    </xf>
    <xf numFmtId="9" fontId="67" fillId="0" borderId="18" xfId="6" applyFont="1" applyBorder="1" applyAlignment="1">
      <alignment horizontal="center" vertical="center" wrapText="1"/>
    </xf>
    <xf numFmtId="0" fontId="1" fillId="0" borderId="0" xfId="0" applyFont="1" applyAlignment="1">
      <alignment vertical="center"/>
    </xf>
    <xf numFmtId="3" fontId="3" fillId="0" borderId="17" xfId="0" applyNumberFormat="1" applyFont="1" applyBorder="1" applyAlignment="1" applyProtection="1">
      <alignment horizontal="right" vertical="center" wrapText="1"/>
    </xf>
    <xf numFmtId="3" fontId="3" fillId="0" borderId="46" xfId="0" applyNumberFormat="1" applyFont="1" applyBorder="1" applyAlignment="1" applyProtection="1">
      <alignment horizontal="right" vertical="center" wrapText="1"/>
    </xf>
    <xf numFmtId="171" fontId="12" fillId="0" borderId="6" xfId="0" applyNumberFormat="1" applyFont="1" applyBorder="1" applyAlignment="1">
      <alignment horizontal="right" vertical="center" wrapText="1"/>
    </xf>
    <xf numFmtId="171" fontId="12" fillId="0" borderId="4" xfId="0" applyNumberFormat="1" applyFont="1" applyBorder="1" applyAlignment="1">
      <alignment horizontal="right" vertical="center" wrapText="1"/>
    </xf>
    <xf numFmtId="0" fontId="90" fillId="0" borderId="0" xfId="0" applyFont="1"/>
    <xf numFmtId="0" fontId="22" fillId="0" borderId="0" xfId="0" applyFont="1" applyAlignment="1">
      <alignment vertical="center"/>
    </xf>
    <xf numFmtId="0" fontId="104" fillId="0" borderId="14" xfId="0" applyFont="1" applyBorder="1" applyAlignment="1">
      <alignment horizontal="center" vertical="center"/>
    </xf>
    <xf numFmtId="0" fontId="22" fillId="0" borderId="0" xfId="0" applyFont="1" applyAlignment="1">
      <alignment horizontal="center" vertical="center"/>
    </xf>
    <xf numFmtId="0" fontId="25" fillId="0" borderId="19" xfId="0" applyFont="1" applyBorder="1" applyAlignment="1">
      <alignment vertical="center"/>
    </xf>
    <xf numFmtId="0" fontId="22" fillId="0" borderId="66" xfId="0" applyFont="1" applyBorder="1" applyAlignment="1">
      <alignment vertical="center"/>
    </xf>
    <xf numFmtId="166" fontId="22" fillId="0" borderId="0" xfId="12" applyFont="1" applyAlignment="1">
      <alignment vertical="top"/>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9" fillId="0" borderId="51" xfId="0" applyFont="1" applyBorder="1" applyAlignment="1">
      <alignment horizontal="left" vertical="justify"/>
    </xf>
    <xf numFmtId="0" fontId="69" fillId="0" borderId="5" xfId="0" applyFont="1" applyBorder="1" applyAlignment="1">
      <alignment horizontal="left" vertical="center"/>
    </xf>
    <xf numFmtId="0" fontId="59" fillId="0" borderId="74" xfId="0" applyFont="1" applyBorder="1" applyAlignment="1">
      <alignment horizontal="left" vertical="center"/>
    </xf>
    <xf numFmtId="0" fontId="59" fillId="0" borderId="66" xfId="0" applyFont="1" applyBorder="1" applyAlignment="1">
      <alignment horizontal="left" vertical="center"/>
    </xf>
    <xf numFmtId="0" fontId="59" fillId="0" borderId="75" xfId="0" applyFont="1" applyBorder="1" applyAlignment="1">
      <alignment horizontal="left" vertical="center"/>
    </xf>
    <xf numFmtId="0" fontId="59" fillId="0" borderId="75" xfId="0" applyFont="1" applyBorder="1" applyAlignment="1">
      <alignment horizontal="left" vertical="justify"/>
    </xf>
    <xf numFmtId="0" fontId="69" fillId="0" borderId="74" xfId="0" applyFont="1" applyBorder="1" applyAlignment="1">
      <alignment horizontal="left" vertical="center"/>
    </xf>
    <xf numFmtId="0" fontId="69" fillId="0" borderId="66" xfId="0" applyFont="1" applyBorder="1" applyAlignment="1">
      <alignment horizontal="left" vertical="center"/>
    </xf>
    <xf numFmtId="166" fontId="69" fillId="0" borderId="73" xfId="0" applyNumberFormat="1" applyFont="1" applyBorder="1" applyAlignment="1" applyProtection="1">
      <alignment vertical="center"/>
      <protection locked="0"/>
    </xf>
    <xf numFmtId="166" fontId="69" fillId="0" borderId="73" xfId="0" applyNumberFormat="1" applyFont="1" applyBorder="1" applyAlignment="1" applyProtection="1">
      <alignment vertical="center"/>
    </xf>
    <xf numFmtId="166" fontId="69" fillId="0" borderId="76" xfId="0" applyNumberFormat="1" applyFont="1" applyBorder="1" applyAlignment="1">
      <alignment vertical="center"/>
    </xf>
    <xf numFmtId="0" fontId="69" fillId="0" borderId="4" xfId="0" applyFont="1" applyBorder="1" applyAlignment="1">
      <alignment horizontal="left" vertical="center"/>
    </xf>
    <xf numFmtId="170" fontId="33" fillId="0" borderId="14" xfId="12" applyNumberFormat="1" applyFont="1" applyBorder="1" applyAlignment="1" applyProtection="1">
      <alignment horizontal="center" vertical="center"/>
      <protection locked="0"/>
    </xf>
    <xf numFmtId="0" fontId="33" fillId="0" borderId="67" xfId="0" applyFont="1" applyBorder="1" applyAlignment="1" applyProtection="1">
      <alignment horizontal="center" vertical="center"/>
      <protection locked="0"/>
    </xf>
    <xf numFmtId="164" fontId="59" fillId="0" borderId="0" xfId="0" applyNumberFormat="1" applyFont="1" applyFill="1" applyBorder="1" applyAlignment="1">
      <alignment vertical="center" wrapText="1"/>
    </xf>
    <xf numFmtId="0" fontId="20" fillId="0" borderId="0" xfId="0" applyFont="1" applyAlignment="1">
      <alignment horizontal="left" vertical="center"/>
    </xf>
    <xf numFmtId="0" fontId="11" fillId="0" borderId="8" xfId="0" applyFont="1" applyBorder="1" applyAlignment="1">
      <alignment vertical="center"/>
    </xf>
    <xf numFmtId="0" fontId="5" fillId="0" borderId="0" xfId="0" applyFont="1" applyAlignment="1">
      <alignment horizontal="left" vertical="center"/>
    </xf>
    <xf numFmtId="0" fontId="3" fillId="0" borderId="22" xfId="0"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5" fillId="0" borderId="0" xfId="0" applyFont="1" applyAlignment="1" applyProtection="1">
      <alignment horizontal="right"/>
      <protection locked="0"/>
    </xf>
    <xf numFmtId="170" fontId="59" fillId="0" borderId="6" xfId="0" applyNumberFormat="1" applyFont="1" applyBorder="1" applyAlignment="1" applyProtection="1">
      <alignment horizontal="right" vertical="center"/>
      <protection locked="0"/>
    </xf>
    <xf numFmtId="170" fontId="59" fillId="0" borderId="6" xfId="0" applyNumberFormat="1" applyFont="1" applyBorder="1" applyAlignment="1" applyProtection="1">
      <alignment horizontal="right" vertical="center"/>
    </xf>
    <xf numFmtId="170" fontId="59" fillId="0" borderId="76" xfId="0" applyNumberFormat="1" applyFont="1" applyBorder="1" applyAlignment="1" applyProtection="1">
      <alignment horizontal="right" vertical="center"/>
      <protection locked="0"/>
    </xf>
    <xf numFmtId="170" fontId="59" fillId="0" borderId="76" xfId="0" applyNumberFormat="1" applyFont="1" applyBorder="1" applyAlignment="1" applyProtection="1">
      <alignment horizontal="right" vertical="center"/>
    </xf>
    <xf numFmtId="170" fontId="59" fillId="0" borderId="4" xfId="0" applyNumberFormat="1" applyFont="1" applyBorder="1" applyAlignment="1" applyProtection="1">
      <alignment horizontal="right" vertical="center"/>
      <protection locked="0"/>
    </xf>
    <xf numFmtId="170" fontId="59" fillId="0" borderId="4" xfId="0" applyNumberFormat="1" applyFont="1" applyBorder="1" applyAlignment="1" applyProtection="1">
      <alignment horizontal="right" vertical="center"/>
    </xf>
    <xf numFmtId="170" fontId="59" fillId="0" borderId="6" xfId="0" applyNumberFormat="1" applyFont="1" applyBorder="1" applyAlignment="1">
      <alignment horizontal="right" vertical="center"/>
    </xf>
    <xf numFmtId="170" fontId="59" fillId="6" borderId="6" xfId="0" applyNumberFormat="1" applyFont="1" applyFill="1" applyBorder="1" applyAlignment="1" applyProtection="1">
      <alignment horizontal="right" vertical="center"/>
    </xf>
    <xf numFmtId="170" fontId="59" fillId="0" borderId="6" xfId="0" applyNumberFormat="1" applyFont="1" applyFill="1" applyBorder="1" applyAlignment="1" applyProtection="1">
      <alignment horizontal="right" vertical="center"/>
    </xf>
    <xf numFmtId="170" fontId="59" fillId="0" borderId="73" xfId="0" applyNumberFormat="1" applyFont="1" applyBorder="1" applyAlignment="1" applyProtection="1">
      <alignment horizontal="right" vertical="center"/>
      <protection locked="0"/>
    </xf>
    <xf numFmtId="170" fontId="58" fillId="0" borderId="6" xfId="0" applyNumberFormat="1" applyFont="1" applyBorder="1" applyAlignment="1">
      <alignment horizontal="right" vertical="center"/>
    </xf>
    <xf numFmtId="170" fontId="58" fillId="0" borderId="6" xfId="0" applyNumberFormat="1" applyFont="1" applyBorder="1" applyAlignment="1" applyProtection="1">
      <alignment horizontal="right" vertical="center"/>
    </xf>
    <xf numFmtId="3" fontId="6" fillId="2" borderId="44" xfId="0" applyNumberFormat="1" applyFont="1" applyFill="1" applyBorder="1" applyAlignment="1" applyProtection="1">
      <alignment horizontal="right" vertical="center" wrapText="1"/>
    </xf>
    <xf numFmtId="0" fontId="106" fillId="0" borderId="3" xfId="0" applyFont="1" applyBorder="1" applyAlignment="1">
      <alignment horizontal="justify" vertical="center"/>
    </xf>
    <xf numFmtId="0" fontId="107" fillId="0" borderId="6" xfId="0" applyFont="1" applyBorder="1" applyAlignment="1">
      <alignment horizontal="justify" vertical="center"/>
    </xf>
    <xf numFmtId="0" fontId="106" fillId="0" borderId="19" xfId="0" applyFont="1" applyBorder="1" applyAlignment="1">
      <alignment horizontal="justify" vertical="center"/>
    </xf>
    <xf numFmtId="0" fontId="108" fillId="0" borderId="19" xfId="0" applyFont="1" applyBorder="1" applyAlignment="1">
      <alignment horizontal="justify" vertical="center"/>
    </xf>
    <xf numFmtId="0" fontId="95" fillId="0" borderId="19" xfId="14" applyBorder="1" applyAlignment="1">
      <alignment horizontal="justify" vertical="center"/>
    </xf>
    <xf numFmtId="0" fontId="109" fillId="0" borderId="19" xfId="0" applyFont="1" applyBorder="1" applyAlignment="1">
      <alignment horizontal="center" vertical="center"/>
    </xf>
    <xf numFmtId="0" fontId="107" fillId="0" borderId="19" xfId="0" applyFont="1" applyBorder="1" applyAlignment="1">
      <alignment horizontal="center" vertical="center"/>
    </xf>
    <xf numFmtId="171" fontId="34" fillId="0" borderId="17" xfId="8" applyNumberFormat="1" applyFont="1" applyFill="1" applyBorder="1" applyAlignment="1">
      <alignment horizontal="justify" vertical="center" wrapText="1"/>
    </xf>
    <xf numFmtId="0" fontId="104" fillId="0" borderId="60" xfId="0" applyFont="1" applyBorder="1" applyAlignment="1">
      <alignment horizontal="center" vertical="center"/>
    </xf>
    <xf numFmtId="0" fontId="104" fillId="0" borderId="0" xfId="0" applyFont="1" applyAlignment="1">
      <alignment horizontal="center" vertical="center"/>
    </xf>
    <xf numFmtId="0" fontId="25" fillId="0" borderId="19" xfId="0" applyFont="1" applyBorder="1" applyAlignment="1">
      <alignment horizontal="center" vertical="center"/>
    </xf>
    <xf numFmtId="0" fontId="25" fillId="0" borderId="19" xfId="0" applyFont="1" applyBorder="1" applyAlignment="1">
      <alignment horizontal="left" vertical="center"/>
    </xf>
    <xf numFmtId="0" fontId="107" fillId="0" borderId="19" xfId="0" applyFont="1" applyBorder="1" applyAlignment="1">
      <alignment horizontal="justify" vertical="center"/>
    </xf>
    <xf numFmtId="169" fontId="107" fillId="0" borderId="19" xfId="0" applyNumberFormat="1" applyFont="1" applyBorder="1" applyAlignment="1">
      <alignment horizontal="right" vertical="center"/>
    </xf>
    <xf numFmtId="169" fontId="107" fillId="0" borderId="19" xfId="0" applyNumberFormat="1" applyFont="1" applyBorder="1" applyAlignment="1">
      <alignment horizontal="right" vertical="center" indent="1"/>
    </xf>
    <xf numFmtId="169" fontId="107" fillId="0" borderId="19" xfId="0" applyNumberFormat="1" applyFont="1" applyBorder="1" applyAlignment="1">
      <alignment horizontal="right" vertical="center" indent="2"/>
    </xf>
    <xf numFmtId="4" fontId="107" fillId="0" borderId="19" xfId="0" applyNumberFormat="1" applyFont="1" applyBorder="1" applyAlignment="1">
      <alignment horizontal="right" vertical="center"/>
    </xf>
    <xf numFmtId="3" fontId="107" fillId="0" borderId="19" xfId="0" applyNumberFormat="1" applyFont="1" applyBorder="1" applyAlignment="1">
      <alignment horizontal="right" vertical="center" indent="1"/>
    </xf>
    <xf numFmtId="0" fontId="109" fillId="0" borderId="19" xfId="0" applyFont="1" applyBorder="1" applyAlignment="1">
      <alignment horizontal="center" vertical="center" wrapText="1"/>
    </xf>
    <xf numFmtId="166" fontId="107" fillId="0" borderId="19" xfId="0" applyNumberFormat="1" applyFont="1" applyBorder="1" applyAlignment="1">
      <alignment horizontal="justify" vertical="center"/>
    </xf>
    <xf numFmtId="169" fontId="106" fillId="0" borderId="19" xfId="0" applyNumberFormat="1" applyFont="1" applyBorder="1" applyAlignment="1">
      <alignment horizontal="right" vertical="center"/>
    </xf>
    <xf numFmtId="169" fontId="106" fillId="0" borderId="19" xfId="0" applyNumberFormat="1" applyFont="1" applyFill="1" applyBorder="1" applyAlignment="1">
      <alignment horizontal="right" vertical="center"/>
    </xf>
    <xf numFmtId="0" fontId="10" fillId="0" borderId="0" xfId="0" applyFont="1" applyFill="1" applyBorder="1" applyAlignment="1" applyProtection="1">
      <alignment horizontal="center" vertical="center"/>
      <protection locked="0"/>
    </xf>
    <xf numFmtId="0" fontId="58" fillId="4" borderId="9" xfId="0" applyFont="1" applyFill="1" applyBorder="1" applyAlignment="1">
      <alignment horizontal="center" vertical="center" wrapText="1"/>
    </xf>
    <xf numFmtId="171" fontId="34" fillId="0" borderId="17" xfId="0" applyNumberFormat="1" applyFont="1" applyBorder="1" applyAlignment="1">
      <alignment horizontal="right" vertical="center" wrapText="1"/>
    </xf>
    <xf numFmtId="0" fontId="14" fillId="0" borderId="77" xfId="0" applyFont="1" applyFill="1" applyBorder="1" applyAlignment="1" applyProtection="1">
      <alignment horizontal="center" vertical="center"/>
      <protection locked="0"/>
    </xf>
    <xf numFmtId="0" fontId="12" fillId="0" borderId="78" xfId="0" applyFont="1" applyFill="1" applyBorder="1" applyProtection="1">
      <protection locked="0"/>
    </xf>
    <xf numFmtId="4" fontId="25" fillId="0" borderId="79" xfId="0" applyNumberFormat="1" applyFont="1" applyFill="1" applyBorder="1" applyAlignment="1" applyProtection="1">
      <alignment vertical="top"/>
    </xf>
    <xf numFmtId="4" fontId="12" fillId="0" borderId="79" xfId="0" applyNumberFormat="1" applyFont="1" applyFill="1" applyBorder="1" applyProtection="1">
      <protection locked="0"/>
    </xf>
    <xf numFmtId="4" fontId="24" fillId="0" borderId="79" xfId="0" applyNumberFormat="1" applyFont="1" applyFill="1" applyBorder="1" applyAlignment="1" applyProtection="1">
      <alignment vertical="top"/>
    </xf>
    <xf numFmtId="4" fontId="12" fillId="0" borderId="79" xfId="0" applyNumberFormat="1" applyFont="1" applyFill="1" applyBorder="1" applyAlignment="1" applyProtection="1">
      <alignment vertical="top"/>
    </xf>
    <xf numFmtId="4" fontId="25" fillId="0" borderId="79" xfId="0" applyNumberFormat="1" applyFont="1" applyFill="1" applyBorder="1" applyAlignment="1" applyProtection="1">
      <alignment vertical="top"/>
      <protection locked="0"/>
    </xf>
    <xf numFmtId="4" fontId="12" fillId="0" borderId="79" xfId="0" applyNumberFormat="1" applyFont="1" applyFill="1" applyBorder="1" applyAlignment="1" applyProtection="1">
      <alignment vertical="top"/>
      <protection locked="0"/>
    </xf>
    <xf numFmtId="4" fontId="24" fillId="0" borderId="79" xfId="0" applyNumberFormat="1" applyFont="1" applyFill="1" applyBorder="1" applyAlignment="1" applyProtection="1">
      <alignment vertical="top" wrapText="1"/>
    </xf>
    <xf numFmtId="4" fontId="24" fillId="0" borderId="80" xfId="0" applyNumberFormat="1" applyFont="1" applyFill="1" applyBorder="1" applyAlignment="1" applyProtection="1">
      <alignment vertical="top" wrapText="1"/>
    </xf>
    <xf numFmtId="171" fontId="11" fillId="0" borderId="8" xfId="0" applyNumberFormat="1" applyFont="1" applyBorder="1" applyAlignment="1">
      <alignment vertical="center"/>
    </xf>
    <xf numFmtId="171" fontId="6" fillId="0" borderId="0" xfId="0" applyNumberFormat="1" applyFont="1" applyAlignment="1">
      <alignment horizontal="right" vertical="top"/>
    </xf>
    <xf numFmtId="171" fontId="3" fillId="0" borderId="15" xfId="0" applyNumberFormat="1" applyFont="1" applyBorder="1" applyAlignment="1">
      <alignment horizontal="center" vertical="center" wrapText="1"/>
    </xf>
    <xf numFmtId="171" fontId="3" fillId="4" borderId="15" xfId="0" applyNumberFormat="1" applyFont="1" applyFill="1" applyBorder="1" applyAlignment="1">
      <alignment horizontal="center" vertical="center" wrapText="1"/>
    </xf>
    <xf numFmtId="171" fontId="25" fillId="0" borderId="16" xfId="0" applyNumberFormat="1" applyFont="1" applyBorder="1" applyAlignment="1">
      <alignment horizontal="right" wrapText="1"/>
    </xf>
    <xf numFmtId="171" fontId="25" fillId="0" borderId="16" xfId="0" applyNumberFormat="1" applyFont="1" applyBorder="1" applyAlignment="1">
      <alignment horizontal="center" vertical="center" wrapText="1"/>
    </xf>
    <xf numFmtId="171" fontId="25" fillId="4" borderId="16" xfId="0" applyNumberFormat="1" applyFont="1" applyFill="1" applyBorder="1" applyAlignment="1">
      <alignment horizontal="center" vertical="center" wrapText="1"/>
    </xf>
    <xf numFmtId="171" fontId="1" fillId="0" borderId="17" xfId="0" applyNumberFormat="1" applyFont="1" applyBorder="1"/>
    <xf numFmtId="171" fontId="1" fillId="0" borderId="17" xfId="0" applyNumberFormat="1" applyFont="1" applyBorder="1" applyAlignment="1">
      <alignment horizontal="justify" vertical="center" wrapText="1"/>
    </xf>
    <xf numFmtId="171" fontId="5" fillId="0" borderId="0" xfId="0" applyNumberFormat="1" applyFont="1" applyAlignment="1">
      <alignment horizontal="right"/>
    </xf>
    <xf numFmtId="171" fontId="5" fillId="0" borderId="0" xfId="0" applyNumberFormat="1" applyFont="1" applyAlignment="1">
      <alignment vertical="center"/>
    </xf>
    <xf numFmtId="171" fontId="25" fillId="0" borderId="0" xfId="0" applyNumberFormat="1" applyFont="1" applyAlignment="1" applyProtection="1">
      <alignment horizontal="right"/>
      <protection locked="0"/>
    </xf>
    <xf numFmtId="171" fontId="3" fillId="0" borderId="16" xfId="0" applyNumberFormat="1" applyFont="1" applyBorder="1" applyAlignment="1">
      <alignment vertical="center" wrapText="1"/>
    </xf>
    <xf numFmtId="0" fontId="34" fillId="0" borderId="48" xfId="0" applyFont="1" applyBorder="1" applyAlignment="1">
      <alignment horizontal="center" vertical="top" wrapText="1"/>
    </xf>
    <xf numFmtId="0" fontId="34" fillId="0" borderId="16" xfId="0" applyFont="1" applyBorder="1" applyAlignment="1">
      <alignment horizontal="justify" vertical="top" wrapText="1"/>
    </xf>
    <xf numFmtId="0" fontId="1" fillId="0" borderId="48" xfId="0" applyFont="1" applyBorder="1" applyAlignment="1">
      <alignment horizontal="center" vertical="top" wrapText="1"/>
    </xf>
    <xf numFmtId="0" fontId="1" fillId="0" borderId="16" xfId="0" applyFont="1" applyBorder="1" applyAlignment="1">
      <alignment horizontal="justify" vertical="top" wrapText="1"/>
    </xf>
    <xf numFmtId="171" fontId="92" fillId="0" borderId="16" xfId="0" applyNumberFormat="1" applyFont="1" applyBorder="1" applyAlignment="1">
      <alignment horizontal="right" vertical="center"/>
    </xf>
    <xf numFmtId="171" fontId="104" fillId="0" borderId="0" xfId="0" applyNumberFormat="1" applyFont="1" applyAlignment="1">
      <alignment horizontal="center" vertical="center"/>
    </xf>
    <xf numFmtId="0" fontId="25" fillId="0" borderId="67" xfId="0" applyFont="1" applyBorder="1" applyAlignment="1">
      <alignment vertical="center" wrapText="1"/>
    </xf>
    <xf numFmtId="171" fontId="22" fillId="0" borderId="0" xfId="12" applyNumberFormat="1" applyFont="1" applyAlignment="1">
      <alignment horizontal="center" vertical="center"/>
    </xf>
    <xf numFmtId="0" fontId="2" fillId="0" borderId="49" xfId="0" applyFont="1" applyFill="1" applyBorder="1" applyAlignment="1" applyProtection="1">
      <alignment vertical="top" wrapText="1"/>
      <protection locked="0"/>
    </xf>
    <xf numFmtId="0" fontId="91" fillId="0" borderId="0" xfId="0" applyFont="1"/>
    <xf numFmtId="0" fontId="86" fillId="14" borderId="28" xfId="0" applyFont="1" applyFill="1" applyBorder="1" applyAlignment="1">
      <alignment horizontal="center" vertical="center" wrapText="1"/>
    </xf>
    <xf numFmtId="169" fontId="1" fillId="0" borderId="17" xfId="0" applyNumberFormat="1" applyFont="1" applyBorder="1" applyAlignment="1">
      <alignment horizontal="right" vertical="center" wrapText="1"/>
    </xf>
    <xf numFmtId="169" fontId="1" fillId="0" borderId="17" xfId="0" applyNumberFormat="1" applyFont="1" applyBorder="1" applyAlignment="1">
      <alignment vertical="center" wrapText="1"/>
    </xf>
    <xf numFmtId="169" fontId="34" fillId="0" borderId="17" xfId="0" applyNumberFormat="1" applyFont="1" applyBorder="1" applyAlignment="1">
      <alignment vertical="center"/>
    </xf>
    <xf numFmtId="169" fontId="1" fillId="0" borderId="17" xfId="0" applyNumberFormat="1" applyFont="1" applyBorder="1"/>
    <xf numFmtId="169" fontId="92" fillId="0" borderId="17" xfId="0" applyNumberFormat="1" applyFont="1" applyBorder="1" applyAlignment="1">
      <alignment horizontal="right" vertical="top" wrapText="1"/>
    </xf>
    <xf numFmtId="169" fontId="92" fillId="0" borderId="17" xfId="0" applyNumberFormat="1" applyFont="1" applyBorder="1" applyAlignment="1">
      <alignment vertical="center"/>
    </xf>
    <xf numFmtId="169" fontId="1" fillId="0" borderId="16" xfId="0" applyNumberFormat="1" applyFont="1" applyBorder="1"/>
    <xf numFmtId="169" fontId="1" fillId="0" borderId="16" xfId="0" applyNumberFormat="1" applyFont="1" applyBorder="1" applyAlignment="1">
      <alignment vertical="center" wrapText="1"/>
    </xf>
    <xf numFmtId="169" fontId="3" fillId="0" borderId="17" xfId="0" applyNumberFormat="1" applyFont="1" applyBorder="1" applyAlignment="1">
      <alignment vertical="center" wrapText="1"/>
    </xf>
    <xf numFmtId="171" fontId="85" fillId="10" borderId="63" xfId="0" applyNumberFormat="1" applyFont="1" applyFill="1" applyBorder="1" applyAlignment="1">
      <alignment horizontal="center" vertical="center" textRotation="90" wrapText="1"/>
    </xf>
    <xf numFmtId="171" fontId="85" fillId="10" borderId="62" xfId="0" applyNumberFormat="1" applyFont="1" applyFill="1" applyBorder="1" applyAlignment="1">
      <alignment horizontal="center" vertical="center" textRotation="90" wrapText="1"/>
    </xf>
    <xf numFmtId="171" fontId="85" fillId="10" borderId="23" xfId="0" applyNumberFormat="1" applyFont="1" applyFill="1" applyBorder="1" applyAlignment="1">
      <alignment horizontal="center" vertical="center" textRotation="90" wrapText="1"/>
    </xf>
    <xf numFmtId="171" fontId="85" fillId="10" borderId="24" xfId="0" applyNumberFormat="1" applyFont="1" applyFill="1" applyBorder="1" applyAlignment="1">
      <alignment horizontal="center" vertical="center" textRotation="90" wrapText="1"/>
    </xf>
    <xf numFmtId="171" fontId="0" fillId="9" borderId="16" xfId="0" applyNumberFormat="1" applyFill="1" applyBorder="1" applyAlignment="1">
      <alignment horizontal="center"/>
    </xf>
    <xf numFmtId="171" fontId="90" fillId="0" borderId="0" xfId="0" applyNumberFormat="1" applyFont="1"/>
    <xf numFmtId="171" fontId="103" fillId="0" borderId="0" xfId="0" applyNumberFormat="1" applyFont="1" applyAlignment="1">
      <alignment vertical="top" wrapText="1"/>
    </xf>
    <xf numFmtId="171" fontId="103" fillId="15" borderId="0" xfId="0" applyNumberFormat="1" applyFont="1" applyFill="1" applyAlignment="1">
      <alignment vertical="top" wrapText="1"/>
    </xf>
    <xf numFmtId="171" fontId="0" fillId="0" borderId="0" xfId="0" applyNumberFormat="1"/>
    <xf numFmtId="0" fontId="25" fillId="0" borderId="67" xfId="0" applyFont="1" applyBorder="1" applyAlignment="1">
      <alignment horizontal="center" vertical="center"/>
    </xf>
    <xf numFmtId="0" fontId="25" fillId="0" borderId="67" xfId="0" applyFont="1" applyBorder="1" applyAlignment="1">
      <alignment horizontal="left" vertical="center"/>
    </xf>
    <xf numFmtId="171" fontId="22" fillId="0" borderId="0" xfId="12" applyNumberFormat="1" applyFont="1" applyFill="1" applyAlignment="1">
      <alignment horizontal="center" vertical="center"/>
    </xf>
    <xf numFmtId="0" fontId="25" fillId="0" borderId="19" xfId="0" applyFont="1" applyBorder="1" applyAlignment="1">
      <alignment vertical="center" wrapText="1"/>
    </xf>
    <xf numFmtId="0" fontId="0" fillId="0" borderId="0" xfId="0"/>
    <xf numFmtId="9" fontId="0" fillId="0" borderId="0" xfId="0" applyNumberFormat="1"/>
    <xf numFmtId="0" fontId="0" fillId="0" borderId="0" xfId="0" applyAlignment="1">
      <alignment horizontal="center"/>
    </xf>
    <xf numFmtId="0" fontId="97" fillId="0" borderId="0" xfId="0" applyFont="1"/>
    <xf numFmtId="0" fontId="99" fillId="4" borderId="19" xfId="0" applyFont="1" applyFill="1" applyBorder="1" applyAlignment="1">
      <alignment horizontal="center" vertical="center" wrapText="1" readingOrder="1"/>
    </xf>
    <xf numFmtId="0" fontId="88" fillId="4" borderId="19" xfId="0" applyFont="1" applyFill="1" applyBorder="1" applyAlignment="1">
      <alignment horizontal="center" vertical="center" wrapText="1" readingOrder="1"/>
    </xf>
    <xf numFmtId="0" fontId="100" fillId="4" borderId="19" xfId="0" applyFont="1" applyFill="1" applyBorder="1" applyAlignment="1">
      <alignment horizontal="center" vertical="center" wrapText="1" readingOrder="1"/>
    </xf>
    <xf numFmtId="1" fontId="100" fillId="4" borderId="19" xfId="0" applyNumberFormat="1" applyFont="1" applyFill="1" applyBorder="1" applyAlignment="1">
      <alignment horizontal="center" vertical="center" wrapText="1" readingOrder="1"/>
    </xf>
    <xf numFmtId="0" fontId="101" fillId="4" borderId="19" xfId="14" applyFont="1" applyFill="1" applyBorder="1" applyAlignment="1">
      <alignment horizontal="center" vertical="center" wrapText="1" readingOrder="1"/>
    </xf>
    <xf numFmtId="0" fontId="99" fillId="4" borderId="19" xfId="0" applyFont="1" applyFill="1" applyBorder="1" applyAlignment="1">
      <alignment horizontal="center" vertical="center" wrapText="1"/>
    </xf>
    <xf numFmtId="0" fontId="102" fillId="4" borderId="19" xfId="0" applyFont="1" applyFill="1" applyBorder="1" applyAlignment="1">
      <alignment horizontal="center" vertical="center"/>
    </xf>
    <xf numFmtId="9" fontId="102" fillId="4" borderId="19" xfId="0" applyNumberFormat="1" applyFont="1" applyFill="1" applyBorder="1" applyAlignment="1">
      <alignment horizontal="center" vertical="center"/>
    </xf>
    <xf numFmtId="0" fontId="88" fillId="4" borderId="19" xfId="0" applyFont="1" applyFill="1" applyBorder="1" applyAlignment="1">
      <alignment vertical="center" wrapText="1" readingOrder="1"/>
    </xf>
    <xf numFmtId="10" fontId="100" fillId="4" borderId="19" xfId="6" applyNumberFormat="1" applyFont="1" applyFill="1" applyBorder="1" applyAlignment="1">
      <alignment horizontal="center" vertical="center" wrapText="1" readingOrder="1"/>
    </xf>
    <xf numFmtId="10" fontId="100" fillId="4" borderId="19" xfId="0" applyNumberFormat="1" applyFont="1" applyFill="1" applyBorder="1" applyAlignment="1">
      <alignment horizontal="center" vertical="center" wrapText="1" readingOrder="1"/>
    </xf>
    <xf numFmtId="3" fontId="102" fillId="4" borderId="19" xfId="0" applyNumberFormat="1" applyFont="1" applyFill="1" applyBorder="1" applyAlignment="1">
      <alignment horizontal="center" vertical="center"/>
    </xf>
    <xf numFmtId="1" fontId="0" fillId="0" borderId="0" xfId="0" applyNumberFormat="1"/>
    <xf numFmtId="3" fontId="100" fillId="4" borderId="19" xfId="0" applyNumberFormat="1" applyFont="1" applyFill="1" applyBorder="1" applyAlignment="1">
      <alignment horizontal="center" vertical="center" wrapText="1" readingOrder="1"/>
    </xf>
    <xf numFmtId="9" fontId="100" fillId="4" borderId="19" xfId="0" applyNumberFormat="1" applyFont="1" applyFill="1" applyBorder="1" applyAlignment="1">
      <alignment horizontal="center" vertical="center" wrapText="1" readingOrder="1"/>
    </xf>
    <xf numFmtId="10" fontId="0" fillId="0" borderId="0" xfId="0" applyNumberFormat="1"/>
    <xf numFmtId="172" fontId="0" fillId="0" borderId="0" xfId="0" applyNumberFormat="1"/>
    <xf numFmtId="173" fontId="94" fillId="0" borderId="0" xfId="0" applyNumberFormat="1" applyFont="1"/>
    <xf numFmtId="0" fontId="94" fillId="0" borderId="0" xfId="0" applyFont="1"/>
    <xf numFmtId="1" fontId="94" fillId="0" borderId="0" xfId="0" applyNumberFormat="1" applyFont="1"/>
    <xf numFmtId="2" fontId="94" fillId="0" borderId="0" xfId="0" applyNumberFormat="1" applyFont="1"/>
    <xf numFmtId="2" fontId="0" fillId="0" borderId="0" xfId="0" applyNumberFormat="1"/>
    <xf numFmtId="3" fontId="0" fillId="0" borderId="0" xfId="0" applyNumberFormat="1"/>
    <xf numFmtId="0" fontId="0" fillId="0" borderId="0" xfId="0" applyAlignment="1">
      <alignment horizontal="center" vertical="center"/>
    </xf>
    <xf numFmtId="0" fontId="116" fillId="0" borderId="0" xfId="0" applyFont="1"/>
    <xf numFmtId="0" fontId="119" fillId="17" borderId="66" xfId="0" applyFont="1" applyFill="1" applyBorder="1" applyAlignment="1">
      <alignment horizontal="center" vertical="center"/>
    </xf>
    <xf numFmtId="0" fontId="119" fillId="17" borderId="72" xfId="0" applyFont="1" applyFill="1" applyBorder="1" applyAlignment="1">
      <alignment horizontal="center" vertical="center"/>
    </xf>
    <xf numFmtId="0" fontId="116" fillId="3" borderId="69" xfId="0" applyFont="1" applyFill="1" applyBorder="1" applyAlignment="1">
      <alignment wrapText="1"/>
    </xf>
    <xf numFmtId="0" fontId="116" fillId="3" borderId="32" xfId="0" applyFont="1" applyFill="1" applyBorder="1" applyAlignment="1">
      <alignment wrapText="1"/>
    </xf>
    <xf numFmtId="0" fontId="116" fillId="3" borderId="70" xfId="0" applyFont="1" applyFill="1" applyBorder="1" applyAlignment="1">
      <alignment wrapText="1"/>
    </xf>
    <xf numFmtId="0" fontId="116" fillId="3" borderId="32" xfId="0" applyFont="1" applyFill="1" applyBorder="1" applyAlignment="1">
      <alignment horizontal="center" wrapText="1"/>
    </xf>
    <xf numFmtId="0" fontId="116" fillId="3" borderId="17" xfId="0" applyFont="1" applyFill="1" applyBorder="1" applyAlignment="1">
      <alignment wrapText="1"/>
    </xf>
    <xf numFmtId="0" fontId="116" fillId="18" borderId="19" xfId="0" applyFont="1" applyFill="1" applyBorder="1" applyAlignment="1">
      <alignment horizontal="center" vertical="center" wrapText="1"/>
    </xf>
    <xf numFmtId="0" fontId="116" fillId="3" borderId="60" xfId="0" applyFont="1" applyFill="1" applyBorder="1" applyAlignment="1">
      <alignment wrapText="1"/>
    </xf>
    <xf numFmtId="0" fontId="116" fillId="3" borderId="0" xfId="0" applyFont="1" applyFill="1" applyAlignment="1">
      <alignment wrapText="1"/>
    </xf>
    <xf numFmtId="0" fontId="116" fillId="19" borderId="19" xfId="0" applyFont="1" applyFill="1" applyBorder="1" applyAlignment="1">
      <alignment horizontal="center" wrapText="1"/>
    </xf>
    <xf numFmtId="0" fontId="116" fillId="20" borderId="19" xfId="0" applyFont="1" applyFill="1" applyBorder="1" applyAlignment="1">
      <alignment horizontal="center" wrapText="1"/>
    </xf>
    <xf numFmtId="0" fontId="116" fillId="3" borderId="68" xfId="0" applyFont="1" applyFill="1" applyBorder="1" applyAlignment="1">
      <alignment wrapText="1"/>
    </xf>
    <xf numFmtId="0" fontId="116" fillId="3" borderId="66" xfId="0" applyFont="1" applyFill="1" applyBorder="1" applyAlignment="1">
      <alignment wrapText="1"/>
    </xf>
    <xf numFmtId="0" fontId="116" fillId="20" borderId="19" xfId="0" applyFont="1" applyFill="1" applyBorder="1" applyAlignment="1">
      <alignment wrapText="1"/>
    </xf>
    <xf numFmtId="0" fontId="118" fillId="3" borderId="85" xfId="0" applyFont="1" applyFill="1" applyBorder="1" applyAlignment="1">
      <alignment horizontal="right" vertical="center" wrapText="1"/>
    </xf>
    <xf numFmtId="0" fontId="118" fillId="3" borderId="86" xfId="0" applyFont="1" applyFill="1" applyBorder="1" applyAlignment="1">
      <alignment horizontal="right" vertical="center" wrapText="1"/>
    </xf>
    <xf numFmtId="0" fontId="116" fillId="0" borderId="0" xfId="0" applyFont="1" applyAlignment="1">
      <alignment horizontal="center"/>
    </xf>
    <xf numFmtId="0" fontId="119" fillId="18" borderId="19" xfId="0" applyFont="1" applyFill="1" applyBorder="1" applyAlignment="1">
      <alignment horizontal="center" vertical="center" wrapText="1"/>
    </xf>
    <xf numFmtId="0" fontId="119" fillId="20" borderId="19" xfId="0" applyFont="1" applyFill="1" applyBorder="1" applyAlignment="1">
      <alignment horizontal="center" vertical="center" wrapText="1"/>
    </xf>
    <xf numFmtId="0" fontId="118" fillId="3" borderId="87" xfId="0" applyFont="1" applyFill="1" applyBorder="1" applyAlignment="1">
      <alignment horizontal="right" vertical="center" wrapText="1"/>
    </xf>
    <xf numFmtId="0" fontId="118" fillId="3" borderId="88" xfId="0" applyFont="1" applyFill="1" applyBorder="1" applyAlignment="1">
      <alignment horizontal="right" vertical="center" wrapText="1"/>
    </xf>
    <xf numFmtId="0" fontId="119" fillId="18" borderId="19" xfId="0" applyFont="1" applyFill="1" applyBorder="1" applyAlignment="1">
      <alignment horizontal="center" wrapText="1"/>
    </xf>
    <xf numFmtId="0" fontId="118" fillId="3" borderId="66" xfId="0" applyFont="1" applyFill="1" applyBorder="1" applyAlignment="1">
      <alignment horizontal="right" vertical="center" wrapText="1"/>
    </xf>
    <xf numFmtId="0" fontId="121" fillId="3" borderId="32" xfId="0" applyFont="1" applyFill="1" applyBorder="1" applyAlignment="1">
      <alignment horizontal="left" vertical="center" wrapText="1"/>
    </xf>
    <xf numFmtId="0" fontId="118" fillId="3" borderId="0" xfId="0" applyFont="1" applyFill="1" applyAlignment="1">
      <alignment horizontal="right" vertical="center" wrapText="1"/>
    </xf>
    <xf numFmtId="0" fontId="121" fillId="3" borderId="0" xfId="0" applyFont="1" applyFill="1" applyAlignment="1">
      <alignment horizontal="left" vertical="center" wrapText="1"/>
    </xf>
    <xf numFmtId="49" fontId="89" fillId="0" borderId="0" xfId="1" applyNumberFormat="1" applyFont="1" applyFill="1" applyBorder="1" applyAlignment="1">
      <alignment horizontal="center" vertical="top" wrapText="1"/>
    </xf>
    <xf numFmtId="9" fontId="89" fillId="0" borderId="0" xfId="1" applyNumberFormat="1" applyFont="1" applyFill="1" applyBorder="1" applyAlignment="1">
      <alignment vertical="top"/>
    </xf>
    <xf numFmtId="166" fontId="6" fillId="0" borderId="17" xfId="12" applyFont="1" applyFill="1" applyBorder="1" applyAlignment="1" applyProtection="1">
      <alignment horizontal="right" vertical="center" wrapText="1"/>
      <protection locked="0"/>
    </xf>
    <xf numFmtId="0" fontId="90" fillId="0" borderId="0" xfId="0" applyFont="1" applyAlignment="1">
      <alignment horizontal="center"/>
    </xf>
    <xf numFmtId="169" fontId="1" fillId="0" borderId="17" xfId="8" applyNumberFormat="1" applyFont="1" applyBorder="1" applyAlignment="1">
      <alignment horizontal="right" vertical="center" wrapText="1"/>
    </xf>
    <xf numFmtId="169" fontId="122" fillId="0" borderId="17" xfId="0" applyNumberFormat="1" applyFont="1" applyBorder="1" applyAlignment="1">
      <alignment wrapText="1"/>
    </xf>
    <xf numFmtId="0" fontId="1" fillId="0" borderId="17" xfId="0" applyFont="1" applyBorder="1"/>
    <xf numFmtId="49" fontId="3" fillId="0" borderId="45"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171" fontId="3" fillId="0" borderId="15" xfId="0" applyNumberFormat="1" applyFont="1" applyBorder="1" applyAlignment="1">
      <alignment horizontal="right" wrapText="1"/>
    </xf>
    <xf numFmtId="169" fontId="114" fillId="0" borderId="17" xfId="0" applyNumberFormat="1" applyFont="1" applyBorder="1" applyAlignment="1">
      <alignment vertical="top" wrapText="1"/>
    </xf>
    <xf numFmtId="169" fontId="92" fillId="0" borderId="17" xfId="0" applyNumberFormat="1" applyFont="1" applyBorder="1" applyAlignment="1">
      <alignment horizontal="right" vertical="center"/>
    </xf>
    <xf numFmtId="169" fontId="2" fillId="0" borderId="17" xfId="0" applyNumberFormat="1" applyFont="1" applyBorder="1" applyAlignment="1">
      <alignment horizontal="right" vertical="top" wrapText="1"/>
    </xf>
    <xf numFmtId="0" fontId="92" fillId="0" borderId="17" xfId="0" applyFont="1" applyBorder="1" applyAlignment="1">
      <alignment vertical="center"/>
    </xf>
    <xf numFmtId="169" fontId="92" fillId="0" borderId="16" xfId="0" applyNumberFormat="1" applyFont="1" applyBorder="1" applyAlignment="1">
      <alignment vertical="center"/>
    </xf>
    <xf numFmtId="171" fontId="92" fillId="0" borderId="16" xfId="0" applyNumberFormat="1" applyFont="1" applyBorder="1" applyAlignment="1">
      <alignment vertical="center"/>
    </xf>
    <xf numFmtId="171" fontId="34" fillId="0" borderId="16" xfId="0" applyNumberFormat="1" applyFont="1" applyBorder="1" applyAlignment="1">
      <alignment vertical="center" wrapText="1"/>
    </xf>
    <xf numFmtId="169" fontId="93" fillId="0" borderId="16" xfId="0" applyNumberFormat="1" applyFont="1" applyBorder="1" applyAlignment="1">
      <alignment vertical="center"/>
    </xf>
    <xf numFmtId="171" fontId="25" fillId="0" borderId="19" xfId="16" applyNumberFormat="1" applyFont="1" applyBorder="1" applyAlignment="1">
      <alignment horizontal="center" vertical="center"/>
    </xf>
    <xf numFmtId="171" fontId="25" fillId="0" borderId="19" xfId="16" applyNumberFormat="1" applyFont="1" applyBorder="1" applyAlignment="1">
      <alignment horizontal="center" vertical="center" wrapText="1"/>
    </xf>
    <xf numFmtId="171" fontId="25" fillId="0" borderId="19" xfId="16" applyNumberFormat="1" applyFont="1" applyFill="1" applyBorder="1" applyAlignment="1">
      <alignment horizontal="center" vertical="center"/>
    </xf>
    <xf numFmtId="43" fontId="25" fillId="0" borderId="19" xfId="16" applyFont="1" applyBorder="1" applyAlignment="1">
      <alignment horizontal="center" vertical="center"/>
    </xf>
    <xf numFmtId="171" fontId="25" fillId="0" borderId="65" xfId="16" applyNumberFormat="1" applyFont="1" applyFill="1" applyBorder="1" applyAlignment="1">
      <alignment horizontal="center" vertical="center"/>
    </xf>
    <xf numFmtId="43" fontId="25" fillId="0" borderId="19" xfId="16" applyFont="1" applyBorder="1" applyAlignment="1">
      <alignment horizontal="left" vertical="center" wrapText="1"/>
    </xf>
    <xf numFmtId="171" fontId="25" fillId="0" borderId="67" xfId="16" applyNumberFormat="1" applyFont="1" applyBorder="1" applyAlignment="1">
      <alignment horizontal="center" vertical="center"/>
    </xf>
    <xf numFmtId="171" fontId="25" fillId="0" borderId="67" xfId="16" applyNumberFormat="1" applyFont="1" applyBorder="1" applyAlignment="1">
      <alignment horizontal="center" vertical="center" wrapText="1"/>
    </xf>
    <xf numFmtId="171" fontId="25" fillId="0" borderId="67" xfId="16" applyNumberFormat="1" applyFont="1" applyFill="1" applyBorder="1" applyAlignment="1">
      <alignment horizontal="center" vertical="center"/>
    </xf>
    <xf numFmtId="43" fontId="25" fillId="0" borderId="19" xfId="16" applyFont="1" applyBorder="1" applyAlignment="1">
      <alignment vertical="center" wrapText="1"/>
    </xf>
    <xf numFmtId="43" fontId="25" fillId="0" borderId="19" xfId="16" applyFont="1" applyBorder="1" applyAlignment="1">
      <alignment vertical="top"/>
    </xf>
    <xf numFmtId="171" fontId="22" fillId="0" borderId="0" xfId="16" applyNumberFormat="1" applyFont="1" applyAlignment="1">
      <alignment horizontal="center" vertical="center"/>
    </xf>
    <xf numFmtId="171" fontId="22" fillId="0" borderId="0" xfId="16" applyNumberFormat="1" applyFont="1" applyFill="1" applyAlignment="1">
      <alignment horizontal="center" vertical="center"/>
    </xf>
    <xf numFmtId="43" fontId="22" fillId="0" borderId="0" xfId="16" applyFont="1" applyAlignment="1">
      <alignment vertical="top"/>
    </xf>
    <xf numFmtId="171" fontId="22" fillId="0" borderId="66" xfId="16" applyNumberFormat="1" applyFont="1" applyBorder="1" applyAlignment="1">
      <alignment horizontal="center" vertical="center"/>
    </xf>
    <xf numFmtId="43" fontId="22" fillId="0" borderId="66" xfId="16" applyFont="1" applyBorder="1" applyAlignment="1">
      <alignment vertical="top"/>
    </xf>
    <xf numFmtId="43" fontId="11" fillId="0" borderId="0" xfId="16" applyFont="1" applyAlignment="1">
      <alignment horizontal="center" vertical="top"/>
    </xf>
    <xf numFmtId="0" fontId="11" fillId="0" borderId="0" xfId="0" applyFont="1" applyAlignment="1">
      <alignment vertical="center"/>
    </xf>
    <xf numFmtId="171" fontId="22" fillId="0" borderId="0" xfId="16" applyNumberFormat="1" applyFont="1" applyBorder="1" applyAlignment="1">
      <alignment horizontal="center" vertical="center"/>
    </xf>
    <xf numFmtId="7" fontId="90" fillId="0" borderId="0" xfId="0" applyNumberFormat="1" applyFont="1"/>
    <xf numFmtId="0" fontId="123" fillId="0" borderId="66" xfId="0" applyFont="1" applyBorder="1"/>
    <xf numFmtId="171" fontId="39" fillId="0" borderId="0" xfId="0" applyNumberFormat="1" applyFont="1"/>
    <xf numFmtId="171" fontId="123" fillId="0" borderId="66" xfId="0" applyNumberFormat="1" applyFont="1" applyBorder="1"/>
    <xf numFmtId="171" fontId="123" fillId="0" borderId="0" xfId="0" applyNumberFormat="1" applyFont="1"/>
    <xf numFmtId="49" fontId="90" fillId="0" borderId="0" xfId="0" applyNumberFormat="1" applyFont="1" applyAlignment="1">
      <alignment horizontal="center" vertical="center"/>
    </xf>
    <xf numFmtId="0" fontId="119" fillId="0" borderId="0" xfId="0" applyFont="1" applyAlignment="1">
      <alignment horizontal="center" vertical="center"/>
    </xf>
    <xf numFmtId="0" fontId="39" fillId="0" borderId="0" xfId="0" applyFont="1" applyAlignment="1">
      <alignment horizontal="center" vertical="center"/>
    </xf>
    <xf numFmtId="0" fontId="96" fillId="4" borderId="19" xfId="0" applyFont="1" applyFill="1" applyBorder="1" applyAlignment="1">
      <alignment horizontal="center" vertical="center" wrapText="1" readingOrder="1"/>
    </xf>
    <xf numFmtId="0" fontId="90" fillId="0" borderId="0" xfId="0" applyFont="1" applyAlignment="1">
      <alignment horizontal="center"/>
    </xf>
    <xf numFmtId="0" fontId="103" fillId="0" borderId="0" xfId="0" applyFont="1" applyAlignment="1">
      <alignment horizontal="center" vertical="top" wrapText="1"/>
    </xf>
    <xf numFmtId="0" fontId="124" fillId="0" borderId="0" xfId="0" applyFont="1" applyAlignment="1">
      <alignment horizontal="center" vertical="center" wrapText="1"/>
    </xf>
    <xf numFmtId="0" fontId="124" fillId="0" borderId="0" xfId="0" applyFont="1" applyAlignment="1">
      <alignment horizontal="center" vertical="top" wrapText="1"/>
    </xf>
    <xf numFmtId="0" fontId="103" fillId="15" borderId="0" xfId="0" applyFont="1" applyFill="1" applyAlignment="1">
      <alignment horizontal="center" vertical="top" wrapText="1"/>
    </xf>
    <xf numFmtId="0" fontId="74" fillId="6" borderId="50" xfId="0" applyFont="1" applyFill="1" applyBorder="1" applyAlignment="1">
      <alignment horizontal="justify" vertical="center" wrapText="1"/>
    </xf>
    <xf numFmtId="0" fontId="74" fillId="6" borderId="13" xfId="0" applyFont="1" applyFill="1" applyBorder="1" applyAlignment="1">
      <alignment horizontal="justify" vertical="center" wrapText="1"/>
    </xf>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74" fillId="0" borderId="50" xfId="0" applyFont="1" applyBorder="1" applyAlignment="1">
      <alignment horizontal="justify" vertical="center" wrapText="1"/>
    </xf>
    <xf numFmtId="0" fontId="74" fillId="0" borderId="13" xfId="0" applyFont="1" applyBorder="1" applyAlignment="1">
      <alignment horizontal="justify" vertical="center" wrapText="1"/>
    </xf>
    <xf numFmtId="0" fontId="5" fillId="0" borderId="0"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3" fillId="4" borderId="0" xfId="0" applyFont="1" applyFill="1" applyBorder="1" applyAlignment="1" applyProtection="1">
      <alignment horizontal="center" vertical="center" wrapText="1"/>
      <protection locked="0"/>
    </xf>
    <xf numFmtId="0" fontId="67"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6" fillId="0" borderId="8" xfId="0" applyFont="1" applyFill="1" applyBorder="1" applyAlignment="1" applyProtection="1">
      <alignment horizontal="center" vertical="top"/>
      <protection locked="0"/>
    </xf>
    <xf numFmtId="0" fontId="3" fillId="0" borderId="41"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8" fillId="0" borderId="5" xfId="0" applyFont="1" applyBorder="1" applyAlignment="1">
      <alignment horizontal="justify" vertical="center" wrapText="1"/>
    </xf>
    <xf numFmtId="0" fontId="58" fillId="0" borderId="6" xfId="0" applyFont="1" applyBorder="1" applyAlignment="1">
      <alignment horizontal="justify" vertical="center" wrapText="1"/>
    </xf>
    <xf numFmtId="0" fontId="38" fillId="4" borderId="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4" borderId="3" xfId="0" applyFont="1" applyFill="1" applyBorder="1" applyAlignment="1">
      <alignment horizontal="center" vertical="center" wrapText="1"/>
    </xf>
    <xf numFmtId="0" fontId="58" fillId="4" borderId="7" xfId="0" applyFont="1" applyFill="1" applyBorder="1" applyAlignment="1">
      <alignment horizontal="center" vertical="center" wrapText="1"/>
    </xf>
    <xf numFmtId="0" fontId="58" fillId="4" borderId="9" xfId="0" applyFont="1" applyFill="1" applyBorder="1" applyAlignment="1">
      <alignment horizontal="center" vertical="center" wrapText="1"/>
    </xf>
    <xf numFmtId="0" fontId="58" fillId="4" borderId="50"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58" fillId="0" borderId="1" xfId="0" applyFont="1" applyBorder="1" applyAlignment="1">
      <alignment horizontal="justify" vertical="center" wrapText="1"/>
    </xf>
    <xf numFmtId="0" fontId="58" fillId="0" borderId="3" xfId="0" applyFont="1" applyBorder="1" applyAlignment="1">
      <alignment horizontal="justify" vertical="center" wrapText="1"/>
    </xf>
    <xf numFmtId="0" fontId="61" fillId="0" borderId="0" xfId="0" applyFont="1" applyAlignment="1">
      <alignment horizontal="center" vertical="justify"/>
    </xf>
    <xf numFmtId="0" fontId="62" fillId="6" borderId="50" xfId="0" applyFont="1" applyFill="1" applyBorder="1" applyAlignment="1">
      <alignment horizontal="center" vertical="center"/>
    </xf>
    <xf numFmtId="0" fontId="62" fillId="6" borderId="4" xfId="0" applyFont="1" applyFill="1" applyBorder="1" applyAlignment="1">
      <alignment horizontal="center" vertical="center"/>
    </xf>
    <xf numFmtId="0" fontId="62" fillId="6" borderId="13" xfId="0" applyFont="1" applyFill="1" applyBorder="1" applyAlignment="1">
      <alignment horizontal="center" vertical="center"/>
    </xf>
    <xf numFmtId="0" fontId="62" fillId="6" borderId="50" xfId="0" applyFont="1" applyFill="1" applyBorder="1" applyAlignment="1">
      <alignment horizontal="center" vertical="center" wrapText="1"/>
    </xf>
    <xf numFmtId="0" fontId="62" fillId="6" borderId="4"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59" fillId="0" borderId="5" xfId="0" applyFont="1" applyBorder="1" applyAlignment="1">
      <alignment horizontal="justify" vertical="center" wrapText="1"/>
    </xf>
    <xf numFmtId="0" fontId="59" fillId="0" borderId="6" xfId="0" applyFont="1" applyBorder="1" applyAlignment="1">
      <alignment horizontal="justify" vertical="center" wrapText="1"/>
    </xf>
    <xf numFmtId="0" fontId="60" fillId="0" borderId="7" xfId="0" applyFont="1" applyBorder="1" applyAlignment="1">
      <alignment horizontal="justify" vertical="center" wrapText="1"/>
    </xf>
    <xf numFmtId="0" fontId="60" fillId="0" borderId="9" xfId="0" applyFont="1" applyBorder="1" applyAlignment="1">
      <alignment horizontal="justify" vertical="center" wrapText="1"/>
    </xf>
    <xf numFmtId="0" fontId="1" fillId="0" borderId="8" xfId="0" applyFont="1" applyFill="1" applyBorder="1" applyAlignment="1">
      <alignment horizontal="center" vertical="center"/>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Fill="1" applyBorder="1" applyAlignment="1">
      <alignment horizontal="left" vertical="top"/>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xf>
    <xf numFmtId="0" fontId="3" fillId="0" borderId="56"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8" fillId="4" borderId="0" xfId="0" applyFont="1" applyFill="1" applyBorder="1" applyAlignment="1" applyProtection="1">
      <alignment horizontal="center" vertical="center" wrapText="1"/>
      <protection locked="0"/>
    </xf>
    <xf numFmtId="0" fontId="58" fillId="4" borderId="1" xfId="0" applyFont="1" applyFill="1" applyBorder="1" applyAlignment="1">
      <alignment horizontal="center" vertical="center"/>
    </xf>
    <xf numFmtId="0" fontId="58" fillId="4" borderId="2" xfId="0" applyFont="1" applyFill="1" applyBorder="1" applyAlignment="1">
      <alignment horizontal="center" vertical="center"/>
    </xf>
    <xf numFmtId="0" fontId="58" fillId="4" borderId="3" xfId="0" applyFont="1" applyFill="1" applyBorder="1" applyAlignment="1">
      <alignment horizontal="center" vertical="center"/>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50"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8" xfId="0" applyFont="1" applyFill="1" applyBorder="1" applyAlignment="1">
      <alignment horizontal="center" vertical="center"/>
    </xf>
    <xf numFmtId="0" fontId="58" fillId="4" borderId="9" xfId="0" applyFont="1" applyFill="1" applyBorder="1" applyAlignment="1">
      <alignment horizontal="center" vertical="center"/>
    </xf>
    <xf numFmtId="0" fontId="58" fillId="4" borderId="50" xfId="0" applyFont="1" applyFill="1" applyBorder="1" applyAlignment="1">
      <alignment horizontal="center" vertical="justify"/>
    </xf>
    <xf numFmtId="0" fontId="58" fillId="4" borderId="13" xfId="0" applyFont="1" applyFill="1" applyBorder="1" applyAlignment="1">
      <alignment horizontal="center" vertical="justify"/>
    </xf>
    <xf numFmtId="0" fontId="59" fillId="0" borderId="1" xfId="0" applyFont="1" applyBorder="1" applyAlignment="1">
      <alignment horizontal="justify" vertical="center"/>
    </xf>
    <xf numFmtId="0" fontId="59" fillId="0" borderId="2" xfId="0" applyFont="1" applyBorder="1" applyAlignment="1">
      <alignment horizontal="justify" vertical="center"/>
    </xf>
    <xf numFmtId="0" fontId="59" fillId="0" borderId="3" xfId="0" applyFont="1" applyBorder="1" applyAlignment="1">
      <alignment horizontal="justify" vertical="center"/>
    </xf>
    <xf numFmtId="0" fontId="59" fillId="0" borderId="0" xfId="0" applyFont="1" applyBorder="1" applyAlignment="1">
      <alignment horizontal="left" vertical="center"/>
    </xf>
    <xf numFmtId="0" fontId="59" fillId="0" borderId="51" xfId="0" applyFont="1" applyBorder="1" applyAlignment="1">
      <alignment horizontal="left" vertical="center"/>
    </xf>
    <xf numFmtId="0" fontId="59" fillId="0" borderId="5" xfId="0" applyFont="1" applyBorder="1" applyAlignment="1">
      <alignment horizontal="left" vertical="center"/>
    </xf>
    <xf numFmtId="0" fontId="58" fillId="0" borderId="5" xfId="0" applyFont="1" applyBorder="1" applyAlignment="1">
      <alignment horizontal="left" vertical="center"/>
    </xf>
    <xf numFmtId="0" fontId="58" fillId="0" borderId="0" xfId="0" applyFont="1" applyBorder="1" applyAlignment="1">
      <alignment horizontal="left" vertical="center"/>
    </xf>
    <xf numFmtId="0" fontId="58" fillId="0" borderId="6" xfId="0" applyFont="1" applyBorder="1" applyAlignment="1">
      <alignment horizontal="left" vertical="center"/>
    </xf>
    <xf numFmtId="170" fontId="58" fillId="0" borderId="53" xfId="0" applyNumberFormat="1" applyFont="1" applyBorder="1" applyAlignment="1">
      <alignment horizontal="right" vertical="center"/>
    </xf>
    <xf numFmtId="0" fontId="59" fillId="0" borderId="0" xfId="0" applyFont="1" applyBorder="1" applyAlignment="1">
      <alignment vertical="center"/>
    </xf>
    <xf numFmtId="0" fontId="59" fillId="0" borderId="51" xfId="0" applyFont="1" applyBorder="1" applyAlignment="1">
      <alignment vertical="center"/>
    </xf>
    <xf numFmtId="170" fontId="59" fillId="0" borderId="53" xfId="0" applyNumberFormat="1" applyFont="1" applyBorder="1" applyAlignment="1" applyProtection="1">
      <alignment horizontal="right" vertical="center"/>
    </xf>
    <xf numFmtId="0" fontId="58" fillId="0" borderId="51" xfId="0" applyFont="1" applyBorder="1" applyAlignment="1">
      <alignment horizontal="left" vertical="center"/>
    </xf>
    <xf numFmtId="0" fontId="59" fillId="0" borderId="0" xfId="0" applyFont="1" applyAlignment="1">
      <alignment horizontal="left" vertical="center"/>
    </xf>
    <xf numFmtId="0" fontId="67" fillId="0" borderId="5" xfId="0" applyFont="1" applyBorder="1" applyAlignment="1">
      <alignment horizontal="left" vertical="center"/>
    </xf>
    <xf numFmtId="0" fontId="67" fillId="0" borderId="0" xfId="0" applyFont="1" applyBorder="1" applyAlignment="1">
      <alignment horizontal="left" vertical="center"/>
    </xf>
    <xf numFmtId="0" fontId="67" fillId="0" borderId="51" xfId="0" applyFont="1" applyBorder="1" applyAlignment="1">
      <alignment horizontal="left" vertical="center"/>
    </xf>
    <xf numFmtId="0" fontId="65" fillId="0" borderId="8" xfId="0" applyFont="1" applyBorder="1" applyAlignment="1">
      <alignment horizontal="left" vertical="center"/>
    </xf>
    <xf numFmtId="0" fontId="65" fillId="0" borderId="52" xfId="0" applyFont="1" applyBorder="1" applyAlignment="1">
      <alignment horizontal="left" vertical="center"/>
    </xf>
    <xf numFmtId="0" fontId="58" fillId="0" borderId="0" xfId="0" applyFont="1" applyAlignment="1">
      <alignment horizontal="left" vertical="center"/>
    </xf>
    <xf numFmtId="0" fontId="59" fillId="0" borderId="0" xfId="0" applyFont="1" applyBorder="1" applyAlignment="1">
      <alignment horizontal="left" vertical="justify"/>
    </xf>
    <xf numFmtId="0" fontId="59" fillId="0" borderId="51" xfId="0" applyFont="1" applyBorder="1" applyAlignment="1">
      <alignment horizontal="left" vertical="justify"/>
    </xf>
    <xf numFmtId="0" fontId="6" fillId="2" borderId="43"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3" fillId="0" borderId="4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8" fillId="0" borderId="5" xfId="0" applyFont="1" applyBorder="1" applyAlignment="1">
      <alignment horizontal="left" vertical="center"/>
    </xf>
    <xf numFmtId="0" fontId="68" fillId="0" borderId="6" xfId="0" applyFont="1" applyBorder="1" applyAlignment="1">
      <alignment horizontal="left" vertical="center"/>
    </xf>
    <xf numFmtId="0" fontId="69" fillId="0" borderId="5" xfId="0" applyFont="1" applyBorder="1" applyAlignment="1">
      <alignment horizontal="left" vertical="center"/>
    </xf>
    <xf numFmtId="0" fontId="69" fillId="0" borderId="6" xfId="0" applyFont="1" applyBorder="1" applyAlignment="1">
      <alignment horizontal="left" vertical="center"/>
    </xf>
    <xf numFmtId="0" fontId="68" fillId="0" borderId="1"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7"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50"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5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4" xfId="0" applyFont="1" applyFill="1" applyBorder="1" applyAlignment="1">
      <alignment horizontal="center" vertical="center"/>
    </xf>
    <xf numFmtId="0" fontId="68" fillId="0" borderId="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51" xfId="0" applyFont="1" applyFill="1" applyBorder="1" applyAlignment="1">
      <alignment horizontal="center" vertical="center"/>
    </xf>
    <xf numFmtId="0" fontId="45" fillId="0" borderId="0" xfId="0" applyFont="1" applyFill="1" applyAlignment="1" applyProtection="1">
      <alignment horizontal="left" vertical="justify" indent="3"/>
      <protection locked="0"/>
    </xf>
    <xf numFmtId="0" fontId="47" fillId="0" borderId="0" xfId="0" applyFont="1" applyFill="1" applyAlignment="1" applyProtection="1">
      <alignment horizontal="left"/>
      <protection locked="0"/>
    </xf>
    <xf numFmtId="0" fontId="45" fillId="0" borderId="0" xfId="0" applyFont="1" applyFill="1" applyAlignment="1" applyProtection="1">
      <alignment horizontal="left"/>
      <protection locked="0"/>
    </xf>
    <xf numFmtId="0" fontId="3" fillId="0" borderId="4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5" fillId="0" borderId="5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45"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1"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2"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1" fontId="25" fillId="0" borderId="2" xfId="0" applyNumberFormat="1" applyFont="1" applyBorder="1" applyAlignment="1" applyProtection="1">
      <alignment horizontal="right"/>
      <protection locked="0"/>
    </xf>
    <xf numFmtId="0" fontId="25" fillId="0" borderId="2" xfId="0" applyFont="1" applyBorder="1" applyAlignment="1" applyProtection="1">
      <alignment horizontal="right"/>
      <protection locked="0"/>
    </xf>
    <xf numFmtId="0" fontId="10" fillId="0" borderId="0" xfId="0" applyFont="1" applyAlignment="1">
      <alignment horizontal="center" vertical="center"/>
    </xf>
    <xf numFmtId="0" fontId="6" fillId="0" borderId="0" xfId="0" applyFont="1" applyAlignment="1">
      <alignment horizontal="center" vertical="center"/>
    </xf>
    <xf numFmtId="171" fontId="11" fillId="0" borderId="8" xfId="0" applyNumberFormat="1" applyFont="1" applyBorder="1" applyAlignment="1">
      <alignment horizontal="left" vertical="center"/>
    </xf>
    <xf numFmtId="0" fontId="5" fillId="0" borderId="8" xfId="0" applyFont="1" applyBorder="1" applyAlignment="1">
      <alignment horizontal="center" vertical="center"/>
    </xf>
    <xf numFmtId="0" fontId="58" fillId="6" borderId="50" xfId="0" applyFont="1" applyFill="1" applyBorder="1" applyAlignment="1">
      <alignment horizontal="center" vertical="center"/>
    </xf>
    <xf numFmtId="0" fontId="58" fillId="6" borderId="13" xfId="0" applyFont="1" applyFill="1" applyBorder="1" applyAlignment="1">
      <alignment horizontal="center" vertical="center"/>
    </xf>
    <xf numFmtId="0" fontId="58" fillId="6" borderId="10" xfId="0" applyFont="1" applyFill="1" applyBorder="1" applyAlignment="1">
      <alignment horizontal="center" vertical="center" wrapText="1"/>
    </xf>
    <xf numFmtId="0" fontId="58" fillId="6" borderId="11"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50" xfId="0" applyFont="1" applyFill="1" applyBorder="1" applyAlignment="1">
      <alignment horizontal="center" vertical="center" wrapText="1"/>
    </xf>
    <xf numFmtId="0" fontId="58"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9" fillId="0" borderId="0" xfId="0" applyFont="1" applyAlignment="1">
      <alignment horizontal="center" vertical="center" wrapText="1"/>
    </xf>
    <xf numFmtId="0" fontId="0" fillId="0" borderId="0" xfId="0" applyAlignment="1">
      <alignment horizontal="center" vertical="center" wrapText="1"/>
    </xf>
    <xf numFmtId="0" fontId="115" fillId="16" borderId="59" xfId="0" applyFont="1" applyFill="1" applyBorder="1" applyAlignment="1">
      <alignment horizontal="center" wrapText="1"/>
    </xf>
    <xf numFmtId="0" fontId="115" fillId="16" borderId="32" xfId="0" applyFont="1" applyFill="1" applyBorder="1" applyAlignment="1">
      <alignment horizontal="center" wrapText="1"/>
    </xf>
    <xf numFmtId="0" fontId="115" fillId="16" borderId="36" xfId="0" applyFont="1" applyFill="1" applyBorder="1" applyAlignment="1">
      <alignment horizontal="center" wrapText="1"/>
    </xf>
    <xf numFmtId="0" fontId="121" fillId="3" borderId="19" xfId="0" applyFont="1" applyFill="1" applyBorder="1" applyAlignment="1">
      <alignment horizontal="left" vertical="center" wrapText="1"/>
    </xf>
    <xf numFmtId="0" fontId="118" fillId="6" borderId="59" xfId="0" applyFont="1" applyFill="1" applyBorder="1" applyAlignment="1">
      <alignment horizontal="left" wrapText="1"/>
    </xf>
    <xf numFmtId="0" fontId="118" fillId="6" borderId="32" xfId="0" applyFont="1" applyFill="1" applyBorder="1" applyAlignment="1">
      <alignment horizontal="left" wrapText="1"/>
    </xf>
    <xf numFmtId="0" fontId="118" fillId="6" borderId="36" xfId="0" applyFont="1" applyFill="1" applyBorder="1" applyAlignment="1">
      <alignment horizontal="left" wrapText="1"/>
    </xf>
    <xf numFmtId="0" fontId="118" fillId="17" borderId="82" xfId="0" applyFont="1" applyFill="1" applyBorder="1" applyAlignment="1">
      <alignment wrapText="1"/>
    </xf>
    <xf numFmtId="0" fontId="118" fillId="17" borderId="83" xfId="0" applyFont="1" applyFill="1" applyBorder="1" applyAlignment="1">
      <alignment wrapText="1"/>
    </xf>
    <xf numFmtId="0" fontId="118" fillId="17" borderId="84" xfId="0" applyFont="1" applyFill="1" applyBorder="1" applyAlignment="1">
      <alignment wrapText="1"/>
    </xf>
    <xf numFmtId="0" fontId="96" fillId="4" borderId="19" xfId="0" applyFont="1" applyFill="1" applyBorder="1" applyAlignment="1">
      <alignment horizontal="right" vertical="center" wrapText="1"/>
    </xf>
    <xf numFmtId="0" fontId="96" fillId="4" borderId="19" xfId="0" applyFont="1" applyFill="1" applyBorder="1" applyAlignment="1">
      <alignment vertical="center"/>
    </xf>
    <xf numFmtId="0" fontId="96" fillId="4" borderId="19" xfId="0" applyFont="1" applyFill="1" applyBorder="1" applyAlignment="1">
      <alignment vertical="center" wrapText="1"/>
    </xf>
    <xf numFmtId="0" fontId="98" fillId="0" borderId="0" xfId="0" applyFont="1" applyAlignment="1">
      <alignment horizontal="center"/>
    </xf>
    <xf numFmtId="0" fontId="96" fillId="4" borderId="19" xfId="0" applyFont="1" applyFill="1" applyBorder="1" applyAlignment="1">
      <alignment horizontal="center" vertical="center" wrapText="1" readingOrder="1"/>
    </xf>
    <xf numFmtId="0" fontId="88" fillId="4" borderId="67" xfId="0" applyFont="1" applyFill="1" applyBorder="1" applyAlignment="1">
      <alignment horizontal="center" vertical="center" wrapText="1" readingOrder="1"/>
    </xf>
    <xf numFmtId="0" fontId="88" fillId="4" borderId="65" xfId="0" applyFont="1" applyFill="1" applyBorder="1" applyAlignment="1">
      <alignment horizontal="center" vertical="center" wrapText="1" readingOrder="1"/>
    </xf>
    <xf numFmtId="0" fontId="88" fillId="4" borderId="17" xfId="0" applyFont="1" applyFill="1" applyBorder="1" applyAlignment="1">
      <alignment horizontal="center" vertical="center" wrapText="1" readingOrder="1"/>
    </xf>
    <xf numFmtId="0" fontId="99" fillId="4" borderId="67" xfId="0" applyFont="1" applyFill="1" applyBorder="1" applyAlignment="1">
      <alignment horizontal="center" vertical="center" wrapText="1"/>
    </xf>
    <xf numFmtId="0" fontId="99" fillId="4" borderId="17" xfId="0" applyFont="1" applyFill="1" applyBorder="1" applyAlignment="1">
      <alignment horizontal="center" vertical="center" wrapText="1"/>
    </xf>
    <xf numFmtId="0" fontId="99" fillId="4" borderId="65" xfId="0" applyFont="1" applyFill="1" applyBorder="1" applyAlignment="1">
      <alignment horizontal="center" vertical="center" wrapText="1"/>
    </xf>
    <xf numFmtId="0" fontId="99" fillId="4" borderId="19" xfId="0" applyFont="1" applyFill="1" applyBorder="1" applyAlignment="1">
      <alignment horizontal="center" vertical="top" wrapText="1"/>
    </xf>
    <xf numFmtId="0" fontId="96" fillId="4" borderId="19" xfId="0" applyFont="1" applyFill="1" applyBorder="1" applyAlignment="1">
      <alignment horizontal="center" vertical="center" wrapText="1"/>
    </xf>
    <xf numFmtId="0" fontId="121" fillId="3" borderId="19" xfId="0" applyFont="1" applyFill="1" applyBorder="1" applyAlignment="1">
      <alignment horizontal="center" wrapText="1"/>
    </xf>
    <xf numFmtId="0" fontId="118" fillId="3" borderId="19" xfId="0" applyFont="1" applyFill="1" applyBorder="1" applyAlignment="1">
      <alignment horizontal="right" vertical="center" wrapText="1"/>
    </xf>
    <xf numFmtId="0" fontId="116" fillId="3" borderId="32" xfId="0" applyFont="1" applyFill="1" applyBorder="1" applyAlignment="1">
      <alignment vertical="center" wrapText="1"/>
    </xf>
    <xf numFmtId="0" fontId="116" fillId="3" borderId="36" xfId="0" applyFont="1" applyFill="1" applyBorder="1" applyAlignment="1">
      <alignment vertical="center" wrapText="1"/>
    </xf>
    <xf numFmtId="170" fontId="116" fillId="0" borderId="19" xfId="16" applyNumberFormat="1" applyFont="1" applyBorder="1" applyAlignment="1">
      <alignment horizontal="center" vertical="center"/>
    </xf>
    <xf numFmtId="9" fontId="116" fillId="0" borderId="70" xfId="0" applyNumberFormat="1" applyFont="1" applyBorder="1" applyAlignment="1">
      <alignment horizontal="center" vertical="center"/>
    </xf>
    <xf numFmtId="9" fontId="116" fillId="0" borderId="0" xfId="0" applyNumberFormat="1" applyFont="1" applyAlignment="1">
      <alignment horizontal="center" vertical="center"/>
    </xf>
    <xf numFmtId="9" fontId="116" fillId="0" borderId="66" xfId="0" applyNumberFormat="1" applyFont="1" applyBorder="1" applyAlignment="1">
      <alignment horizontal="center" vertical="center"/>
    </xf>
    <xf numFmtId="9" fontId="116" fillId="0" borderId="67" xfId="0" applyNumberFormat="1" applyFont="1" applyBorder="1" applyAlignment="1">
      <alignment horizontal="center" vertical="center"/>
    </xf>
    <xf numFmtId="9" fontId="116" fillId="0" borderId="17" xfId="0" applyNumberFormat="1" applyFont="1" applyBorder="1" applyAlignment="1">
      <alignment horizontal="center" vertical="center"/>
    </xf>
    <xf numFmtId="9" fontId="116" fillId="0" borderId="65" xfId="0" applyNumberFormat="1" applyFont="1" applyBorder="1" applyAlignment="1">
      <alignment horizontal="center" vertical="center"/>
    </xf>
    <xf numFmtId="0" fontId="121" fillId="3" borderId="19" xfId="0" applyFont="1" applyFill="1" applyBorder="1" applyAlignment="1">
      <alignment horizontal="left" vertical="top" wrapText="1"/>
    </xf>
    <xf numFmtId="0" fontId="121" fillId="3" borderId="19" xfId="0" applyFont="1" applyFill="1" applyBorder="1" applyAlignment="1">
      <alignment vertical="center" wrapText="1"/>
    </xf>
    <xf numFmtId="0" fontId="117" fillId="0" borderId="59" xfId="0" applyFont="1" applyBorder="1" applyAlignment="1">
      <alignment horizontal="center" wrapText="1"/>
    </xf>
    <xf numFmtId="0" fontId="117" fillId="0" borderId="32" xfId="0" applyFont="1" applyBorder="1" applyAlignment="1">
      <alignment horizontal="center" wrapText="1"/>
    </xf>
    <xf numFmtId="0" fontId="117" fillId="0" borderId="36" xfId="0" applyFont="1" applyBorder="1" applyAlignment="1">
      <alignment horizontal="center" wrapText="1"/>
    </xf>
    <xf numFmtId="0" fontId="118" fillId="17" borderId="81" xfId="0" applyFont="1" applyFill="1" applyBorder="1" applyAlignment="1">
      <alignment wrapText="1"/>
    </xf>
    <xf numFmtId="0" fontId="118" fillId="17" borderId="0" xfId="0" applyFont="1" applyFill="1" applyAlignment="1">
      <alignment wrapText="1"/>
    </xf>
    <xf numFmtId="0" fontId="118" fillId="3" borderId="19" xfId="0" applyFont="1" applyFill="1" applyBorder="1" applyAlignment="1">
      <alignment horizontal="center" vertical="center" wrapText="1"/>
    </xf>
    <xf numFmtId="0" fontId="120" fillId="0" borderId="59" xfId="0" applyFont="1" applyBorder="1" applyAlignment="1">
      <alignment horizontal="center" wrapText="1"/>
    </xf>
    <xf numFmtId="0" fontId="120" fillId="0" borderId="32" xfId="0" applyFont="1" applyBorder="1" applyAlignment="1">
      <alignment horizontal="center" wrapText="1"/>
    </xf>
    <xf numFmtId="0" fontId="120" fillId="0" borderId="36" xfId="0" applyFont="1" applyBorder="1" applyAlignment="1">
      <alignment horizontal="center" wrapText="1"/>
    </xf>
    <xf numFmtId="0" fontId="117" fillId="0" borderId="59" xfId="0" applyFont="1" applyBorder="1" applyAlignment="1">
      <alignment horizontal="left" vertical="center" wrapText="1"/>
    </xf>
    <xf numFmtId="0" fontId="117" fillId="0" borderId="32" xfId="0" applyFont="1" applyBorder="1" applyAlignment="1">
      <alignment horizontal="left" vertical="center" wrapText="1"/>
    </xf>
    <xf numFmtId="0" fontId="117" fillId="0" borderId="36" xfId="0" applyFont="1" applyBorder="1" applyAlignment="1">
      <alignment horizontal="left" vertical="center" wrapText="1"/>
    </xf>
    <xf numFmtId="0" fontId="119" fillId="0" borderId="0" xfId="0" applyFont="1" applyAlignment="1">
      <alignment horizontal="center"/>
    </xf>
    <xf numFmtId="0" fontId="39" fillId="0" borderId="0" xfId="0" applyFont="1" applyAlignment="1">
      <alignment horizontal="center"/>
    </xf>
    <xf numFmtId="0" fontId="119" fillId="0" borderId="0" xfId="0" applyFont="1" applyAlignment="1">
      <alignment horizontal="center" vertical="center"/>
    </xf>
    <xf numFmtId="0" fontId="39" fillId="0" borderId="0" xfId="0" applyFont="1" applyAlignment="1">
      <alignment horizontal="center" vertical="center"/>
    </xf>
    <xf numFmtId="0" fontId="32" fillId="0" borderId="0" xfId="0" applyFont="1" applyAlignment="1" applyProtection="1">
      <alignment horizontal="center" vertical="center"/>
      <protection locked="0"/>
    </xf>
    <xf numFmtId="0" fontId="35" fillId="0" borderId="0" xfId="0" applyFont="1" applyFill="1" applyBorder="1" applyAlignment="1" applyProtection="1">
      <alignment horizontal="center" vertical="top"/>
    </xf>
    <xf numFmtId="0" fontId="71"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58" fillId="0" borderId="5" xfId="0" applyFont="1" applyBorder="1" applyAlignment="1">
      <alignment vertical="center"/>
    </xf>
    <xf numFmtId="0" fontId="58" fillId="0" borderId="7" xfId="0" applyFont="1" applyBorder="1" applyAlignment="1">
      <alignment vertical="center"/>
    </xf>
    <xf numFmtId="164" fontId="59" fillId="0" borderId="4" xfId="0" applyNumberFormat="1" applyFont="1" applyBorder="1" applyAlignment="1">
      <alignment horizontal="right" vertical="center"/>
    </xf>
    <xf numFmtId="0" fontId="59" fillId="0" borderId="5" xfId="0" applyFont="1" applyBorder="1" applyAlignment="1">
      <alignment vertical="center"/>
    </xf>
    <xf numFmtId="0" fontId="59" fillId="0" borderId="1" xfId="0" applyFont="1" applyBorder="1" applyAlignment="1">
      <alignment vertical="center"/>
    </xf>
    <xf numFmtId="0" fontId="59" fillId="0" borderId="3" xfId="0" applyFont="1" applyBorder="1" applyAlignment="1">
      <alignment vertical="center"/>
    </xf>
    <xf numFmtId="0" fontId="59" fillId="0" borderId="6" xfId="0" applyFont="1" applyBorder="1" applyAlignment="1">
      <alignment horizontal="left" vertical="center" indent="1"/>
    </xf>
    <xf numFmtId="0" fontId="58" fillId="6" borderId="1" xfId="0" applyFont="1" applyFill="1" applyBorder="1" applyAlignment="1">
      <alignment vertical="center"/>
    </xf>
    <xf numFmtId="0" fontId="58" fillId="6" borderId="3" xfId="0" applyFont="1" applyFill="1" applyBorder="1" applyAlignment="1">
      <alignment vertical="center"/>
    </xf>
    <xf numFmtId="0" fontId="58" fillId="6" borderId="7" xfId="0" applyFont="1" applyFill="1" applyBorder="1" applyAlignment="1">
      <alignment vertical="center"/>
    </xf>
    <xf numFmtId="0" fontId="58" fillId="6" borderId="9" xfId="0" applyFont="1" applyFill="1" applyBorder="1" applyAlignment="1">
      <alignment vertical="center"/>
    </xf>
    <xf numFmtId="0" fontId="58" fillId="6" borderId="50" xfId="0" applyFont="1" applyFill="1" applyBorder="1" applyAlignment="1">
      <alignment horizontal="center" vertical="justify"/>
    </xf>
    <xf numFmtId="0" fontId="58" fillId="6" borderId="13" xfId="0" applyFont="1" applyFill="1" applyBorder="1" applyAlignment="1">
      <alignment horizontal="center" vertical="justify"/>
    </xf>
    <xf numFmtId="0" fontId="58" fillId="0" borderId="6" xfId="0" applyFont="1" applyBorder="1" applyAlignment="1">
      <alignment vertical="center"/>
    </xf>
    <xf numFmtId="0" fontId="58" fillId="0" borderId="9" xfId="0" applyFont="1" applyBorder="1" applyAlignment="1">
      <alignment vertical="center"/>
    </xf>
    <xf numFmtId="164" fontId="58" fillId="0" borderId="4" xfId="0" applyNumberFormat="1" applyFont="1" applyBorder="1" applyAlignment="1">
      <alignment horizontal="right" vertical="center"/>
    </xf>
    <xf numFmtId="164" fontId="58" fillId="0" borderId="13" xfId="0" applyNumberFormat="1" applyFont="1" applyBorder="1" applyAlignment="1">
      <alignment horizontal="right" vertical="center"/>
    </xf>
    <xf numFmtId="0" fontId="58" fillId="0" borderId="5" xfId="0" applyFont="1" applyBorder="1" applyAlignment="1">
      <alignment vertical="center" wrapText="1"/>
    </xf>
    <xf numFmtId="0" fontId="57" fillId="4" borderId="0" xfId="0" applyFont="1" applyFill="1" applyBorder="1" applyAlignment="1">
      <alignment horizontal="center" vertical="center" wrapText="1"/>
    </xf>
    <xf numFmtId="0" fontId="59" fillId="0" borderId="5" xfId="0" applyFont="1" applyBorder="1" applyAlignment="1">
      <alignment vertical="center" wrapText="1"/>
    </xf>
    <xf numFmtId="0" fontId="59" fillId="0" borderId="11" xfId="0" applyFont="1" applyBorder="1" applyAlignment="1">
      <alignment vertical="center"/>
    </xf>
    <xf numFmtId="0" fontId="58" fillId="6" borderId="10" xfId="0" applyFont="1" applyFill="1" applyBorder="1" applyAlignment="1">
      <alignment vertical="center"/>
    </xf>
    <xf numFmtId="0" fontId="58" fillId="6" borderId="12" xfId="0" applyFont="1" applyFill="1" applyBorder="1" applyAlignment="1">
      <alignment vertical="center"/>
    </xf>
    <xf numFmtId="0" fontId="33" fillId="2" borderId="31" xfId="0" applyFont="1" applyFill="1" applyBorder="1" applyAlignment="1">
      <alignment horizontal="center" vertical="center"/>
    </xf>
    <xf numFmtId="0" fontId="33" fillId="0" borderId="32"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107" fillId="0" borderId="19" xfId="0" applyFont="1" applyBorder="1" applyAlignment="1">
      <alignment horizontal="justify" vertical="center"/>
    </xf>
    <xf numFmtId="0" fontId="106" fillId="0" borderId="50" xfId="0" applyFont="1" applyBorder="1" applyAlignment="1">
      <alignment horizontal="center" vertical="center"/>
    </xf>
    <xf numFmtId="0" fontId="106" fillId="0" borderId="4" xfId="0" applyFont="1" applyBorder="1" applyAlignment="1">
      <alignment horizontal="center" vertical="center"/>
    </xf>
    <xf numFmtId="0" fontId="110" fillId="0" borderId="70" xfId="0" applyFont="1" applyBorder="1" applyAlignment="1">
      <alignment horizontal="left" vertical="center" wrapText="1"/>
    </xf>
    <xf numFmtId="0" fontId="110" fillId="0" borderId="32" xfId="0" applyFont="1" applyBorder="1" applyAlignment="1">
      <alignment horizontal="left" vertical="center" wrapText="1"/>
    </xf>
    <xf numFmtId="0" fontId="110" fillId="0" borderId="36" xfId="0" applyFont="1" applyBorder="1" applyAlignment="1">
      <alignment horizontal="left" vertical="center" wrapText="1"/>
    </xf>
    <xf numFmtId="0" fontId="25" fillId="0" borderId="19" xfId="0" applyFont="1" applyBorder="1" applyAlignment="1">
      <alignment horizontal="justify" vertical="center" wrapText="1"/>
    </xf>
    <xf numFmtId="0" fontId="11" fillId="0" borderId="70" xfId="0" applyFont="1" applyBorder="1" applyAlignment="1">
      <alignment horizontal="center" vertical="center"/>
    </xf>
    <xf numFmtId="0" fontId="11" fillId="0" borderId="0" xfId="0" applyFont="1" applyAlignment="1">
      <alignment horizontal="center" vertical="center"/>
    </xf>
    <xf numFmtId="0" fontId="11" fillId="0" borderId="69" xfId="0" applyFont="1" applyBorder="1" applyAlignment="1">
      <alignment horizontal="center" vertical="center"/>
    </xf>
    <xf numFmtId="0" fontId="11" fillId="0" borderId="71" xfId="0" applyFont="1" applyBorder="1" applyAlignment="1">
      <alignment horizontal="center" vertical="center"/>
    </xf>
    <xf numFmtId="0" fontId="104" fillId="0" borderId="68" xfId="0" applyFont="1" applyBorder="1" applyAlignment="1">
      <alignment horizontal="center" vertical="center"/>
    </xf>
    <xf numFmtId="0" fontId="104" fillId="0" borderId="66" xfId="0" applyFont="1" applyBorder="1" applyAlignment="1">
      <alignment horizontal="center" vertical="center"/>
    </xf>
    <xf numFmtId="0" fontId="104" fillId="0" borderId="72" xfId="0" applyFont="1" applyBorder="1" applyAlignment="1">
      <alignment horizontal="center" vertical="center"/>
    </xf>
    <xf numFmtId="0" fontId="55"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0" borderId="0" xfId="0" applyFont="1" applyBorder="1" applyAlignment="1">
      <alignment horizontal="center"/>
    </xf>
    <xf numFmtId="0" fontId="32" fillId="2" borderId="59"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123" fillId="0" borderId="0" xfId="0" applyFont="1" applyAlignment="1">
      <alignment horizontal="center"/>
    </xf>
    <xf numFmtId="0" fontId="90" fillId="0" borderId="0" xfId="0" applyFont="1" applyAlignment="1">
      <alignment horizontal="center"/>
    </xf>
    <xf numFmtId="171" fontId="86" fillId="14" borderId="28" xfId="0" applyNumberFormat="1" applyFont="1" applyFill="1" applyBorder="1" applyAlignment="1">
      <alignment horizontal="center" vertical="center"/>
    </xf>
    <xf numFmtId="171" fontId="86" fillId="14" borderId="29" xfId="0" applyNumberFormat="1" applyFont="1" applyFill="1" applyBorder="1" applyAlignment="1">
      <alignment horizontal="center" vertical="center"/>
    </xf>
    <xf numFmtId="171" fontId="86" fillId="14" borderId="35" xfId="0" applyNumberFormat="1" applyFont="1" applyFill="1" applyBorder="1" applyAlignment="1">
      <alignment horizontal="center" vertical="center"/>
    </xf>
    <xf numFmtId="0" fontId="86" fillId="14" borderId="28"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35" xfId="0" applyFont="1" applyFill="1" applyBorder="1" applyAlignment="1">
      <alignment horizontal="center" vertical="center"/>
    </xf>
    <xf numFmtId="0" fontId="86" fillId="14" borderId="28" xfId="0" applyFont="1" applyFill="1" applyBorder="1" applyAlignment="1">
      <alignment horizontal="center" vertical="center" wrapText="1"/>
    </xf>
    <xf numFmtId="0" fontId="86" fillId="14" borderId="35" xfId="0" applyFont="1" applyFill="1" applyBorder="1" applyAlignment="1">
      <alignment horizontal="center" vertical="center" wrapText="1"/>
    </xf>
    <xf numFmtId="0" fontId="123" fillId="0" borderId="70" xfId="0" applyFont="1" applyBorder="1" applyAlignment="1">
      <alignment horizontal="center"/>
    </xf>
    <xf numFmtId="171" fontId="123" fillId="0" borderId="70" xfId="0" applyNumberFormat="1" applyFont="1" applyBorder="1" applyAlignment="1">
      <alignment horizontal="center"/>
    </xf>
  </cellXfs>
  <cellStyles count="17">
    <cellStyle name="20% - Accent6" xfId="10" xr:uid="{00000000-0005-0000-0000-000000000000}"/>
    <cellStyle name="Euro" xfId="2" xr:uid="{00000000-0005-0000-0000-000001000000}"/>
    <cellStyle name="Euro 2" xfId="3" xr:uid="{00000000-0005-0000-0000-000002000000}"/>
    <cellStyle name="Euro 3" xfId="4" xr:uid="{00000000-0005-0000-0000-000003000000}"/>
    <cellStyle name="Hipervínculo" xfId="14" builtinId="8"/>
    <cellStyle name="Millares" xfId="12" builtinId="3"/>
    <cellStyle name="Millares 2" xfId="16" xr:uid="{00000000-0005-0000-0000-000006000000}"/>
    <cellStyle name="Millares 3" xfId="9" xr:uid="{00000000-0005-0000-0000-000007000000}"/>
    <cellStyle name="Moneda" xfId="8" builtinId="4"/>
    <cellStyle name="Normal" xfId="0" builtinId="0"/>
    <cellStyle name="Normal 2" xfId="1" xr:uid="{00000000-0005-0000-0000-00000A000000}"/>
    <cellStyle name="Normal 3" xfId="7" xr:uid="{00000000-0005-0000-0000-00000B000000}"/>
    <cellStyle name="Normal 3 2" xfId="13" xr:uid="{00000000-0005-0000-0000-00000C000000}"/>
    <cellStyle name="Normal 4" xfId="15" xr:uid="{00000000-0005-0000-0000-00000D000000}"/>
    <cellStyle name="Normal 4 8" xfId="11" xr:uid="{00000000-0005-0000-0000-00000E000000}"/>
    <cellStyle name="Porcentaje" xfId="6" builtinId="5"/>
    <cellStyle name="Porcentual 2" xfId="5" xr:uid="{00000000-0005-0000-0000-000010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19050</xdr:rowOff>
    </xdr:from>
    <xdr:ext cx="858825" cy="257175"/>
    <xdr:sp macro="" textlink="">
      <xdr:nvSpPr>
        <xdr:cNvPr id="2" name="3 CuadroTexto">
          <a:extLst>
            <a:ext uri="{FF2B5EF4-FFF2-40B4-BE49-F238E27FC236}">
              <a16:creationId xmlns:a16="http://schemas.microsoft.com/office/drawing/2014/main" id="{00000000-0008-0000-0100-000002000000}"/>
            </a:ext>
          </a:extLst>
        </xdr:cNvPr>
        <xdr:cNvSpPr txBox="1"/>
      </xdr:nvSpPr>
      <xdr:spPr>
        <a:xfrm>
          <a:off x="9877426" y="19050"/>
          <a:ext cx="8588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54</xdr:row>
      <xdr:rowOff>0</xdr:rowOff>
    </xdr:from>
    <xdr:ext cx="3200400" cy="662517"/>
    <xdr:sp macro="" textlink="">
      <xdr:nvSpPr>
        <xdr:cNvPr id="4" name="CuadroTexto 5">
          <a:extLst>
            <a:ext uri="{FF2B5EF4-FFF2-40B4-BE49-F238E27FC236}">
              <a16:creationId xmlns:a16="http://schemas.microsoft.com/office/drawing/2014/main"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3</xdr:col>
      <xdr:colOff>1571625</xdr:colOff>
      <xdr:row>54</xdr:row>
      <xdr:rowOff>0</xdr:rowOff>
    </xdr:from>
    <xdr:ext cx="3305175" cy="662517"/>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2133600</xdr:colOff>
      <xdr:row>2</xdr:row>
      <xdr:rowOff>19051</xdr:rowOff>
    </xdr:from>
    <xdr:ext cx="2790824" cy="209550"/>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7658100" y="438151"/>
          <a:ext cx="2790824" cy="2095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24</xdr:row>
      <xdr:rowOff>0</xdr:rowOff>
    </xdr:from>
    <xdr:ext cx="3200400" cy="662517"/>
    <xdr:sp macro="" textlink="">
      <xdr:nvSpPr>
        <xdr:cNvPr id="5" name="CuadroTexto 5">
          <a:extLst>
            <a:ext uri="{FF2B5EF4-FFF2-40B4-BE49-F238E27FC236}">
              <a16:creationId xmlns:a16="http://schemas.microsoft.com/office/drawing/2014/main"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5</xdr:col>
      <xdr:colOff>0</xdr:colOff>
      <xdr:row>24</xdr:row>
      <xdr:rowOff>0</xdr:rowOff>
    </xdr:from>
    <xdr:ext cx="3305175" cy="662517"/>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7</xdr:col>
      <xdr:colOff>190500</xdr:colOff>
      <xdr:row>2</xdr:row>
      <xdr:rowOff>85725</xdr:rowOff>
    </xdr:from>
    <xdr:ext cx="2790824" cy="254557"/>
    <xdr:sp macro="" textlink="">
      <xdr:nvSpPr>
        <xdr:cNvPr id="8" name="7 CuadroTexto">
          <a:extLst>
            <a:ext uri="{FF2B5EF4-FFF2-40B4-BE49-F238E27FC236}">
              <a16:creationId xmlns:a16="http://schemas.microsoft.com/office/drawing/2014/main"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twoCellAnchor>
    <xdr:from>
      <xdr:col>2</xdr:col>
      <xdr:colOff>761999</xdr:colOff>
      <xdr:row>9</xdr:row>
      <xdr:rowOff>0</xdr:rowOff>
    </xdr:from>
    <xdr:to>
      <xdr:col>6</xdr:col>
      <xdr:colOff>752474</xdr:colOff>
      <xdr:row>13</xdr:row>
      <xdr:rowOff>57150</xdr:rowOff>
    </xdr:to>
    <xdr:sp macro="" textlink="">
      <xdr:nvSpPr>
        <xdr:cNvPr id="7" name="6 CuadroTexto">
          <a:extLst>
            <a:ext uri="{FF2B5EF4-FFF2-40B4-BE49-F238E27FC236}">
              <a16:creationId xmlns:a16="http://schemas.microsoft.com/office/drawing/2014/main" id="{00000000-0008-0000-0A00-000007000000}"/>
            </a:ext>
          </a:extLst>
        </xdr:cNvPr>
        <xdr:cNvSpPr txBox="1"/>
      </xdr:nvSpPr>
      <xdr:spPr>
        <a:xfrm>
          <a:off x="3095624" y="3162300"/>
          <a:ext cx="30384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6670491"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46</xdr:row>
      <xdr:rowOff>95250</xdr:rowOff>
    </xdr:from>
    <xdr:ext cx="2995083" cy="751417"/>
    <xdr:sp macro="" textlink="">
      <xdr:nvSpPr>
        <xdr:cNvPr id="9" name="CuadroTexto 5">
          <a:extLst>
            <a:ext uri="{FF2B5EF4-FFF2-40B4-BE49-F238E27FC236}">
              <a16:creationId xmlns:a16="http://schemas.microsoft.com/office/drawing/2014/main"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p>
        <a:p>
          <a:pPr algn="ctr"/>
          <a:r>
            <a:rPr lang="es-MX" sz="1100" baseline="0"/>
            <a:t>DIRECTORA GENERAL</a:t>
          </a:r>
          <a:endParaRPr lang="es-MX" sz="1100"/>
        </a:p>
      </xdr:txBody>
    </xdr:sp>
    <xdr:clientData/>
  </xdr:oneCellAnchor>
  <xdr:oneCellAnchor>
    <xdr:from>
      <xdr:col>5</xdr:col>
      <xdr:colOff>317499</xdr:colOff>
      <xdr:row>46</xdr:row>
      <xdr:rowOff>84667</xdr:rowOff>
    </xdr:from>
    <xdr:ext cx="2772833" cy="740834"/>
    <xdr:sp macro="" textlink="">
      <xdr:nvSpPr>
        <xdr:cNvPr id="11" name="CuadroTexto 5">
          <a:extLst>
            <a:ext uri="{FF2B5EF4-FFF2-40B4-BE49-F238E27FC236}">
              <a16:creationId xmlns:a16="http://schemas.microsoft.com/office/drawing/2014/main"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455084</xdr:colOff>
      <xdr:row>2</xdr:row>
      <xdr:rowOff>158750</xdr:rowOff>
    </xdr:from>
    <xdr:ext cx="2790824" cy="254557"/>
    <xdr:sp macro="" textlink="">
      <xdr:nvSpPr>
        <xdr:cNvPr id="8" name="7 CuadroTexto">
          <a:extLst>
            <a:ext uri="{FF2B5EF4-FFF2-40B4-BE49-F238E27FC236}">
              <a16:creationId xmlns:a16="http://schemas.microsoft.com/office/drawing/2014/main"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twoCellAnchor>
    <xdr:from>
      <xdr:col>0</xdr:col>
      <xdr:colOff>1121833</xdr:colOff>
      <xdr:row>13</xdr:row>
      <xdr:rowOff>21166</xdr:rowOff>
    </xdr:from>
    <xdr:to>
      <xdr:col>8</xdr:col>
      <xdr:colOff>560918</xdr:colOff>
      <xdr:row>29</xdr:row>
      <xdr:rowOff>10583</xdr:rowOff>
    </xdr:to>
    <xdr:sp macro="" textlink="">
      <xdr:nvSpPr>
        <xdr:cNvPr id="12" name="9 CuadroTexto">
          <a:extLst>
            <a:ext uri="{FF2B5EF4-FFF2-40B4-BE49-F238E27FC236}">
              <a16:creationId xmlns:a16="http://schemas.microsoft.com/office/drawing/2014/main" id="{00000000-0008-0000-0B00-00000C000000}"/>
            </a:ext>
          </a:extLst>
        </xdr:cNvPr>
        <xdr:cNvSpPr txBox="1"/>
      </xdr:nvSpPr>
      <xdr:spPr>
        <a:xfrm>
          <a:off x="1121833" y="2762249"/>
          <a:ext cx="6021918" cy="316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2</xdr:row>
      <xdr:rowOff>133350</xdr:rowOff>
    </xdr:from>
    <xdr:ext cx="2790824" cy="254557"/>
    <xdr:sp macro="" textlink="">
      <xdr:nvSpPr>
        <xdr:cNvPr id="5" name="4 CuadroTexto">
          <a:extLst>
            <a:ext uri="{FF2B5EF4-FFF2-40B4-BE49-F238E27FC236}">
              <a16:creationId xmlns:a16="http://schemas.microsoft.com/office/drawing/2014/main"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987259</xdr:colOff>
      <xdr:row>0</xdr:row>
      <xdr:rowOff>0</xdr:rowOff>
    </xdr:from>
    <xdr:ext cx="898003" cy="254557"/>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689275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9525</xdr:colOff>
      <xdr:row>45</xdr:row>
      <xdr:rowOff>723899</xdr:rowOff>
    </xdr:from>
    <xdr:ext cx="3019425" cy="695325"/>
    <xdr:sp macro="" textlink="">
      <xdr:nvSpPr>
        <xdr:cNvPr id="8" name="CuadroTexto 5">
          <a:extLst>
            <a:ext uri="{FF2B5EF4-FFF2-40B4-BE49-F238E27FC236}">
              <a16:creationId xmlns:a16="http://schemas.microsoft.com/office/drawing/2014/main" id="{00000000-0008-0000-0D00-000008000000}"/>
            </a:ext>
          </a:extLst>
        </xdr:cNvPr>
        <xdr:cNvSpPr txBox="1"/>
      </xdr:nvSpPr>
      <xdr:spPr>
        <a:xfrm>
          <a:off x="85725" y="134111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4</xdr:col>
      <xdr:colOff>76200</xdr:colOff>
      <xdr:row>45</xdr:row>
      <xdr:rowOff>704849</xdr:rowOff>
    </xdr:from>
    <xdr:ext cx="3019425" cy="619125"/>
    <xdr:sp macro="" textlink="">
      <xdr:nvSpPr>
        <xdr:cNvPr id="9" name="CuadroTexto 5">
          <a:extLst>
            <a:ext uri="{FF2B5EF4-FFF2-40B4-BE49-F238E27FC236}">
              <a16:creationId xmlns:a16="http://schemas.microsoft.com/office/drawing/2014/main" id="{00000000-0008-0000-0D00-000009000000}"/>
            </a:ext>
          </a:extLst>
        </xdr:cNvPr>
        <xdr:cNvSpPr txBox="1"/>
      </xdr:nvSpPr>
      <xdr:spPr>
        <a:xfrm>
          <a:off x="4171950" y="13392149"/>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p>
        <a:p>
          <a:pPr algn="ctr"/>
          <a:r>
            <a:rPr lang="es-MX" sz="1100"/>
            <a:t>GERENTE</a:t>
          </a:r>
          <a:r>
            <a:rPr lang="es-MX" sz="1100" baseline="0"/>
            <a:t> DE ADMINISTRACION Y FINANZAS</a:t>
          </a:r>
          <a:endParaRPr lang="es-MX" sz="1100"/>
        </a:p>
      </xdr:txBody>
    </xdr:sp>
    <xdr:clientData/>
  </xdr:oneCellAnchor>
  <xdr:oneCellAnchor>
    <xdr:from>
      <xdr:col>5</xdr:col>
      <xdr:colOff>47625</xdr:colOff>
      <xdr:row>2</xdr:row>
      <xdr:rowOff>133350</xdr:rowOff>
    </xdr:from>
    <xdr:ext cx="2790824" cy="254557"/>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82</xdr:row>
      <xdr:rowOff>0</xdr:rowOff>
    </xdr:from>
    <xdr:ext cx="3200400" cy="662517"/>
    <xdr:sp macro="" textlink="">
      <xdr:nvSpPr>
        <xdr:cNvPr id="4" name="CuadroTexto 5">
          <a:extLst>
            <a:ext uri="{FF2B5EF4-FFF2-40B4-BE49-F238E27FC236}">
              <a16:creationId xmlns:a16="http://schemas.microsoft.com/office/drawing/2014/main"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4</xdr:col>
      <xdr:colOff>0</xdr:colOff>
      <xdr:row>82</xdr:row>
      <xdr:rowOff>0</xdr:rowOff>
    </xdr:from>
    <xdr:ext cx="3305175" cy="662517"/>
    <xdr:sp macro="" textlink="">
      <xdr:nvSpPr>
        <xdr:cNvPr id="5" name="CuadroTexto 5">
          <a:extLst>
            <a:ext uri="{FF2B5EF4-FFF2-40B4-BE49-F238E27FC236}">
              <a16:creationId xmlns:a16="http://schemas.microsoft.com/office/drawing/2014/main"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190499</xdr:colOff>
      <xdr:row>2</xdr:row>
      <xdr:rowOff>103188</xdr:rowOff>
    </xdr:from>
    <xdr:ext cx="2790824" cy="254557"/>
    <xdr:sp macro="" textlink="">
      <xdr:nvSpPr>
        <xdr:cNvPr id="7" name="6 CuadroTexto">
          <a:extLst>
            <a:ext uri="{FF2B5EF4-FFF2-40B4-BE49-F238E27FC236}">
              <a16:creationId xmlns:a16="http://schemas.microsoft.com/office/drawing/2014/main"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152400</xdr:rowOff>
    </xdr:from>
    <xdr:ext cx="3019425" cy="714375"/>
    <xdr:sp macro="" textlink="">
      <xdr:nvSpPr>
        <xdr:cNvPr id="5" name="CuadroTexto 5">
          <a:extLst>
            <a:ext uri="{FF2B5EF4-FFF2-40B4-BE49-F238E27FC236}">
              <a16:creationId xmlns:a16="http://schemas.microsoft.com/office/drawing/2014/main"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123825</xdr:colOff>
      <xdr:row>30</xdr:row>
      <xdr:rowOff>142876</xdr:rowOff>
    </xdr:from>
    <xdr:ext cx="3124200" cy="685799"/>
    <xdr:sp macro="" textlink="">
      <xdr:nvSpPr>
        <xdr:cNvPr id="7" name="CuadroTexto 5">
          <a:extLst>
            <a:ext uri="{FF2B5EF4-FFF2-40B4-BE49-F238E27FC236}">
              <a16:creationId xmlns:a16="http://schemas.microsoft.com/office/drawing/2014/main"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p>
        <a:p>
          <a:pPr algn="ctr"/>
          <a:r>
            <a:rPr lang="es-MX" sz="1100"/>
            <a:t>GERENTE</a:t>
          </a:r>
          <a:r>
            <a:rPr lang="es-MX" sz="1100" baseline="0"/>
            <a:t> DE ADMINISTRACION Y FINANZAS</a:t>
          </a:r>
          <a:endParaRPr lang="es-MX" sz="1100"/>
        </a:p>
      </xdr:txBody>
    </xdr:sp>
    <xdr:clientData/>
  </xdr:oneCellAnchor>
  <xdr:oneCellAnchor>
    <xdr:from>
      <xdr:col>2</xdr:col>
      <xdr:colOff>498475</xdr:colOff>
      <xdr:row>2</xdr:row>
      <xdr:rowOff>144463</xdr:rowOff>
    </xdr:from>
    <xdr:ext cx="2790824" cy="254557"/>
    <xdr:sp macro="" textlink="">
      <xdr:nvSpPr>
        <xdr:cNvPr id="8" name="7 CuadroTexto">
          <a:extLst>
            <a:ext uri="{FF2B5EF4-FFF2-40B4-BE49-F238E27FC236}">
              <a16:creationId xmlns:a16="http://schemas.microsoft.com/office/drawing/2014/main" id="{00000000-0008-0000-0F00-000008000000}"/>
            </a:ext>
          </a:extLst>
        </xdr:cNvPr>
        <xdr:cNvSpPr txBox="1"/>
      </xdr:nvSpPr>
      <xdr:spPr>
        <a:xfrm>
          <a:off x="3506788" y="54927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2" name="21 CuadroTexto">
          <a:extLst>
            <a:ext uri="{FF2B5EF4-FFF2-40B4-BE49-F238E27FC236}">
              <a16:creationId xmlns:a16="http://schemas.microsoft.com/office/drawing/2014/main"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83</xdr:row>
      <xdr:rowOff>161926</xdr:rowOff>
    </xdr:from>
    <xdr:ext cx="3429000" cy="666749"/>
    <xdr:sp macro="" textlink="">
      <xdr:nvSpPr>
        <xdr:cNvPr id="24" name="CuadroTexto 5">
          <a:extLst>
            <a:ext uri="{FF2B5EF4-FFF2-40B4-BE49-F238E27FC236}">
              <a16:creationId xmlns:a16="http://schemas.microsoft.com/office/drawing/2014/main"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          ______________________________________</a:t>
          </a:r>
        </a:p>
        <a:p>
          <a:pPr algn="ctr"/>
          <a:r>
            <a:rPr lang="es-MX" sz="1100"/>
            <a:t>LIC.</a:t>
          </a:r>
          <a:r>
            <a:rPr lang="es-MX" sz="1100" baseline="0"/>
            <a:t> KARLA PAULINA OCAÑA ENCINAS</a:t>
          </a:r>
        </a:p>
        <a:p>
          <a:pPr algn="ctr"/>
          <a:r>
            <a:rPr lang="es-MX" sz="1100"/>
            <a:t>DIRECTORA</a:t>
          </a:r>
          <a:r>
            <a:rPr lang="es-MX" sz="1100" baseline="0"/>
            <a:t> GENERAL</a:t>
          </a:r>
        </a:p>
        <a:p>
          <a:pPr algn="ctr"/>
          <a:endParaRPr lang="es-MX" sz="1100"/>
        </a:p>
      </xdr:txBody>
    </xdr:sp>
    <xdr:clientData/>
  </xdr:oneCellAnchor>
  <xdr:oneCellAnchor>
    <xdr:from>
      <xdr:col>2</xdr:col>
      <xdr:colOff>771525</xdr:colOff>
      <xdr:row>83</xdr:row>
      <xdr:rowOff>171451</xdr:rowOff>
    </xdr:from>
    <xdr:ext cx="3181350" cy="628650"/>
    <xdr:sp macro="" textlink="">
      <xdr:nvSpPr>
        <xdr:cNvPr id="25" name="CuadroTexto 5">
          <a:extLst>
            <a:ext uri="{FF2B5EF4-FFF2-40B4-BE49-F238E27FC236}">
              <a16:creationId xmlns:a16="http://schemas.microsoft.com/office/drawing/2014/main"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615821</xdr:colOff>
      <xdr:row>3</xdr:row>
      <xdr:rowOff>114105</xdr:rowOff>
    </xdr:from>
    <xdr:ext cx="2790824" cy="254557"/>
    <xdr:sp macro="" textlink="">
      <xdr:nvSpPr>
        <xdr:cNvPr id="26" name="25 CuadroTexto">
          <a:extLst>
            <a:ext uri="{FF2B5EF4-FFF2-40B4-BE49-F238E27FC236}">
              <a16:creationId xmlns:a16="http://schemas.microsoft.com/office/drawing/2014/main" id="{00000000-0008-0000-1000-00001A000000}"/>
            </a:ext>
          </a:extLst>
        </xdr:cNvPr>
        <xdr:cNvSpPr txBox="1"/>
      </xdr:nvSpPr>
      <xdr:spPr>
        <a:xfrm>
          <a:off x="5883729" y="72642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160</xdr:row>
      <xdr:rowOff>0</xdr:rowOff>
    </xdr:from>
    <xdr:ext cx="3200400" cy="662517"/>
    <xdr:sp macro="" textlink="">
      <xdr:nvSpPr>
        <xdr:cNvPr id="3" name="CuadroTexto 5">
          <a:extLst>
            <a:ext uri="{FF2B5EF4-FFF2-40B4-BE49-F238E27FC236}">
              <a16:creationId xmlns:a16="http://schemas.microsoft.com/office/drawing/2014/main"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OACÑA ENCINAS</a:t>
          </a:r>
          <a:endParaRPr lang="es-MX" sz="1200"/>
        </a:p>
        <a:p>
          <a:pPr algn="ctr"/>
          <a:r>
            <a:rPr lang="es-MX" sz="1200"/>
            <a:t>DIRECTORA</a:t>
          </a:r>
          <a:r>
            <a:rPr lang="es-MX" sz="1200" baseline="0"/>
            <a:t> GENERAL</a:t>
          </a:r>
          <a:endParaRPr lang="es-MX" sz="1200"/>
        </a:p>
      </xdr:txBody>
    </xdr:sp>
    <xdr:clientData/>
  </xdr:oneCellAnchor>
  <xdr:oneCellAnchor>
    <xdr:from>
      <xdr:col>3</xdr:col>
      <xdr:colOff>0</xdr:colOff>
      <xdr:row>160</xdr:row>
      <xdr:rowOff>0</xdr:rowOff>
    </xdr:from>
    <xdr:ext cx="3305175" cy="662517"/>
    <xdr:sp macro="" textlink="">
      <xdr:nvSpPr>
        <xdr:cNvPr id="4" name="CuadroTexto 5">
          <a:extLst>
            <a:ext uri="{FF2B5EF4-FFF2-40B4-BE49-F238E27FC236}">
              <a16:creationId xmlns:a16="http://schemas.microsoft.com/office/drawing/2014/main"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baseline="0"/>
            <a:t>LIC. TALINA MARTINEZ RAMOS</a:t>
          </a:r>
        </a:p>
        <a:p>
          <a:pPr algn="ctr"/>
          <a:r>
            <a:rPr lang="es-MX" sz="1200"/>
            <a:t>GERENTE</a:t>
          </a:r>
          <a:r>
            <a:rPr lang="es-MX" sz="1200" baseline="0"/>
            <a:t> DE ADMINISTRACION Y FINANZAS</a:t>
          </a:r>
          <a:endParaRPr lang="es-MX" sz="1200"/>
        </a:p>
        <a:p>
          <a:pPr algn="ctr"/>
          <a:endParaRPr lang="es-MX" sz="1200"/>
        </a:p>
      </xdr:txBody>
    </xdr:sp>
    <xdr:clientData/>
  </xdr:oneCellAnchor>
  <xdr:oneCellAnchor>
    <xdr:from>
      <xdr:col>3</xdr:col>
      <xdr:colOff>742950</xdr:colOff>
      <xdr:row>3</xdr:row>
      <xdr:rowOff>76200</xdr:rowOff>
    </xdr:from>
    <xdr:ext cx="2790824" cy="254557"/>
    <xdr:sp macro="" textlink="">
      <xdr:nvSpPr>
        <xdr:cNvPr id="5" name="4 CuadroTexto">
          <a:extLst>
            <a:ext uri="{FF2B5EF4-FFF2-40B4-BE49-F238E27FC236}">
              <a16:creationId xmlns:a16="http://schemas.microsoft.com/office/drawing/2014/main" id="{00000000-0008-0000-1100-000005000000}"/>
            </a:ext>
          </a:extLst>
        </xdr:cNvPr>
        <xdr:cNvSpPr txBox="1"/>
      </xdr:nvSpPr>
      <xdr:spPr>
        <a:xfrm>
          <a:off x="5105400" y="6572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28</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28</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28</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19</xdr:row>
      <xdr:rowOff>19050</xdr:rowOff>
    </xdr:from>
    <xdr:ext cx="3009900" cy="647700"/>
    <xdr:sp macro="" textlink="">
      <xdr:nvSpPr>
        <xdr:cNvPr id="14" name="CuadroTexto 5">
          <a:extLst>
            <a:ext uri="{FF2B5EF4-FFF2-40B4-BE49-F238E27FC236}">
              <a16:creationId xmlns:a16="http://schemas.microsoft.com/office/drawing/2014/main"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3</xdr:col>
      <xdr:colOff>295275</xdr:colOff>
      <xdr:row>19</xdr:row>
      <xdr:rowOff>9524</xdr:rowOff>
    </xdr:from>
    <xdr:ext cx="2952750" cy="657226"/>
    <xdr:sp macro="" textlink="">
      <xdr:nvSpPr>
        <xdr:cNvPr id="16" name="CuadroTexto 5">
          <a:extLst>
            <a:ext uri="{FF2B5EF4-FFF2-40B4-BE49-F238E27FC236}">
              <a16:creationId xmlns:a16="http://schemas.microsoft.com/office/drawing/2014/main"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704850</xdr:colOff>
      <xdr:row>3</xdr:row>
      <xdr:rowOff>152400</xdr:rowOff>
    </xdr:from>
    <xdr:ext cx="2790824" cy="254557"/>
    <xdr:sp macro="" textlink="">
      <xdr:nvSpPr>
        <xdr:cNvPr id="13" name="12 CuadroTexto">
          <a:extLst>
            <a:ext uri="{FF2B5EF4-FFF2-40B4-BE49-F238E27FC236}">
              <a16:creationId xmlns:a16="http://schemas.microsoft.com/office/drawing/2014/main" id="{00000000-0008-0000-1200-00000D000000}"/>
            </a:ext>
          </a:extLst>
        </xdr:cNvPr>
        <xdr:cNvSpPr txBox="1"/>
      </xdr:nvSpPr>
      <xdr:spPr>
        <a:xfrm>
          <a:off x="486727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39</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39</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33</xdr:row>
      <xdr:rowOff>19051</xdr:rowOff>
    </xdr:from>
    <xdr:ext cx="3009900" cy="647700"/>
    <xdr:sp macro="" textlink="">
      <xdr:nvSpPr>
        <xdr:cNvPr id="30" name="CuadroTexto 5">
          <a:extLst>
            <a:ext uri="{FF2B5EF4-FFF2-40B4-BE49-F238E27FC236}">
              <a16:creationId xmlns:a16="http://schemas.microsoft.com/office/drawing/2014/main"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p>
        <a:p>
          <a:pPr algn="ctr"/>
          <a:endParaRPr lang="es-MX" sz="1100"/>
        </a:p>
      </xdr:txBody>
    </xdr:sp>
    <xdr:clientData/>
  </xdr:oneCellAnchor>
  <xdr:oneCellAnchor>
    <xdr:from>
      <xdr:col>2</xdr:col>
      <xdr:colOff>933450</xdr:colOff>
      <xdr:row>33</xdr:row>
      <xdr:rowOff>9525</xdr:rowOff>
    </xdr:from>
    <xdr:ext cx="2952750" cy="657226"/>
    <xdr:sp macro="" textlink="">
      <xdr:nvSpPr>
        <xdr:cNvPr id="31" name="CuadroTexto 5">
          <a:extLst>
            <a:ext uri="{FF2B5EF4-FFF2-40B4-BE49-F238E27FC236}">
              <a16:creationId xmlns:a16="http://schemas.microsoft.com/office/drawing/2014/main"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604631</xdr:colOff>
      <xdr:row>3</xdr:row>
      <xdr:rowOff>165652</xdr:rowOff>
    </xdr:from>
    <xdr:ext cx="2790824" cy="254557"/>
    <xdr:sp macro="" textlink="">
      <xdr:nvSpPr>
        <xdr:cNvPr id="32" name="31 CuadroTexto">
          <a:extLst>
            <a:ext uri="{FF2B5EF4-FFF2-40B4-BE49-F238E27FC236}">
              <a16:creationId xmlns:a16="http://schemas.microsoft.com/office/drawing/2014/main" id="{00000000-0008-0000-1300-000020000000}"/>
            </a:ext>
          </a:extLst>
        </xdr:cNvPr>
        <xdr:cNvSpPr txBox="1"/>
      </xdr:nvSpPr>
      <xdr:spPr>
        <a:xfrm>
          <a:off x="5085522" y="78684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72</xdr:row>
      <xdr:rowOff>133349</xdr:rowOff>
    </xdr:from>
    <xdr:ext cx="3200400" cy="657226"/>
    <xdr:sp macro="" textlink="">
      <xdr:nvSpPr>
        <xdr:cNvPr id="4" name="CuadroTexto 5">
          <a:extLst>
            <a:ext uri="{FF2B5EF4-FFF2-40B4-BE49-F238E27FC236}">
              <a16:creationId xmlns:a16="http://schemas.microsoft.com/office/drawing/2014/main"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OCÑA ENCINAS</a:t>
          </a:r>
          <a:endParaRPr lang="es-MX" sz="1200"/>
        </a:p>
        <a:p>
          <a:pPr algn="ctr"/>
          <a:r>
            <a:rPr lang="es-MX" sz="1200"/>
            <a:t>DIRECTORA</a:t>
          </a:r>
          <a:r>
            <a:rPr lang="es-MX" sz="1200" baseline="0"/>
            <a:t> GENERAL</a:t>
          </a:r>
          <a:endParaRPr lang="es-MX" sz="1200"/>
        </a:p>
      </xdr:txBody>
    </xdr:sp>
    <xdr:clientData/>
  </xdr:oneCellAnchor>
  <xdr:oneCellAnchor>
    <xdr:from>
      <xdr:col>4</xdr:col>
      <xdr:colOff>0</xdr:colOff>
      <xdr:row>72</xdr:row>
      <xdr:rowOff>142875</xdr:rowOff>
    </xdr:from>
    <xdr:ext cx="3305175" cy="695325"/>
    <xdr:sp macro="" textlink="">
      <xdr:nvSpPr>
        <xdr:cNvPr id="7" name="CuadroTexto 5">
          <a:extLst>
            <a:ext uri="{FF2B5EF4-FFF2-40B4-BE49-F238E27FC236}">
              <a16:creationId xmlns:a16="http://schemas.microsoft.com/office/drawing/2014/main"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a:t>
          </a:r>
          <a:r>
            <a:rPr lang="es-MX" sz="1100">
              <a:solidFill>
                <a:schemeClr val="tx1"/>
              </a:solidFill>
              <a:latin typeface="+mn-lt"/>
              <a:ea typeface="+mn-ea"/>
              <a:cs typeface="+mn-cs"/>
            </a:rPr>
            <a:t>______________________________________</a:t>
          </a:r>
          <a:endParaRPr lang="es-MX" sz="1200"/>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TALINA MARTINEZ RAMOS</a:t>
          </a:r>
          <a:endParaRPr lang="es-MX" sz="1100">
            <a:solidFill>
              <a:schemeClr val="tx1"/>
            </a:solidFill>
            <a:latin typeface="+mn-lt"/>
            <a:ea typeface="+mn-ea"/>
            <a:cs typeface="+mn-cs"/>
          </a:endParaRPr>
        </a:p>
        <a:p>
          <a:pPr algn="ctr"/>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xdr:txBody>
    </xdr:sp>
    <xdr:clientData/>
  </xdr:oneCellAnchor>
  <xdr:oneCellAnchor>
    <xdr:from>
      <xdr:col>4</xdr:col>
      <xdr:colOff>1695450</xdr:colOff>
      <xdr:row>2</xdr:row>
      <xdr:rowOff>9525</xdr:rowOff>
    </xdr:from>
    <xdr:ext cx="2790824" cy="254557"/>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   </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762000</xdr:colOff>
      <xdr:row>3</xdr:row>
      <xdr:rowOff>114300</xdr:rowOff>
    </xdr:from>
    <xdr:ext cx="2790824" cy="254557"/>
    <xdr:sp macro="" textlink="">
      <xdr:nvSpPr>
        <xdr:cNvPr id="8" name="7 CuadroTexto">
          <a:extLst>
            <a:ext uri="{FF2B5EF4-FFF2-40B4-BE49-F238E27FC236}">
              <a16:creationId xmlns:a16="http://schemas.microsoft.com/office/drawing/2014/main"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19</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19</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17</xdr:row>
      <xdr:rowOff>0</xdr:rowOff>
    </xdr:from>
    <xdr:ext cx="3019425" cy="662517"/>
    <xdr:sp macro="" textlink="">
      <xdr:nvSpPr>
        <xdr:cNvPr id="22" name="CuadroTexto 5">
          <a:extLst>
            <a:ext uri="{FF2B5EF4-FFF2-40B4-BE49-F238E27FC236}">
              <a16:creationId xmlns:a16="http://schemas.microsoft.com/office/drawing/2014/main"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3</xdr:col>
      <xdr:colOff>0</xdr:colOff>
      <xdr:row>17</xdr:row>
      <xdr:rowOff>0</xdr:rowOff>
    </xdr:from>
    <xdr:ext cx="3019425" cy="662517"/>
    <xdr:sp macro="" textlink="">
      <xdr:nvSpPr>
        <xdr:cNvPr id="24" name="CuadroTexto 5">
          <a:extLst>
            <a:ext uri="{FF2B5EF4-FFF2-40B4-BE49-F238E27FC236}">
              <a16:creationId xmlns:a16="http://schemas.microsoft.com/office/drawing/2014/main"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790575</xdr:colOff>
      <xdr:row>3</xdr:row>
      <xdr:rowOff>123825</xdr:rowOff>
    </xdr:from>
    <xdr:ext cx="2790824" cy="254557"/>
    <xdr:sp macro="" textlink="">
      <xdr:nvSpPr>
        <xdr:cNvPr id="23" name="22 CuadroTexto">
          <a:extLst>
            <a:ext uri="{FF2B5EF4-FFF2-40B4-BE49-F238E27FC236}">
              <a16:creationId xmlns:a16="http://schemas.microsoft.com/office/drawing/2014/main" id="{00000000-0008-0000-1500-000017000000}"/>
            </a:ext>
          </a:extLst>
        </xdr:cNvPr>
        <xdr:cNvSpPr txBox="1"/>
      </xdr:nvSpPr>
      <xdr:spPr>
        <a:xfrm>
          <a:off x="5276850"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20" name="4 CuadroTexto">
          <a:extLst>
            <a:ext uri="{FF2B5EF4-FFF2-40B4-BE49-F238E27FC236}">
              <a16:creationId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23</xdr:row>
      <xdr:rowOff>0</xdr:rowOff>
    </xdr:from>
    <xdr:ext cx="3038475" cy="662517"/>
    <xdr:sp macro="" textlink="">
      <xdr:nvSpPr>
        <xdr:cNvPr id="23" name="CuadroTexto 5">
          <a:extLst>
            <a:ext uri="{FF2B5EF4-FFF2-40B4-BE49-F238E27FC236}">
              <a16:creationId xmlns:a16="http://schemas.microsoft.com/office/drawing/2014/main"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3</xdr:col>
      <xdr:colOff>0</xdr:colOff>
      <xdr:row>23</xdr:row>
      <xdr:rowOff>0</xdr:rowOff>
    </xdr:from>
    <xdr:ext cx="3019425" cy="662517"/>
    <xdr:sp macro="" textlink="">
      <xdr:nvSpPr>
        <xdr:cNvPr id="25" name="CuadroTexto 5">
          <a:extLst>
            <a:ext uri="{FF2B5EF4-FFF2-40B4-BE49-F238E27FC236}">
              <a16:creationId xmlns:a16="http://schemas.microsoft.com/office/drawing/2014/main"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838200</xdr:colOff>
      <xdr:row>3</xdr:row>
      <xdr:rowOff>123825</xdr:rowOff>
    </xdr:from>
    <xdr:ext cx="2790824" cy="254557"/>
    <xdr:sp macro="" textlink="">
      <xdr:nvSpPr>
        <xdr:cNvPr id="26" name="25 CuadroTexto">
          <a:extLst>
            <a:ext uri="{FF2B5EF4-FFF2-40B4-BE49-F238E27FC236}">
              <a16:creationId xmlns:a16="http://schemas.microsoft.com/office/drawing/2014/main"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45</xdr:row>
      <xdr:rowOff>0</xdr:rowOff>
    </xdr:from>
    <xdr:ext cx="2733674" cy="638175"/>
    <xdr:sp macro="" textlink="">
      <xdr:nvSpPr>
        <xdr:cNvPr id="19" name="CuadroTexto 5">
          <a:extLst>
            <a:ext uri="{FF2B5EF4-FFF2-40B4-BE49-F238E27FC236}">
              <a16:creationId xmlns:a16="http://schemas.microsoft.com/office/drawing/2014/main"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628651</xdr:colOff>
      <xdr:row>45</xdr:row>
      <xdr:rowOff>0</xdr:rowOff>
    </xdr:from>
    <xdr:ext cx="3009900" cy="662517"/>
    <xdr:sp macro="" textlink="">
      <xdr:nvSpPr>
        <xdr:cNvPr id="20" name="CuadroTexto 5">
          <a:extLst>
            <a:ext uri="{FF2B5EF4-FFF2-40B4-BE49-F238E27FC236}">
              <a16:creationId xmlns:a16="http://schemas.microsoft.com/office/drawing/2014/main"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219075</xdr:colOff>
      <xdr:row>3</xdr:row>
      <xdr:rowOff>152400</xdr:rowOff>
    </xdr:from>
    <xdr:ext cx="2790824" cy="254557"/>
    <xdr:sp macro="" textlink="">
      <xdr:nvSpPr>
        <xdr:cNvPr id="21" name="20 CuadroTexto">
          <a:extLst>
            <a:ext uri="{FF2B5EF4-FFF2-40B4-BE49-F238E27FC236}">
              <a16:creationId xmlns:a16="http://schemas.microsoft.com/office/drawing/2014/main"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1</xdr:row>
      <xdr:rowOff>0</xdr:rowOff>
    </xdr:from>
    <xdr:ext cx="923924" cy="306917"/>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7949142" y="296332"/>
          <a:ext cx="923924" cy="3069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0</xdr:col>
      <xdr:colOff>264583</xdr:colOff>
      <xdr:row>83</xdr:row>
      <xdr:rowOff>126999</xdr:rowOff>
    </xdr:from>
    <xdr:ext cx="3200400" cy="662517"/>
    <xdr:sp macro="" textlink="">
      <xdr:nvSpPr>
        <xdr:cNvPr id="4" name="CuadroTexto 5">
          <a:extLst>
            <a:ext uri="{FF2B5EF4-FFF2-40B4-BE49-F238E27FC236}">
              <a16:creationId xmlns:a16="http://schemas.microsoft.com/office/drawing/2014/main" id="{00000000-0008-0000-1800-000004000000}"/>
            </a:ext>
          </a:extLst>
        </xdr:cNvPr>
        <xdr:cNvSpPr txBox="1"/>
      </xdr:nvSpPr>
      <xdr:spPr>
        <a:xfrm>
          <a:off x="264583" y="16044332"/>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3</xdr:col>
      <xdr:colOff>74084</xdr:colOff>
      <xdr:row>83</xdr:row>
      <xdr:rowOff>169333</xdr:rowOff>
    </xdr:from>
    <xdr:ext cx="3305175" cy="662517"/>
    <xdr:sp macro="" textlink="">
      <xdr:nvSpPr>
        <xdr:cNvPr id="5" name="CuadroTexto 5">
          <a:extLst>
            <a:ext uri="{FF2B5EF4-FFF2-40B4-BE49-F238E27FC236}">
              <a16:creationId xmlns:a16="http://schemas.microsoft.com/office/drawing/2014/main" id="{00000000-0008-0000-1800-000005000000}"/>
            </a:ext>
          </a:extLst>
        </xdr:cNvPr>
        <xdr:cNvSpPr txBox="1"/>
      </xdr:nvSpPr>
      <xdr:spPr>
        <a:xfrm>
          <a:off x="4455584" y="16086666"/>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171450</xdr:colOff>
      <xdr:row>3</xdr:row>
      <xdr:rowOff>9525</xdr:rowOff>
    </xdr:from>
    <xdr:ext cx="2790824" cy="254557"/>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136</xdr:row>
      <xdr:rowOff>0</xdr:rowOff>
    </xdr:from>
    <xdr:ext cx="3200400" cy="662517"/>
    <xdr:sp macro="" textlink="">
      <xdr:nvSpPr>
        <xdr:cNvPr id="7" name="CuadroTexto 5">
          <a:extLst>
            <a:ext uri="{FF2B5EF4-FFF2-40B4-BE49-F238E27FC236}">
              <a16:creationId xmlns:a16="http://schemas.microsoft.com/office/drawing/2014/main"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4</xdr:col>
      <xdr:colOff>123826</xdr:colOff>
      <xdr:row>135</xdr:row>
      <xdr:rowOff>200024</xdr:rowOff>
    </xdr:from>
    <xdr:ext cx="2933699" cy="676275"/>
    <xdr:sp macro="" textlink="">
      <xdr:nvSpPr>
        <xdr:cNvPr id="9" name="CuadroTexto 5">
          <a:extLst>
            <a:ext uri="{FF2B5EF4-FFF2-40B4-BE49-F238E27FC236}">
              <a16:creationId xmlns:a16="http://schemas.microsoft.com/office/drawing/2014/main" id="{00000000-0008-0000-1900-000009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238125</xdr:colOff>
      <xdr:row>3</xdr:row>
      <xdr:rowOff>123825</xdr:rowOff>
    </xdr:from>
    <xdr:ext cx="2790824" cy="254557"/>
    <xdr:sp macro="" textlink="">
      <xdr:nvSpPr>
        <xdr:cNvPr id="10" name="9 CuadroTexto">
          <a:extLst>
            <a:ext uri="{FF2B5EF4-FFF2-40B4-BE49-F238E27FC236}">
              <a16:creationId xmlns:a16="http://schemas.microsoft.com/office/drawing/2014/main"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2</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900-00000B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2 CuadroTexto">
          <a:extLst>
            <a:ext uri="{FF2B5EF4-FFF2-40B4-BE49-F238E27FC236}">
              <a16:creationId xmlns:a16="http://schemas.microsoft.com/office/drawing/2014/main" id="{00000000-0008-0000-1900-00000C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900-00000D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4" name="4 CuadroTexto">
          <a:extLst>
            <a:ext uri="{FF2B5EF4-FFF2-40B4-BE49-F238E27FC236}">
              <a16:creationId xmlns:a16="http://schemas.microsoft.com/office/drawing/2014/main" id="{00000000-0008-0000-1900-00000E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136</xdr:row>
      <xdr:rowOff>0</xdr:rowOff>
    </xdr:from>
    <xdr:ext cx="3200400" cy="662517"/>
    <xdr:sp macro="" textlink="">
      <xdr:nvSpPr>
        <xdr:cNvPr id="15" name="CuadroTexto 14">
          <a:extLst>
            <a:ext uri="{FF2B5EF4-FFF2-40B4-BE49-F238E27FC236}">
              <a16:creationId xmlns:a16="http://schemas.microsoft.com/office/drawing/2014/main" id="{00000000-0008-0000-1900-00000F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a:t>
          </a:r>
        </a:p>
      </xdr:txBody>
    </xdr:sp>
    <xdr:clientData/>
  </xdr:oneCellAnchor>
  <xdr:oneCellAnchor>
    <xdr:from>
      <xdr:col>4</xdr:col>
      <xdr:colOff>123826</xdr:colOff>
      <xdr:row>135</xdr:row>
      <xdr:rowOff>200024</xdr:rowOff>
    </xdr:from>
    <xdr:ext cx="2933699" cy="676275"/>
    <xdr:sp macro="" textlink="">
      <xdr:nvSpPr>
        <xdr:cNvPr id="16" name="CuadroTexto 5">
          <a:extLst>
            <a:ext uri="{FF2B5EF4-FFF2-40B4-BE49-F238E27FC236}">
              <a16:creationId xmlns:a16="http://schemas.microsoft.com/office/drawing/2014/main" id="{00000000-0008-0000-1900-000010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a:p>
          <a:pPr algn="ctr"/>
          <a:r>
            <a:rPr lang="es-MX" sz="1200"/>
            <a:t>LIC.</a:t>
          </a:r>
          <a:r>
            <a:rPr lang="es-MX" sz="1200" baseline="0"/>
            <a:t> TALINA MARTINEZ RAMOS</a:t>
          </a:r>
          <a:endParaRPr lang="es-MX" sz="1200"/>
        </a:p>
      </xdr:txBody>
    </xdr:sp>
    <xdr:clientData/>
  </xdr:oneCellAnchor>
  <xdr:oneCellAnchor>
    <xdr:from>
      <xdr:col>2</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900-000012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9" name="2 CuadroTexto">
          <a:extLst>
            <a:ext uri="{FF2B5EF4-FFF2-40B4-BE49-F238E27FC236}">
              <a16:creationId xmlns:a16="http://schemas.microsoft.com/office/drawing/2014/main" id="{00000000-0008-0000-1900-00001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3</xdr:row>
      <xdr:rowOff>142875</xdr:rowOff>
    </xdr:from>
    <xdr:ext cx="184731" cy="264560"/>
    <xdr:sp macro="" textlink="">
      <xdr:nvSpPr>
        <xdr:cNvPr id="20" name="1 CuadroTexto">
          <a:extLst>
            <a:ext uri="{FF2B5EF4-FFF2-40B4-BE49-F238E27FC236}">
              <a16:creationId xmlns:a16="http://schemas.microsoft.com/office/drawing/2014/main" id="{00000000-0008-0000-1900-000014000000}"/>
            </a:ext>
          </a:extLst>
        </xdr:cNvPr>
        <xdr:cNvSpPr txBox="1"/>
      </xdr:nvSpPr>
      <xdr:spPr>
        <a:xfrm>
          <a:off x="33432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21" name="4 CuadroTexto">
          <a:extLst>
            <a:ext uri="{FF2B5EF4-FFF2-40B4-BE49-F238E27FC236}">
              <a16:creationId xmlns:a16="http://schemas.microsoft.com/office/drawing/2014/main" id="{00000000-0008-0000-1900-000015000000}"/>
            </a:ext>
          </a:extLst>
        </xdr:cNvPr>
        <xdr:cNvSpPr txBox="1"/>
      </xdr:nvSpPr>
      <xdr:spPr>
        <a:xfrm>
          <a:off x="6734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136</xdr:row>
      <xdr:rowOff>0</xdr:rowOff>
    </xdr:from>
    <xdr:ext cx="3200400" cy="662517"/>
    <xdr:sp macro="" textlink="">
      <xdr:nvSpPr>
        <xdr:cNvPr id="22" name="CuadroTexto 21">
          <a:extLst>
            <a:ext uri="{FF2B5EF4-FFF2-40B4-BE49-F238E27FC236}">
              <a16:creationId xmlns:a16="http://schemas.microsoft.com/office/drawing/2014/main" id="{00000000-0008-0000-1900-000016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a:t>
          </a:r>
        </a:p>
      </xdr:txBody>
    </xdr:sp>
    <xdr:clientData/>
  </xdr:oneCellAnchor>
  <xdr:oneCellAnchor>
    <xdr:from>
      <xdr:col>4</xdr:col>
      <xdr:colOff>123826</xdr:colOff>
      <xdr:row>135</xdr:row>
      <xdr:rowOff>200024</xdr:rowOff>
    </xdr:from>
    <xdr:ext cx="2933699" cy="676275"/>
    <xdr:sp macro="" textlink="">
      <xdr:nvSpPr>
        <xdr:cNvPr id="23" name="CuadroTexto 5">
          <a:extLst>
            <a:ext uri="{FF2B5EF4-FFF2-40B4-BE49-F238E27FC236}">
              <a16:creationId xmlns:a16="http://schemas.microsoft.com/office/drawing/2014/main" id="{00000000-0008-0000-1900-000017000000}"/>
            </a:ext>
          </a:extLst>
        </xdr:cNvPr>
        <xdr:cNvSpPr txBox="1"/>
      </xdr:nvSpPr>
      <xdr:spPr>
        <a:xfrm>
          <a:off x="5162551" y="2788919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MX" sz="1200"/>
        </a:p>
      </xdr:txBody>
    </xdr:sp>
    <xdr:clientData/>
  </xdr:oneCellAnchor>
  <xdr:oneCellAnchor>
    <xdr:from>
      <xdr:col>1</xdr:col>
      <xdr:colOff>0</xdr:colOff>
      <xdr:row>136</xdr:row>
      <xdr:rowOff>0</xdr:rowOff>
    </xdr:from>
    <xdr:ext cx="3200400" cy="662517"/>
    <xdr:sp macro="" textlink="">
      <xdr:nvSpPr>
        <xdr:cNvPr id="24" name="CuadroTexto 23">
          <a:extLst>
            <a:ext uri="{FF2B5EF4-FFF2-40B4-BE49-F238E27FC236}">
              <a16:creationId xmlns:a16="http://schemas.microsoft.com/office/drawing/2014/main" id="{00000000-0008-0000-1900-000018000000}"/>
            </a:ext>
          </a:extLst>
        </xdr:cNvPr>
        <xdr:cNvSpPr txBox="1"/>
      </xdr:nvSpPr>
      <xdr:spPr>
        <a:xfrm>
          <a:off x="695325" y="278987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34</xdr:row>
      <xdr:rowOff>0</xdr:rowOff>
    </xdr:from>
    <xdr:ext cx="3200400" cy="662517"/>
    <xdr:sp macro="" textlink="">
      <xdr:nvSpPr>
        <xdr:cNvPr id="4" name="CuadroTexto 5">
          <a:extLst>
            <a:ext uri="{FF2B5EF4-FFF2-40B4-BE49-F238E27FC236}">
              <a16:creationId xmlns:a16="http://schemas.microsoft.com/office/drawing/2014/main"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OACAÑA ENCINAS</a:t>
          </a:r>
          <a:endParaRPr lang="es-MX" sz="1200"/>
        </a:p>
        <a:p>
          <a:pPr algn="ctr"/>
          <a:r>
            <a:rPr lang="es-MX" sz="1200"/>
            <a:t>DIRECTORA</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5" name="CuadroTexto 5">
          <a:extLst>
            <a:ext uri="{FF2B5EF4-FFF2-40B4-BE49-F238E27FC236}">
              <a16:creationId xmlns:a16="http://schemas.microsoft.com/office/drawing/2014/main"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p>
        <a:p>
          <a:pPr algn="ctr"/>
          <a:r>
            <a:rPr lang="es-MX" sz="1200"/>
            <a:t>GERENTE</a:t>
          </a:r>
          <a:r>
            <a:rPr lang="es-MX" sz="1200" baseline="0"/>
            <a:t> DE ADMINISTRACION Y FINANZAS</a:t>
          </a:r>
          <a:endParaRPr lang="es-MX" sz="1200"/>
        </a:p>
      </xdr:txBody>
    </xdr:sp>
    <xdr:clientData/>
  </xdr:oneCellAnchor>
  <xdr:oneCellAnchor>
    <xdr:from>
      <xdr:col>3</xdr:col>
      <xdr:colOff>247650</xdr:colOff>
      <xdr:row>3</xdr:row>
      <xdr:rowOff>133350</xdr:rowOff>
    </xdr:from>
    <xdr:ext cx="2790824" cy="254557"/>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679452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2</xdr:row>
      <xdr:rowOff>195723</xdr:rowOff>
    </xdr:from>
    <xdr:ext cx="64787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43</xdr:row>
      <xdr:rowOff>0</xdr:rowOff>
    </xdr:from>
    <xdr:ext cx="3143250" cy="662517"/>
    <xdr:sp macro="" textlink="">
      <xdr:nvSpPr>
        <xdr:cNvPr id="8" name="CuadroTexto 5">
          <a:extLst>
            <a:ext uri="{FF2B5EF4-FFF2-40B4-BE49-F238E27FC236}">
              <a16:creationId xmlns:a16="http://schemas.microsoft.com/office/drawing/2014/main"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1</xdr:col>
      <xdr:colOff>0</xdr:colOff>
      <xdr:row>43</xdr:row>
      <xdr:rowOff>0</xdr:rowOff>
    </xdr:from>
    <xdr:ext cx="3019425" cy="662517"/>
    <xdr:sp macro="" textlink="">
      <xdr:nvSpPr>
        <xdr:cNvPr id="9" name="CuadroTexto 5">
          <a:extLst>
            <a:ext uri="{FF2B5EF4-FFF2-40B4-BE49-F238E27FC236}">
              <a16:creationId xmlns:a16="http://schemas.microsoft.com/office/drawing/2014/main"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560917</xdr:colOff>
      <xdr:row>2</xdr:row>
      <xdr:rowOff>105834</xdr:rowOff>
    </xdr:from>
    <xdr:ext cx="2790824" cy="254557"/>
    <xdr:sp macro="" textlink="">
      <xdr:nvSpPr>
        <xdr:cNvPr id="10" name="9 CuadroTexto">
          <a:extLst>
            <a:ext uri="{FF2B5EF4-FFF2-40B4-BE49-F238E27FC236}">
              <a16:creationId xmlns:a16="http://schemas.microsoft.com/office/drawing/2014/main"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33</xdr:row>
      <xdr:rowOff>0</xdr:rowOff>
    </xdr:from>
    <xdr:ext cx="3019425" cy="662517"/>
    <xdr:sp macro="" textlink="">
      <xdr:nvSpPr>
        <xdr:cNvPr id="7" name="CuadroTexto 5">
          <a:extLst>
            <a:ext uri="{FF2B5EF4-FFF2-40B4-BE49-F238E27FC236}">
              <a16:creationId xmlns:a16="http://schemas.microsoft.com/office/drawing/2014/main"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400051</xdr:colOff>
      <xdr:row>33</xdr:row>
      <xdr:rowOff>0</xdr:rowOff>
    </xdr:from>
    <xdr:ext cx="2895599" cy="662517"/>
    <xdr:sp macro="" textlink="">
      <xdr:nvSpPr>
        <xdr:cNvPr id="9" name="CuadroTexto 5">
          <a:extLst>
            <a:ext uri="{FF2B5EF4-FFF2-40B4-BE49-F238E27FC236}">
              <a16:creationId xmlns:a16="http://schemas.microsoft.com/office/drawing/2014/main"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514350</xdr:colOff>
      <xdr:row>2</xdr:row>
      <xdr:rowOff>152400</xdr:rowOff>
    </xdr:from>
    <xdr:ext cx="2790824" cy="254557"/>
    <xdr:sp macro="" textlink="">
      <xdr:nvSpPr>
        <xdr:cNvPr id="10" name="9 CuadroTexto">
          <a:extLst>
            <a:ext uri="{FF2B5EF4-FFF2-40B4-BE49-F238E27FC236}">
              <a16:creationId xmlns:a16="http://schemas.microsoft.com/office/drawing/2014/main"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34</xdr:row>
      <xdr:rowOff>42334</xdr:rowOff>
    </xdr:from>
    <xdr:ext cx="2925416" cy="781240"/>
    <xdr:sp macro="" textlink="">
      <xdr:nvSpPr>
        <xdr:cNvPr id="2" name="CuadroTexto 1">
          <a:extLst>
            <a:ext uri="{FF2B5EF4-FFF2-40B4-BE49-F238E27FC236}">
              <a16:creationId xmlns:a16="http://schemas.microsoft.com/office/drawing/2014/main" id="{00000000-0008-0000-1D00-000002000000}"/>
            </a:ext>
          </a:extLst>
        </xdr:cNvPr>
        <xdr:cNvSpPr txBox="1"/>
      </xdr:nvSpPr>
      <xdr:spPr>
        <a:xfrm>
          <a:off x="322791" y="7842251"/>
          <a:ext cx="292541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p>
        <a:p>
          <a:pPr algn="ctr"/>
          <a:endParaRPr lang="es-MX" sz="1100"/>
        </a:p>
      </xdr:txBody>
    </xdr:sp>
    <xdr:clientData/>
  </xdr:oneCellAnchor>
  <xdr:oneCellAnchor>
    <xdr:from>
      <xdr:col>2</xdr:col>
      <xdr:colOff>723900</xdr:colOff>
      <xdr:row>34</xdr:row>
      <xdr:rowOff>46565</xdr:rowOff>
    </xdr:from>
    <xdr:ext cx="2855141" cy="662517"/>
    <xdr:sp macro="" textlink="">
      <xdr:nvSpPr>
        <xdr:cNvPr id="6" name="CuadroTexto 5">
          <a:extLst>
            <a:ext uri="{FF2B5EF4-FFF2-40B4-BE49-F238E27FC236}">
              <a16:creationId xmlns:a16="http://schemas.microsoft.com/office/drawing/2014/main"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582083</xdr:colOff>
      <xdr:row>2</xdr:row>
      <xdr:rowOff>201084</xdr:rowOff>
    </xdr:from>
    <xdr:ext cx="2790824" cy="254557"/>
    <xdr:sp macro="" textlink="">
      <xdr:nvSpPr>
        <xdr:cNvPr id="7" name="6 CuadroTexto">
          <a:extLst>
            <a:ext uri="{FF2B5EF4-FFF2-40B4-BE49-F238E27FC236}">
              <a16:creationId xmlns:a16="http://schemas.microsoft.com/office/drawing/2014/main"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8358917"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66</xdr:row>
      <xdr:rowOff>0</xdr:rowOff>
    </xdr:from>
    <xdr:ext cx="3019425" cy="662517"/>
    <xdr:sp macro="" textlink="">
      <xdr:nvSpPr>
        <xdr:cNvPr id="10" name="CuadroTexto 5">
          <a:extLst>
            <a:ext uri="{FF2B5EF4-FFF2-40B4-BE49-F238E27FC236}">
              <a16:creationId xmlns:a16="http://schemas.microsoft.com/office/drawing/2014/main"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 KARLA</a:t>
          </a:r>
          <a:r>
            <a:rPr lang="es-MX" sz="1100" baseline="0"/>
            <a:t> PAULINA OCAÑA ENCINAS</a:t>
          </a:r>
          <a:endParaRPr lang="es-MX" sz="1100"/>
        </a:p>
        <a:p>
          <a:pPr algn="ctr"/>
          <a:r>
            <a:rPr lang="es-MX" sz="1100"/>
            <a:t>DIRECTORA</a:t>
          </a:r>
          <a:r>
            <a:rPr lang="es-MX" sz="1100" baseline="0"/>
            <a:t> GENERAL</a:t>
          </a:r>
          <a:endParaRPr lang="es-MX" sz="1100"/>
        </a:p>
      </xdr:txBody>
    </xdr:sp>
    <xdr:clientData/>
  </xdr:oneCellAnchor>
  <xdr:oneCellAnchor>
    <xdr:from>
      <xdr:col>1</xdr:col>
      <xdr:colOff>4404785</xdr:colOff>
      <xdr:row>66</xdr:row>
      <xdr:rowOff>12700</xdr:rowOff>
    </xdr:from>
    <xdr:ext cx="2942165" cy="662517"/>
    <xdr:sp macro="" textlink="">
      <xdr:nvSpPr>
        <xdr:cNvPr id="11" name="CuadroTexto 5">
          <a:extLst>
            <a:ext uri="{FF2B5EF4-FFF2-40B4-BE49-F238E27FC236}">
              <a16:creationId xmlns:a16="http://schemas.microsoft.com/office/drawing/2014/main" id="{00000000-0008-0000-0300-00000B000000}"/>
            </a:ext>
          </a:extLst>
        </xdr:cNvPr>
        <xdr:cNvSpPr txBox="1"/>
      </xdr:nvSpPr>
      <xdr:spPr>
        <a:xfrm>
          <a:off x="4519085" y="1471930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a:t>
          </a:r>
          <a:r>
            <a:rPr lang="es-MX" sz="1100">
              <a:solidFill>
                <a:schemeClr val="tx1"/>
              </a:solidFill>
              <a:latin typeface="+mn-lt"/>
              <a:ea typeface="+mn-ea"/>
              <a:cs typeface="+mn-cs"/>
            </a:rPr>
            <a:t>______________________________________</a:t>
          </a:r>
          <a:endParaRPr lang="es-MX"/>
        </a:p>
        <a:p>
          <a:pPr algn="ctr"/>
          <a:r>
            <a:rPr lang="es-MX" sz="1100">
              <a:solidFill>
                <a:schemeClr val="tx1"/>
              </a:solidFill>
              <a:latin typeface="+mn-lt"/>
              <a:ea typeface="+mn-ea"/>
              <a:cs typeface="+mn-cs"/>
            </a:rPr>
            <a:t>LIC.</a:t>
          </a:r>
          <a:r>
            <a:rPr lang="es-MX" sz="1100" baseline="0">
              <a:solidFill>
                <a:schemeClr val="tx1"/>
              </a:solidFill>
              <a:latin typeface="+mn-lt"/>
              <a:ea typeface="+mn-ea"/>
              <a:cs typeface="+mn-cs"/>
            </a:rPr>
            <a:t> TALINA MARTINEZ RAMOS</a:t>
          </a:r>
          <a:endParaRPr lang="es-MX" sz="1100">
            <a:solidFill>
              <a:schemeClr val="tx1"/>
            </a:solidFill>
            <a:latin typeface="+mn-lt"/>
            <a:ea typeface="+mn-ea"/>
            <a:cs typeface="+mn-cs"/>
          </a:endParaRPr>
        </a:p>
        <a:p>
          <a:r>
            <a:rPr lang="es-MX" sz="1100">
              <a:solidFill>
                <a:schemeClr val="tx1"/>
              </a:solidFill>
              <a:latin typeface="+mn-lt"/>
              <a:ea typeface="+mn-ea"/>
              <a:cs typeface="+mn-cs"/>
            </a:rPr>
            <a:t>GERENTE</a:t>
          </a:r>
          <a:r>
            <a:rPr lang="es-MX" sz="1100" baseline="0">
              <a:solidFill>
                <a:schemeClr val="tx1"/>
              </a:solidFill>
              <a:latin typeface="+mn-lt"/>
              <a:ea typeface="+mn-ea"/>
              <a:cs typeface="+mn-cs"/>
            </a:rPr>
            <a:t> DE ADMINISTRACION Y FINANZAS</a:t>
          </a:r>
          <a:endParaRPr lang="es-MX" sz="1100">
            <a:solidFill>
              <a:schemeClr val="tx1"/>
            </a:solidFill>
            <a:latin typeface="+mn-lt"/>
            <a:ea typeface="+mn-ea"/>
            <a:cs typeface="+mn-cs"/>
          </a:endParaRPr>
        </a:p>
        <a:p>
          <a:endParaRPr lang="es-MX" sz="1100"/>
        </a:p>
      </xdr:txBody>
    </xdr:sp>
    <xdr:clientData/>
  </xdr:oneCellAnchor>
  <xdr:oneCellAnchor>
    <xdr:from>
      <xdr:col>1</xdr:col>
      <xdr:colOff>4572000</xdr:colOff>
      <xdr:row>2</xdr:row>
      <xdr:rowOff>78316</xdr:rowOff>
    </xdr:from>
    <xdr:ext cx="2790824" cy="254557"/>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4686300" y="535516"/>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93593</xdr:rowOff>
    </xdr:from>
    <xdr:ext cx="1638301" cy="287408"/>
    <xdr:sp macro="" textlink="">
      <xdr:nvSpPr>
        <xdr:cNvPr id="3" name="11 CuadroTexto">
          <a:extLst>
            <a:ext uri="{FF2B5EF4-FFF2-40B4-BE49-F238E27FC236}">
              <a16:creationId xmlns:a16="http://schemas.microsoft.com/office/drawing/2014/main" id="{00000000-0008-0000-1E00-000003000000}"/>
            </a:ext>
          </a:extLst>
        </xdr:cNvPr>
        <xdr:cNvSpPr txBox="1"/>
      </xdr:nvSpPr>
      <xdr:spPr>
        <a:xfrm>
          <a:off x="5981700" y="93593"/>
          <a:ext cx="1638301" cy="2874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40</xdr:row>
      <xdr:rowOff>0</xdr:rowOff>
    </xdr:from>
    <xdr:ext cx="2925416" cy="609013"/>
    <xdr:sp macro="" textlink="">
      <xdr:nvSpPr>
        <xdr:cNvPr id="10" name="CuadroTexto 1">
          <a:extLst>
            <a:ext uri="{FF2B5EF4-FFF2-40B4-BE49-F238E27FC236}">
              <a16:creationId xmlns:a16="http://schemas.microsoft.com/office/drawing/2014/main"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p>
        <a:p>
          <a:pPr algn="ctr"/>
          <a:endParaRPr lang="es-MX" sz="1100"/>
        </a:p>
      </xdr:txBody>
    </xdr:sp>
    <xdr:clientData/>
  </xdr:oneCellAnchor>
  <xdr:oneCellAnchor>
    <xdr:from>
      <xdr:col>2</xdr:col>
      <xdr:colOff>0</xdr:colOff>
      <xdr:row>40</xdr:row>
      <xdr:rowOff>0</xdr:rowOff>
    </xdr:from>
    <xdr:ext cx="2855141" cy="662517"/>
    <xdr:sp macro="" textlink="">
      <xdr:nvSpPr>
        <xdr:cNvPr id="11" name="CuadroTexto 5">
          <a:extLst>
            <a:ext uri="{FF2B5EF4-FFF2-40B4-BE49-F238E27FC236}">
              <a16:creationId xmlns:a16="http://schemas.microsoft.com/office/drawing/2014/main"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133350</xdr:colOff>
      <xdr:row>2</xdr:row>
      <xdr:rowOff>161925</xdr:rowOff>
    </xdr:from>
    <xdr:ext cx="2790824" cy="254557"/>
    <xdr:sp macro="" textlink="">
      <xdr:nvSpPr>
        <xdr:cNvPr id="12" name="11 CuadroTexto">
          <a:extLst>
            <a:ext uri="{FF2B5EF4-FFF2-40B4-BE49-F238E27FC236}">
              <a16:creationId xmlns:a16="http://schemas.microsoft.com/office/drawing/2014/main"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id="{00000000-0008-0000-1F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40</xdr:row>
      <xdr:rowOff>0</xdr:rowOff>
    </xdr:from>
    <xdr:ext cx="2925416" cy="609013"/>
    <xdr:sp macro="" textlink="">
      <xdr:nvSpPr>
        <xdr:cNvPr id="4" name="CuadroTexto 1">
          <a:extLst>
            <a:ext uri="{FF2B5EF4-FFF2-40B4-BE49-F238E27FC236}">
              <a16:creationId xmlns:a16="http://schemas.microsoft.com/office/drawing/2014/main"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3</xdr:col>
      <xdr:colOff>0</xdr:colOff>
      <xdr:row>40</xdr:row>
      <xdr:rowOff>0</xdr:rowOff>
    </xdr:from>
    <xdr:ext cx="2855141" cy="662517"/>
    <xdr:sp macro="" textlink="">
      <xdr:nvSpPr>
        <xdr:cNvPr id="5" name="CuadroTexto 5">
          <a:extLst>
            <a:ext uri="{FF2B5EF4-FFF2-40B4-BE49-F238E27FC236}">
              <a16:creationId xmlns:a16="http://schemas.microsoft.com/office/drawing/2014/main"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169333</xdr:colOff>
      <xdr:row>2</xdr:row>
      <xdr:rowOff>179917</xdr:rowOff>
    </xdr:from>
    <xdr:ext cx="2790824" cy="254557"/>
    <xdr:sp macro="" textlink="">
      <xdr:nvSpPr>
        <xdr:cNvPr id="6" name="5 CuadroTexto">
          <a:extLst>
            <a:ext uri="{FF2B5EF4-FFF2-40B4-BE49-F238E27FC236}">
              <a16:creationId xmlns:a16="http://schemas.microsoft.com/office/drawing/2014/main"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twoCellAnchor>
    <xdr:from>
      <xdr:col>1</xdr:col>
      <xdr:colOff>656168</xdr:colOff>
      <xdr:row>16</xdr:row>
      <xdr:rowOff>95252</xdr:rowOff>
    </xdr:from>
    <xdr:to>
      <xdr:col>4</xdr:col>
      <xdr:colOff>550334</xdr:colOff>
      <xdr:row>23</xdr:row>
      <xdr:rowOff>190502</xdr:rowOff>
    </xdr:to>
    <xdr:sp macro="" textlink="">
      <xdr:nvSpPr>
        <xdr:cNvPr id="7" name="6 CuadroTexto">
          <a:extLst>
            <a:ext uri="{FF2B5EF4-FFF2-40B4-BE49-F238E27FC236}">
              <a16:creationId xmlns:a16="http://schemas.microsoft.com/office/drawing/2014/main" id="{00000000-0008-0000-1F00-000007000000}"/>
            </a:ext>
          </a:extLst>
        </xdr:cNvPr>
        <xdr:cNvSpPr txBox="1"/>
      </xdr:nvSpPr>
      <xdr:spPr>
        <a:xfrm>
          <a:off x="783168" y="3672419"/>
          <a:ext cx="5312833" cy="157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3600" b="1"/>
            <a:t>NO</a:t>
          </a:r>
          <a:r>
            <a:rPr lang="es-MX" sz="3600" b="1" baseline="0"/>
            <a:t> APLICA                  </a:t>
          </a:r>
        </a:p>
        <a:p>
          <a:pPr algn="ctr"/>
          <a:r>
            <a:rPr lang="es-MX" sz="3600" b="1" baseline="0"/>
            <a:t>No se realizó Obra Pública.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0</xdr:row>
          <xdr:rowOff>9525</xdr:rowOff>
        </xdr:from>
        <xdr:to>
          <xdr:col>21</xdr:col>
          <xdr:colOff>619125</xdr:colOff>
          <xdr:row>69</xdr:row>
          <xdr:rowOff>9950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2000-000001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123825</xdr:rowOff>
        </xdr:from>
        <xdr:to>
          <xdr:col>21</xdr:col>
          <xdr:colOff>552450</xdr:colOff>
          <xdr:row>140</xdr:row>
          <xdr:rowOff>74933</xdr:rowOff>
        </xdr:to>
        <xdr:sp macro="" textlink="">
          <xdr:nvSpPr>
            <xdr:cNvPr id="98306" name="AutoShape 2" hidden="1">
              <a:extLst>
                <a:ext uri="{63B3BB69-23CF-44E3-9099-C40C66FF867C}">
                  <a14:compatExt spid="_x0000_s98306"/>
                </a:ext>
                <a:ext uri="{FF2B5EF4-FFF2-40B4-BE49-F238E27FC236}">
                  <a16:creationId xmlns:a16="http://schemas.microsoft.com/office/drawing/2014/main" id="{00000000-0008-0000-2000-0000028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314325</xdr:colOff>
      <xdr:row>3</xdr:row>
      <xdr:rowOff>9525</xdr:rowOff>
    </xdr:from>
    <xdr:ext cx="2790824" cy="254557"/>
    <xdr:sp macro="" textlink="">
      <xdr:nvSpPr>
        <xdr:cNvPr id="7" name="6 CuadroTexto">
          <a:extLst>
            <a:ext uri="{FF2B5EF4-FFF2-40B4-BE49-F238E27FC236}">
              <a16:creationId xmlns:a16="http://schemas.microsoft.com/office/drawing/2014/main"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89</xdr:row>
      <xdr:rowOff>0</xdr:rowOff>
    </xdr:from>
    <xdr:ext cx="3200400" cy="662517"/>
    <xdr:sp macro="" textlink="">
      <xdr:nvSpPr>
        <xdr:cNvPr id="5" name="CuadroTexto 5">
          <a:extLst>
            <a:ext uri="{FF2B5EF4-FFF2-40B4-BE49-F238E27FC236}">
              <a16:creationId xmlns:a16="http://schemas.microsoft.com/office/drawing/2014/main"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t>
          </a:r>
          <a:r>
            <a:rPr lang="es-MX" sz="1200" baseline="0"/>
            <a:t>A GENERAL</a:t>
          </a:r>
          <a:endParaRPr lang="es-MX" sz="1200"/>
        </a:p>
      </xdr:txBody>
    </xdr:sp>
    <xdr:clientData/>
  </xdr:oneCellAnchor>
  <xdr:oneCellAnchor>
    <xdr:from>
      <xdr:col>1</xdr:col>
      <xdr:colOff>3581401</xdr:colOff>
      <xdr:row>89</xdr:row>
      <xdr:rowOff>0</xdr:rowOff>
    </xdr:from>
    <xdr:ext cx="3086100" cy="662517"/>
    <xdr:sp macro="" textlink="">
      <xdr:nvSpPr>
        <xdr:cNvPr id="7" name="CuadroTexto 5">
          <a:extLst>
            <a:ext uri="{FF2B5EF4-FFF2-40B4-BE49-F238E27FC236}">
              <a16:creationId xmlns:a16="http://schemas.microsoft.com/office/drawing/2014/main"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4010025</xdr:colOff>
      <xdr:row>3</xdr:row>
      <xdr:rowOff>38100</xdr:rowOff>
    </xdr:from>
    <xdr:ext cx="2790824" cy="254557"/>
    <xdr:sp macro="" textlink="">
      <xdr:nvSpPr>
        <xdr:cNvPr id="6" name="5 CuadroTexto">
          <a:extLst>
            <a:ext uri="{FF2B5EF4-FFF2-40B4-BE49-F238E27FC236}">
              <a16:creationId xmlns:a16="http://schemas.microsoft.com/office/drawing/2014/main"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25</xdr:row>
      <xdr:rowOff>0</xdr:rowOff>
    </xdr:from>
    <xdr:ext cx="2905125" cy="662517"/>
    <xdr:sp macro="" textlink="">
      <xdr:nvSpPr>
        <xdr:cNvPr id="5" name="CuadroTexto 5">
          <a:extLst>
            <a:ext uri="{FF2B5EF4-FFF2-40B4-BE49-F238E27FC236}">
              <a16:creationId xmlns:a16="http://schemas.microsoft.com/office/drawing/2014/main"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402167</xdr:colOff>
      <xdr:row>25</xdr:row>
      <xdr:rowOff>21166</xdr:rowOff>
    </xdr:from>
    <xdr:ext cx="2905125" cy="662517"/>
    <xdr:sp macro="" textlink="">
      <xdr:nvSpPr>
        <xdr:cNvPr id="7" name="CuadroTexto 5">
          <a:extLst>
            <a:ext uri="{FF2B5EF4-FFF2-40B4-BE49-F238E27FC236}">
              <a16:creationId xmlns:a16="http://schemas.microsoft.com/office/drawing/2014/main" id="{00000000-0008-0000-2400-000007000000}"/>
            </a:ext>
          </a:extLst>
        </xdr:cNvPr>
        <xdr:cNvSpPr txBox="1"/>
      </xdr:nvSpPr>
      <xdr:spPr>
        <a:xfrm>
          <a:off x="3280834" y="8794749"/>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793749</xdr:colOff>
      <xdr:row>2</xdr:row>
      <xdr:rowOff>201084</xdr:rowOff>
    </xdr:from>
    <xdr:ext cx="2790824" cy="254557"/>
    <xdr:sp macro="" textlink="">
      <xdr:nvSpPr>
        <xdr:cNvPr id="8" name="7 CuadroTexto">
          <a:extLst>
            <a:ext uri="{FF2B5EF4-FFF2-40B4-BE49-F238E27FC236}">
              <a16:creationId xmlns:a16="http://schemas.microsoft.com/office/drawing/2014/main"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2</xdr:col>
      <xdr:colOff>2124075</xdr:colOff>
      <xdr:row>0</xdr:row>
      <xdr:rowOff>0</xdr:rowOff>
    </xdr:from>
    <xdr:ext cx="990600" cy="257175"/>
    <xdr:sp macro="" textlink="">
      <xdr:nvSpPr>
        <xdr:cNvPr id="2" name="3 CuadroTexto">
          <a:extLst>
            <a:ext uri="{FF2B5EF4-FFF2-40B4-BE49-F238E27FC236}">
              <a16:creationId xmlns:a16="http://schemas.microsoft.com/office/drawing/2014/main" id="{00000000-0008-0000-2500-000002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ETCA-IV-06</a:t>
          </a:r>
        </a:p>
      </xdr:txBody>
    </xdr:sp>
    <xdr:clientData/>
  </xdr:oneCellAnchor>
  <xdr:oneCellAnchor>
    <xdr:from>
      <xdr:col>2</xdr:col>
      <xdr:colOff>1143000</xdr:colOff>
      <xdr:row>3</xdr:row>
      <xdr:rowOff>0</xdr:rowOff>
    </xdr:from>
    <xdr:ext cx="1838325" cy="257175"/>
    <xdr:sp macro="" textlink="">
      <xdr:nvSpPr>
        <xdr:cNvPr id="3" name="3 CuadroTexto">
          <a:extLst>
            <a:ext uri="{FF2B5EF4-FFF2-40B4-BE49-F238E27FC236}">
              <a16:creationId xmlns:a16="http://schemas.microsoft.com/office/drawing/2014/main" id="{00000000-0008-0000-2500-000003000000}"/>
            </a:ext>
          </a:extLst>
        </xdr:cNvPr>
        <xdr:cNvSpPr txBox="1"/>
      </xdr:nvSpPr>
      <xdr:spPr>
        <a:xfrm>
          <a:off x="5648325" y="600075"/>
          <a:ext cx="1838325"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              </a:t>
          </a:r>
          <a:endParaRPr lang="es-MX" sz="1100" b="1">
            <a:latin typeface="Arial" pitchFamily="34" charset="0"/>
            <a:cs typeface="Arial" pitchFamily="34" charset="0"/>
          </a:endParaRPr>
        </a:p>
      </xdr:txBody>
    </xdr:sp>
    <xdr:clientData/>
  </xdr:oneCellAnchor>
  <xdr:oneCellAnchor>
    <xdr:from>
      <xdr:col>0</xdr:col>
      <xdr:colOff>0</xdr:colOff>
      <xdr:row>525</xdr:row>
      <xdr:rowOff>0</xdr:rowOff>
    </xdr:from>
    <xdr:ext cx="2905125" cy="662517"/>
    <xdr:sp macro="" textlink="">
      <xdr:nvSpPr>
        <xdr:cNvPr id="4" name="CuadroTexto 5">
          <a:extLst>
            <a:ext uri="{FF2B5EF4-FFF2-40B4-BE49-F238E27FC236}">
              <a16:creationId xmlns:a16="http://schemas.microsoft.com/office/drawing/2014/main" id="{00000000-0008-0000-2500-000004000000}"/>
            </a:ext>
          </a:extLst>
        </xdr:cNvPr>
        <xdr:cNvSpPr txBox="1"/>
      </xdr:nvSpPr>
      <xdr:spPr>
        <a:xfrm>
          <a:off x="0" y="113699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1</xdr:col>
      <xdr:colOff>2266950</xdr:colOff>
      <xdr:row>525</xdr:row>
      <xdr:rowOff>9525</xdr:rowOff>
    </xdr:from>
    <xdr:ext cx="2905125" cy="662517"/>
    <xdr:sp macro="" textlink="">
      <xdr:nvSpPr>
        <xdr:cNvPr id="5" name="CuadroTexto 5">
          <a:extLst>
            <a:ext uri="{FF2B5EF4-FFF2-40B4-BE49-F238E27FC236}">
              <a16:creationId xmlns:a16="http://schemas.microsoft.com/office/drawing/2014/main" id="{00000000-0008-0000-2500-000005000000}"/>
            </a:ext>
          </a:extLst>
        </xdr:cNvPr>
        <xdr:cNvSpPr txBox="1"/>
      </xdr:nvSpPr>
      <xdr:spPr>
        <a:xfrm>
          <a:off x="4200525" y="1137094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1489731</xdr:colOff>
      <xdr:row>0</xdr:row>
      <xdr:rowOff>0</xdr:rowOff>
    </xdr:from>
    <xdr:ext cx="184731" cy="254557"/>
    <xdr:sp macro="" textlink="">
      <xdr:nvSpPr>
        <xdr:cNvPr id="7" name="3 CuadroTexto">
          <a:extLst>
            <a:ext uri="{FF2B5EF4-FFF2-40B4-BE49-F238E27FC236}">
              <a16:creationId xmlns:a16="http://schemas.microsoft.com/office/drawing/2014/main" id="{00000000-0008-0000-2500-000007000000}"/>
            </a:ext>
          </a:extLst>
        </xdr:cNvPr>
        <xdr:cNvSpPr txBox="1"/>
      </xdr:nvSpPr>
      <xdr:spPr>
        <a:xfrm>
          <a:off x="5995056" y="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2</xdr:col>
      <xdr:colOff>2124075</xdr:colOff>
      <xdr:row>0</xdr:row>
      <xdr:rowOff>0</xdr:rowOff>
    </xdr:from>
    <xdr:ext cx="990600" cy="257175"/>
    <xdr:sp macro="" textlink="">
      <xdr:nvSpPr>
        <xdr:cNvPr id="8" name="3 CuadroTexto">
          <a:extLst>
            <a:ext uri="{FF2B5EF4-FFF2-40B4-BE49-F238E27FC236}">
              <a16:creationId xmlns:a16="http://schemas.microsoft.com/office/drawing/2014/main" id="{00000000-0008-0000-2500-000008000000}"/>
            </a:ext>
          </a:extLst>
        </xdr:cNvPr>
        <xdr:cNvSpPr txBox="1"/>
      </xdr:nvSpPr>
      <xdr:spPr>
        <a:xfrm>
          <a:off x="6629400" y="0"/>
          <a:ext cx="990600" cy="2571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ETCA-IV-06</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78</xdr:row>
      <xdr:rowOff>127001</xdr:rowOff>
    </xdr:from>
    <xdr:ext cx="2905125" cy="662517"/>
    <xdr:sp macro="" textlink="">
      <xdr:nvSpPr>
        <xdr:cNvPr id="4" name="CuadroTexto 5">
          <a:extLst>
            <a:ext uri="{FF2B5EF4-FFF2-40B4-BE49-F238E27FC236}">
              <a16:creationId xmlns:a16="http://schemas.microsoft.com/office/drawing/2014/main"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p>
        <a:p>
          <a:pPr algn="ctr"/>
          <a:endParaRPr lang="es-MX" sz="1100"/>
        </a:p>
      </xdr:txBody>
    </xdr:sp>
    <xdr:clientData/>
  </xdr:oneCellAnchor>
  <xdr:oneCellAnchor>
    <xdr:from>
      <xdr:col>3</xdr:col>
      <xdr:colOff>158750</xdr:colOff>
      <xdr:row>78</xdr:row>
      <xdr:rowOff>127001</xdr:rowOff>
    </xdr:from>
    <xdr:ext cx="2905125" cy="662517"/>
    <xdr:sp macro="" textlink="">
      <xdr:nvSpPr>
        <xdr:cNvPr id="5" name="CuadroTexto 5">
          <a:extLst>
            <a:ext uri="{FF2B5EF4-FFF2-40B4-BE49-F238E27FC236}">
              <a16:creationId xmlns:a16="http://schemas.microsoft.com/office/drawing/2014/main"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p>
        <a:p>
          <a:pPr algn="ctr"/>
          <a:endParaRPr lang="es-MX" sz="1100"/>
        </a:p>
      </xdr:txBody>
    </xdr:sp>
    <xdr:clientData/>
  </xdr:oneCellAnchor>
  <xdr:oneCellAnchor>
    <xdr:from>
      <xdr:col>3</xdr:col>
      <xdr:colOff>920749</xdr:colOff>
      <xdr:row>2</xdr:row>
      <xdr:rowOff>21166</xdr:rowOff>
    </xdr:from>
    <xdr:ext cx="2106084" cy="243417"/>
    <xdr:sp macro="" textlink="">
      <xdr:nvSpPr>
        <xdr:cNvPr id="6" name="5 CuadroTexto">
          <a:extLst>
            <a:ext uri="{FF2B5EF4-FFF2-40B4-BE49-F238E27FC236}">
              <a16:creationId xmlns:a16="http://schemas.microsoft.com/office/drawing/2014/main"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2</xdr:col>
      <xdr:colOff>97367</xdr:colOff>
      <xdr:row>18</xdr:row>
      <xdr:rowOff>213784</xdr:rowOff>
    </xdr:from>
    <xdr:ext cx="3333750" cy="1100665"/>
    <xdr:sp macro="" textlink="">
      <xdr:nvSpPr>
        <xdr:cNvPr id="12" name="CuadroTexto 5">
          <a:extLst>
            <a:ext uri="{FF2B5EF4-FFF2-40B4-BE49-F238E27FC236}">
              <a16:creationId xmlns:a16="http://schemas.microsoft.com/office/drawing/2014/main" id="{00000000-0008-0000-2700-00000C000000}"/>
            </a:ext>
          </a:extLst>
        </xdr:cNvPr>
        <xdr:cNvSpPr txBox="1"/>
      </xdr:nvSpPr>
      <xdr:spPr>
        <a:xfrm>
          <a:off x="2259542" y="6300259"/>
          <a:ext cx="3333750" cy="1100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900" b="0"/>
            <a:t>Nota : Este</a:t>
          </a:r>
          <a:r>
            <a:rPr lang="es-MX" sz="900" b="0" baseline="0"/>
            <a:t> formato No Aplica Órganos  Autónomos</a:t>
          </a:r>
        </a:p>
        <a:p>
          <a:r>
            <a:rPr lang="es-MX" sz="900" b="0" baseline="0"/>
            <a:t>Poder Legislativo, Poder Judicial.</a:t>
          </a:r>
          <a:endParaRPr lang="es-MX" sz="900" b="0"/>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id="{00000000-0008-0000-27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id="{00000000-0008-0000-27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id="{00000000-0008-0000-27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260350</xdr:colOff>
      <xdr:row>1</xdr:row>
      <xdr:rowOff>158750</xdr:rowOff>
    </xdr:from>
    <xdr:ext cx="2790824" cy="254557"/>
    <xdr:sp macro="" textlink="">
      <xdr:nvSpPr>
        <xdr:cNvPr id="4" name="8 CuadroTexto">
          <a:extLst>
            <a:ext uri="{FF2B5EF4-FFF2-40B4-BE49-F238E27FC236}">
              <a16:creationId xmlns:a16="http://schemas.microsoft.com/office/drawing/2014/main" id="{00000000-0008-0000-0400-000004000000}"/>
            </a:ext>
          </a:extLst>
        </xdr:cNvPr>
        <xdr:cNvSpPr txBox="1"/>
      </xdr:nvSpPr>
      <xdr:spPr>
        <a:xfrm>
          <a:off x="54705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5</xdr:col>
      <xdr:colOff>111125</xdr:colOff>
      <xdr:row>0</xdr:row>
      <xdr:rowOff>0</xdr:rowOff>
    </xdr:from>
    <xdr:ext cx="858825" cy="254557"/>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7597775"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id="{00000000-0008-0000-0500-000003000000}"/>
            </a:ext>
          </a:extLst>
        </xdr:cNvPr>
        <xdr:cNvSpPr txBox="1"/>
      </xdr:nvSpPr>
      <xdr:spPr>
        <a:xfrm>
          <a:off x="6673666"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4736041</xdr:colOff>
      <xdr:row>1</xdr:row>
      <xdr:rowOff>179916</xdr:rowOff>
    </xdr:from>
    <xdr:ext cx="2790824" cy="254557"/>
    <xdr:sp macro="" textlink="">
      <xdr:nvSpPr>
        <xdr:cNvPr id="8" name="8 CuadroTexto">
          <a:extLst>
            <a:ext uri="{FF2B5EF4-FFF2-40B4-BE49-F238E27FC236}">
              <a16:creationId xmlns:a16="http://schemas.microsoft.com/office/drawing/2014/main" id="{00000000-0008-0000-0500-000008000000}"/>
            </a:ext>
          </a:extLst>
        </xdr:cNvPr>
        <xdr:cNvSpPr txBox="1"/>
      </xdr:nvSpPr>
      <xdr:spPr>
        <a:xfrm>
          <a:off x="4736041" y="391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0</xdr:col>
      <xdr:colOff>0</xdr:colOff>
      <xdr:row>63</xdr:row>
      <xdr:rowOff>114300</xdr:rowOff>
    </xdr:from>
    <xdr:ext cx="2892425" cy="682624"/>
    <xdr:sp macro="" textlink="">
      <xdr:nvSpPr>
        <xdr:cNvPr id="9" name="CuadroTexto 5">
          <a:extLst>
            <a:ext uri="{FF2B5EF4-FFF2-40B4-BE49-F238E27FC236}">
              <a16:creationId xmlns:a16="http://schemas.microsoft.com/office/drawing/2014/main"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0</xdr:col>
      <xdr:colOff>4333875</xdr:colOff>
      <xdr:row>63</xdr:row>
      <xdr:rowOff>123825</xdr:rowOff>
    </xdr:from>
    <xdr:ext cx="2817812" cy="722313"/>
    <xdr:sp macro="" textlink="">
      <xdr:nvSpPr>
        <xdr:cNvPr id="10" name="CuadroTexto 5">
          <a:extLst>
            <a:ext uri="{FF2B5EF4-FFF2-40B4-BE49-F238E27FC236}">
              <a16:creationId xmlns:a16="http://schemas.microsoft.com/office/drawing/2014/main"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baseline="0"/>
            <a:t>LIC. TALINA MARTINEZ RAMOS</a:t>
          </a:r>
        </a:p>
        <a:p>
          <a:pPr algn="ctr"/>
          <a:r>
            <a:rPr lang="es-MX" sz="1100" baseline="0"/>
            <a:t>GERENTE DE ADMINISTRACION Y FINANZAS</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65</xdr:row>
      <xdr:rowOff>43962</xdr:rowOff>
    </xdr:from>
    <xdr:ext cx="2652346" cy="681404"/>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1</xdr:col>
      <xdr:colOff>3033345</xdr:colOff>
      <xdr:row>65</xdr:row>
      <xdr:rowOff>51288</xdr:rowOff>
    </xdr:from>
    <xdr:ext cx="2850173" cy="674077"/>
    <xdr:sp macro="" textlink="">
      <xdr:nvSpPr>
        <xdr:cNvPr id="7" name="CuadroTexto 5">
          <a:extLst>
            <a:ext uri="{FF2B5EF4-FFF2-40B4-BE49-F238E27FC236}">
              <a16:creationId xmlns:a16="http://schemas.microsoft.com/office/drawing/2014/main"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3135923</xdr:colOff>
      <xdr:row>2</xdr:row>
      <xdr:rowOff>139212</xdr:rowOff>
    </xdr:from>
    <xdr:ext cx="2790824" cy="254557"/>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792508</xdr:colOff>
      <xdr:row>0</xdr:row>
      <xdr:rowOff>19050</xdr:rowOff>
    </xdr:from>
    <xdr:ext cx="858825" cy="254557"/>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5574058" y="1905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30</xdr:row>
      <xdr:rowOff>0</xdr:rowOff>
    </xdr:from>
    <xdr:ext cx="3019425" cy="662517"/>
    <xdr:sp macro="" textlink="">
      <xdr:nvSpPr>
        <xdr:cNvPr id="7" name="CuadroTexto 5">
          <a:extLst>
            <a:ext uri="{FF2B5EF4-FFF2-40B4-BE49-F238E27FC236}">
              <a16:creationId xmlns:a16="http://schemas.microsoft.com/office/drawing/2014/main"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OCAÑA ENCINAS</a:t>
          </a:r>
          <a:endParaRPr lang="es-MX" sz="1100"/>
        </a:p>
        <a:p>
          <a:pPr algn="ctr"/>
          <a:r>
            <a:rPr lang="es-MX" sz="1100"/>
            <a:t>DIRECTORA</a:t>
          </a:r>
          <a:r>
            <a:rPr lang="es-MX" sz="1100" baseline="0"/>
            <a:t> GENERAL</a:t>
          </a:r>
          <a:endParaRPr lang="es-MX" sz="1100"/>
        </a:p>
      </xdr:txBody>
    </xdr:sp>
    <xdr:clientData/>
  </xdr:oneCellAnchor>
  <xdr:oneCellAnchor>
    <xdr:from>
      <xdr:col>3</xdr:col>
      <xdr:colOff>571501</xdr:colOff>
      <xdr:row>30</xdr:row>
      <xdr:rowOff>0</xdr:rowOff>
    </xdr:from>
    <xdr:ext cx="2733674" cy="662517"/>
    <xdr:sp macro="" textlink="">
      <xdr:nvSpPr>
        <xdr:cNvPr id="8" name="CuadroTexto 5">
          <a:extLst>
            <a:ext uri="{FF2B5EF4-FFF2-40B4-BE49-F238E27FC236}">
              <a16:creationId xmlns:a16="http://schemas.microsoft.com/office/drawing/2014/main"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561975</xdr:colOff>
      <xdr:row>2</xdr:row>
      <xdr:rowOff>152400</xdr:rowOff>
    </xdr:from>
    <xdr:ext cx="2790824" cy="254557"/>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249583</xdr:colOff>
      <xdr:row>0</xdr:row>
      <xdr:rowOff>47625</xdr:rowOff>
    </xdr:from>
    <xdr:ext cx="858825" cy="254557"/>
    <xdr:sp macro="" textlink="">
      <xdr:nvSpPr>
        <xdr:cNvPr id="2" name="3 CuadroTexto">
          <a:extLst>
            <a:ext uri="{FF2B5EF4-FFF2-40B4-BE49-F238E27FC236}">
              <a16:creationId xmlns:a16="http://schemas.microsoft.com/office/drawing/2014/main" id="{00000000-0008-0000-0800-000002000000}"/>
            </a:ext>
          </a:extLst>
        </xdr:cNvPr>
        <xdr:cNvSpPr txBox="1"/>
      </xdr:nvSpPr>
      <xdr:spPr>
        <a:xfrm>
          <a:off x="5615333" y="47625"/>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42</xdr:row>
      <xdr:rowOff>57150</xdr:rowOff>
    </xdr:from>
    <xdr:ext cx="3019425" cy="695325"/>
    <xdr:sp macro="" textlink="">
      <xdr:nvSpPr>
        <xdr:cNvPr id="4" name="CuadroTexto 5">
          <a:extLst>
            <a:ext uri="{FF2B5EF4-FFF2-40B4-BE49-F238E27FC236}">
              <a16:creationId xmlns:a16="http://schemas.microsoft.com/office/drawing/2014/main"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KARLA PAULINA OACÑA ENCINAS</a:t>
          </a:r>
          <a:endParaRPr lang="es-MX" sz="1100"/>
        </a:p>
        <a:p>
          <a:pPr algn="ctr"/>
          <a:r>
            <a:rPr lang="es-MX" sz="1100"/>
            <a:t>DIRECTORA</a:t>
          </a:r>
          <a:r>
            <a:rPr lang="es-MX" sz="1100" baseline="0"/>
            <a:t> GENERAL</a:t>
          </a:r>
        </a:p>
        <a:p>
          <a:pPr algn="ctr"/>
          <a:endParaRPr lang="es-MX" sz="1100"/>
        </a:p>
      </xdr:txBody>
    </xdr:sp>
    <xdr:clientData/>
  </xdr:oneCellAnchor>
  <xdr:oneCellAnchor>
    <xdr:from>
      <xdr:col>3</xdr:col>
      <xdr:colOff>0</xdr:colOff>
      <xdr:row>42</xdr:row>
      <xdr:rowOff>47624</xdr:rowOff>
    </xdr:from>
    <xdr:ext cx="3019425" cy="666751"/>
    <xdr:sp macro="" textlink="">
      <xdr:nvSpPr>
        <xdr:cNvPr id="5" name="CuadroTexto 5">
          <a:extLst>
            <a:ext uri="{FF2B5EF4-FFF2-40B4-BE49-F238E27FC236}">
              <a16:creationId xmlns:a16="http://schemas.microsoft.com/office/drawing/2014/main"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TALINA MARTINEZ RAMOS</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392642</xdr:colOff>
      <xdr:row>2</xdr:row>
      <xdr:rowOff>180975</xdr:rowOff>
    </xdr:from>
    <xdr:ext cx="2790824" cy="254557"/>
    <xdr:sp macro="" textlink="">
      <xdr:nvSpPr>
        <xdr:cNvPr id="6" name="6 CuadroTexto">
          <a:extLst>
            <a:ext uri="{FF2B5EF4-FFF2-40B4-BE49-F238E27FC236}">
              <a16:creationId xmlns:a16="http://schemas.microsoft.com/office/drawing/2014/main" id="{00000000-0008-0000-0800-000006000000}"/>
            </a:ext>
          </a:extLst>
        </xdr:cNvPr>
        <xdr:cNvSpPr txBox="1"/>
      </xdr:nvSpPr>
      <xdr:spPr>
        <a:xfrm>
          <a:off x="3535892" y="614892"/>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39</xdr:row>
      <xdr:rowOff>0</xdr:rowOff>
    </xdr:from>
    <xdr:ext cx="3200400" cy="662517"/>
    <xdr:sp macro="" textlink="">
      <xdr:nvSpPr>
        <xdr:cNvPr id="5" name="CuadroTexto 5">
          <a:extLst>
            <a:ext uri="{FF2B5EF4-FFF2-40B4-BE49-F238E27FC236}">
              <a16:creationId xmlns:a16="http://schemas.microsoft.com/office/drawing/2014/main"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KARLA PAULINA OCAÑA ENCINAS</a:t>
          </a:r>
          <a:endParaRPr lang="es-MX" sz="1200"/>
        </a:p>
        <a:p>
          <a:pPr algn="ctr"/>
          <a:r>
            <a:rPr lang="es-MX" sz="1200"/>
            <a:t>DIRECTORA</a:t>
          </a:r>
          <a:r>
            <a:rPr lang="es-MX" sz="1200" baseline="0"/>
            <a:t> GENERAL</a:t>
          </a:r>
          <a:endParaRPr lang="es-MX" sz="1200"/>
        </a:p>
      </xdr:txBody>
    </xdr:sp>
    <xdr:clientData/>
  </xdr:oneCellAnchor>
  <xdr:oneCellAnchor>
    <xdr:from>
      <xdr:col>5</xdr:col>
      <xdr:colOff>0</xdr:colOff>
      <xdr:row>39</xdr:row>
      <xdr:rowOff>0</xdr:rowOff>
    </xdr:from>
    <xdr:ext cx="3305175" cy="662517"/>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TALINA MARTINEZ RAMOS</a:t>
          </a:r>
        </a:p>
        <a:p>
          <a:pPr algn="ctr"/>
          <a:r>
            <a:rPr lang="es-MX" sz="1200"/>
            <a:t>GERENTE</a:t>
          </a:r>
          <a:r>
            <a:rPr lang="es-MX" sz="1200" baseline="0"/>
            <a:t> DE ADMINISTRACION Y FINANZAS</a:t>
          </a:r>
          <a:endParaRPr lang="es-MX" sz="1200"/>
        </a:p>
      </xdr:txBody>
    </xdr:sp>
    <xdr:clientData/>
  </xdr:oneCellAnchor>
  <xdr:oneCellAnchor>
    <xdr:from>
      <xdr:col>5</xdr:col>
      <xdr:colOff>412750</xdr:colOff>
      <xdr:row>2</xdr:row>
      <xdr:rowOff>68262</xdr:rowOff>
    </xdr:from>
    <xdr:ext cx="2790824" cy="254557"/>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5222875" y="46513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on/AppData/Local/Temp/Temp1_TELEMAX%20ETCAS%20SEGUNDO%20TRIMESTRE%202020.zip/TELEMAX%20ETCAS%20SEGUNDO%20TRIMESTRE%202020/actualizacion-formatos-etca-ejercico-2020-y-anexos_ma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ANEXO A"/>
      <sheetName val="ANEXO B"/>
      <sheetName val="ANEXO C"/>
    </sheetNames>
    <sheetDataSet>
      <sheetData sheetId="0" refreshError="1"/>
      <sheetData sheetId="1" refreshError="1">
        <row r="1">
          <cell r="A1" t="str">
            <v>TELEVISORA DE HERMOSILLO, S.A. DE C.V.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32.xml"/><Relationship Id="rId1" Type="http://schemas.openxmlformats.org/officeDocument/2006/relationships/printerSettings" Target="../printerSettings/printerSettings3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historial.gabinete.mx/images/encuestas/encuesta_nacional_2016/ciudades/ciudades_mas_habitables_2016.pdf" TargetMode="External"/><Relationship Id="rId1" Type="http://schemas.openxmlformats.org/officeDocument/2006/relationships/hyperlink" Target="http://historial.gabinete.mx/images/encuestas/encuesta_nacional_2016/ciudades/ciudades_mas_habitables_2016.pdf"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view="pageBreakPreview" zoomScaleNormal="100" zoomScaleSheetLayoutView="100" workbookViewId="0">
      <selection activeCell="B3" sqref="B3"/>
    </sheetView>
  </sheetViews>
  <sheetFormatPr baseColWidth="10" defaultRowHeight="15" x14ac:dyDescent="0.25"/>
  <cols>
    <col min="3" max="3" width="68.42578125" customWidth="1"/>
  </cols>
  <sheetData>
    <row r="1" spans="1:3" s="3" customFormat="1" ht="27.75" customHeight="1" x14ac:dyDescent="0.4">
      <c r="A1" s="765"/>
      <c r="B1" s="40" t="s">
        <v>0</v>
      </c>
      <c r="C1" s="765"/>
    </row>
    <row r="2" spans="1:3" s="3" customFormat="1" ht="4.5" customHeight="1" x14ac:dyDescent="0.3">
      <c r="A2" s="765"/>
      <c r="B2" s="765"/>
      <c r="C2" s="765"/>
    </row>
    <row r="3" spans="1:3" s="3" customFormat="1" ht="19.5" customHeight="1" thickBot="1" x14ac:dyDescent="0.35">
      <c r="A3" s="42" t="s">
        <v>1087</v>
      </c>
      <c r="B3" s="41"/>
      <c r="C3" s="41"/>
    </row>
    <row r="4" spans="1:3" ht="17.25" customHeight="1" thickBot="1" x14ac:dyDescent="0.3">
      <c r="A4" s="1138" t="s">
        <v>917</v>
      </c>
      <c r="B4" s="1139"/>
      <c r="C4" s="1140"/>
    </row>
    <row r="5" spans="1:3" ht="17.25" customHeight="1" thickBot="1" x14ac:dyDescent="0.3">
      <c r="A5" s="766">
        <v>1</v>
      </c>
      <c r="B5" s="767" t="s">
        <v>1048</v>
      </c>
      <c r="C5" s="767" t="s">
        <v>22</v>
      </c>
    </row>
    <row r="6" spans="1:3" ht="17.25" customHeight="1" thickBot="1" x14ac:dyDescent="0.3">
      <c r="A6" s="768">
        <v>2</v>
      </c>
      <c r="B6" s="769" t="s">
        <v>1049</v>
      </c>
      <c r="C6" s="769" t="s">
        <v>918</v>
      </c>
    </row>
    <row r="7" spans="1:3" ht="17.25" customHeight="1" thickBot="1" x14ac:dyDescent="0.3">
      <c r="A7" s="766">
        <v>3</v>
      </c>
      <c r="B7" s="767" t="s">
        <v>1050</v>
      </c>
      <c r="C7" s="767" t="s">
        <v>1</v>
      </c>
    </row>
    <row r="8" spans="1:3" ht="17.25" customHeight="1" thickBot="1" x14ac:dyDescent="0.3">
      <c r="A8" s="766">
        <v>4</v>
      </c>
      <c r="B8" s="767" t="s">
        <v>1051</v>
      </c>
      <c r="C8" s="767" t="s">
        <v>2</v>
      </c>
    </row>
    <row r="9" spans="1:3" ht="17.25" customHeight="1" thickBot="1" x14ac:dyDescent="0.3">
      <c r="A9" s="766">
        <v>5</v>
      </c>
      <c r="B9" s="767" t="s">
        <v>1052</v>
      </c>
      <c r="C9" s="767" t="s">
        <v>3</v>
      </c>
    </row>
    <row r="10" spans="1:3" ht="17.25" customHeight="1" thickBot="1" x14ac:dyDescent="0.3">
      <c r="A10" s="766">
        <v>6</v>
      </c>
      <c r="B10" s="767" t="s">
        <v>1053</v>
      </c>
      <c r="C10" s="767" t="s">
        <v>4</v>
      </c>
    </row>
    <row r="11" spans="1:3" ht="17.25" customHeight="1" thickBot="1" x14ac:dyDescent="0.3">
      <c r="A11" s="766">
        <v>7</v>
      </c>
      <c r="B11" s="767" t="s">
        <v>1054</v>
      </c>
      <c r="C11" s="767" t="s">
        <v>5</v>
      </c>
    </row>
    <row r="12" spans="1:3" ht="17.25" customHeight="1" thickBot="1" x14ac:dyDescent="0.3">
      <c r="A12" s="766">
        <v>8</v>
      </c>
      <c r="B12" s="767" t="s">
        <v>1055</v>
      </c>
      <c r="C12" s="767" t="s">
        <v>6</v>
      </c>
    </row>
    <row r="13" spans="1:3" ht="17.25" customHeight="1" thickBot="1" x14ac:dyDescent="0.3">
      <c r="A13" s="768">
        <v>9</v>
      </c>
      <c r="B13" s="769" t="s">
        <v>1056</v>
      </c>
      <c r="C13" s="769" t="s">
        <v>7</v>
      </c>
    </row>
    <row r="14" spans="1:3" ht="17.25" customHeight="1" thickBot="1" x14ac:dyDescent="0.3">
      <c r="A14" s="768">
        <v>10</v>
      </c>
      <c r="B14" s="769" t="s">
        <v>1057</v>
      </c>
      <c r="C14" s="769" t="s">
        <v>919</v>
      </c>
    </row>
    <row r="15" spans="1:3" ht="17.25" customHeight="1" thickBot="1" x14ac:dyDescent="0.3">
      <c r="A15" s="766">
        <v>11</v>
      </c>
      <c r="B15" s="767" t="s">
        <v>1058</v>
      </c>
      <c r="C15" s="767" t="s">
        <v>8</v>
      </c>
    </row>
    <row r="16" spans="1:3" ht="17.25" customHeight="1" thickBot="1" x14ac:dyDescent="0.3">
      <c r="A16" s="766">
        <v>12</v>
      </c>
      <c r="B16" s="767" t="s">
        <v>1059</v>
      </c>
      <c r="C16" s="767" t="s">
        <v>9</v>
      </c>
    </row>
    <row r="17" spans="1:3" ht="17.25" customHeight="1" thickBot="1" x14ac:dyDescent="0.3">
      <c r="A17" s="1138" t="s">
        <v>10</v>
      </c>
      <c r="B17" s="1139"/>
      <c r="C17" s="1140"/>
    </row>
    <row r="18" spans="1:3" ht="17.25" customHeight="1" thickBot="1" x14ac:dyDescent="0.3">
      <c r="A18" s="766">
        <v>13</v>
      </c>
      <c r="B18" s="767" t="s">
        <v>1060</v>
      </c>
      <c r="C18" s="767" t="s">
        <v>11</v>
      </c>
    </row>
    <row r="19" spans="1:3" ht="17.25" customHeight="1" thickBot="1" x14ac:dyDescent="0.3">
      <c r="A19" s="768">
        <v>14</v>
      </c>
      <c r="B19" s="769" t="s">
        <v>1061</v>
      </c>
      <c r="C19" s="769" t="s">
        <v>920</v>
      </c>
    </row>
    <row r="20" spans="1:3" ht="17.25" customHeight="1" thickBot="1" x14ac:dyDescent="0.3">
      <c r="A20" s="766">
        <v>15</v>
      </c>
      <c r="B20" s="767" t="s">
        <v>1062</v>
      </c>
      <c r="C20" s="767" t="s">
        <v>921</v>
      </c>
    </row>
    <row r="21" spans="1:3" ht="17.25" customHeight="1" thickBot="1" x14ac:dyDescent="0.3">
      <c r="A21" s="766">
        <v>16</v>
      </c>
      <c r="B21" s="767" t="s">
        <v>1063</v>
      </c>
      <c r="C21" s="767" t="s">
        <v>499</v>
      </c>
    </row>
    <row r="22" spans="1:3" ht="17.25" customHeight="1" x14ac:dyDescent="0.25">
      <c r="A22" s="1136">
        <v>17</v>
      </c>
      <c r="B22" s="1136" t="s">
        <v>1064</v>
      </c>
      <c r="C22" s="770" t="s">
        <v>922</v>
      </c>
    </row>
    <row r="23" spans="1:3" ht="17.25" customHeight="1" thickBot="1" x14ac:dyDescent="0.3">
      <c r="A23" s="1137"/>
      <c r="B23" s="1137"/>
      <c r="C23" s="769" t="s">
        <v>923</v>
      </c>
    </row>
    <row r="24" spans="1:3" ht="17.25" customHeight="1" x14ac:dyDescent="0.25">
      <c r="A24" s="1141">
        <v>18</v>
      </c>
      <c r="B24" s="1141" t="s">
        <v>1065</v>
      </c>
      <c r="C24" s="771" t="s">
        <v>499</v>
      </c>
    </row>
    <row r="25" spans="1:3" ht="17.25" customHeight="1" thickBot="1" x14ac:dyDescent="0.3">
      <c r="A25" s="1142"/>
      <c r="B25" s="1142"/>
      <c r="C25" s="767" t="s">
        <v>924</v>
      </c>
    </row>
    <row r="26" spans="1:3" ht="17.25" customHeight="1" x14ac:dyDescent="0.25">
      <c r="A26" s="1141">
        <v>19</v>
      </c>
      <c r="B26" s="1141" t="s">
        <v>1066</v>
      </c>
      <c r="C26" s="771" t="s">
        <v>499</v>
      </c>
    </row>
    <row r="27" spans="1:3" ht="17.25" customHeight="1" thickBot="1" x14ac:dyDescent="0.3">
      <c r="A27" s="1142"/>
      <c r="B27" s="1142"/>
      <c r="C27" s="767" t="s">
        <v>925</v>
      </c>
    </row>
    <row r="28" spans="1:3" ht="17.25" customHeight="1" thickBot="1" x14ac:dyDescent="0.3">
      <c r="A28" s="768">
        <v>20</v>
      </c>
      <c r="B28" s="769" t="s">
        <v>1067</v>
      </c>
      <c r="C28" s="769" t="s">
        <v>12</v>
      </c>
    </row>
    <row r="29" spans="1:3" ht="17.25" customHeight="1" x14ac:dyDescent="0.25">
      <c r="A29" s="1141">
        <v>21</v>
      </c>
      <c r="B29" s="1141" t="s">
        <v>1068</v>
      </c>
      <c r="C29" s="771" t="s">
        <v>499</v>
      </c>
    </row>
    <row r="30" spans="1:3" ht="17.25" customHeight="1" thickBot="1" x14ac:dyDescent="0.3">
      <c r="A30" s="1142"/>
      <c r="B30" s="1142"/>
      <c r="C30" s="767" t="s">
        <v>926</v>
      </c>
    </row>
    <row r="31" spans="1:3" ht="17.25" customHeight="1" x14ac:dyDescent="0.25">
      <c r="A31" s="1141">
        <v>22</v>
      </c>
      <c r="B31" s="1141" t="s">
        <v>1069</v>
      </c>
      <c r="C31" s="771" t="s">
        <v>499</v>
      </c>
    </row>
    <row r="32" spans="1:3" ht="17.25" customHeight="1" thickBot="1" x14ac:dyDescent="0.3">
      <c r="A32" s="1142"/>
      <c r="B32" s="1142"/>
      <c r="C32" s="767" t="s">
        <v>927</v>
      </c>
    </row>
    <row r="33" spans="1:3" ht="17.25" customHeight="1" x14ac:dyDescent="0.25">
      <c r="A33" s="1141">
        <v>23</v>
      </c>
      <c r="B33" s="1141" t="s">
        <v>1070</v>
      </c>
      <c r="C33" s="771" t="s">
        <v>499</v>
      </c>
    </row>
    <row r="34" spans="1:3" ht="17.25" customHeight="1" thickBot="1" x14ac:dyDescent="0.3">
      <c r="A34" s="1142"/>
      <c r="B34" s="1142"/>
      <c r="C34" s="767" t="s">
        <v>687</v>
      </c>
    </row>
    <row r="35" spans="1:3" ht="17.25" customHeight="1" x14ac:dyDescent="0.25">
      <c r="A35" s="1136">
        <v>24</v>
      </c>
      <c r="B35" s="1136" t="s">
        <v>1071</v>
      </c>
      <c r="C35" s="770" t="s">
        <v>928</v>
      </c>
    </row>
    <row r="36" spans="1:3" ht="17.25" customHeight="1" thickBot="1" x14ac:dyDescent="0.3">
      <c r="A36" s="1137"/>
      <c r="B36" s="1137"/>
      <c r="C36" s="769" t="s">
        <v>687</v>
      </c>
    </row>
    <row r="37" spans="1:3" ht="17.25" customHeight="1" x14ac:dyDescent="0.25">
      <c r="A37" s="1141">
        <v>25</v>
      </c>
      <c r="B37" s="1141" t="s">
        <v>1072</v>
      </c>
      <c r="C37" s="771" t="s">
        <v>499</v>
      </c>
    </row>
    <row r="38" spans="1:3" ht="17.25" customHeight="1" thickBot="1" x14ac:dyDescent="0.3">
      <c r="A38" s="1142"/>
      <c r="B38" s="1142"/>
      <c r="C38" s="767" t="s">
        <v>753</v>
      </c>
    </row>
    <row r="39" spans="1:3" ht="17.25" customHeight="1" x14ac:dyDescent="0.25">
      <c r="A39" s="1136">
        <v>26</v>
      </c>
      <c r="B39" s="1136" t="s">
        <v>1073</v>
      </c>
      <c r="C39" s="770" t="s">
        <v>929</v>
      </c>
    </row>
    <row r="40" spans="1:3" ht="17.25" customHeight="1" thickBot="1" x14ac:dyDescent="0.3">
      <c r="A40" s="1137"/>
      <c r="B40" s="1137"/>
      <c r="C40" s="769" t="s">
        <v>779</v>
      </c>
    </row>
    <row r="41" spans="1:3" ht="17.25" customHeight="1" thickBot="1" x14ac:dyDescent="0.3">
      <c r="A41" s="766">
        <v>27</v>
      </c>
      <c r="B41" s="767" t="s">
        <v>1074</v>
      </c>
      <c r="C41" s="767" t="s">
        <v>930</v>
      </c>
    </row>
    <row r="42" spans="1:3" ht="17.25" customHeight="1" thickBot="1" x14ac:dyDescent="0.3">
      <c r="A42" s="766">
        <v>28</v>
      </c>
      <c r="B42" s="767" t="s">
        <v>1075</v>
      </c>
      <c r="C42" s="767" t="s">
        <v>14</v>
      </c>
    </row>
    <row r="43" spans="1:3" ht="17.25" customHeight="1" thickBot="1" x14ac:dyDescent="0.3">
      <c r="A43" s="766">
        <v>29</v>
      </c>
      <c r="B43" s="767" t="s">
        <v>1076</v>
      </c>
      <c r="C43" s="767" t="s">
        <v>931</v>
      </c>
    </row>
    <row r="44" spans="1:3" ht="17.25" customHeight="1" thickBot="1" x14ac:dyDescent="0.3">
      <c r="A44" s="1138" t="s">
        <v>15</v>
      </c>
      <c r="B44" s="1139"/>
      <c r="C44" s="1140"/>
    </row>
    <row r="45" spans="1:3" ht="17.25" customHeight="1" thickBot="1" x14ac:dyDescent="0.3">
      <c r="A45" s="766">
        <v>30</v>
      </c>
      <c r="B45" s="767" t="s">
        <v>1077</v>
      </c>
      <c r="C45" s="767" t="s">
        <v>16</v>
      </c>
    </row>
    <row r="46" spans="1:3" ht="17.25" customHeight="1" thickBot="1" x14ac:dyDescent="0.3">
      <c r="A46" s="766">
        <v>31</v>
      </c>
      <c r="B46" s="767" t="s">
        <v>1078</v>
      </c>
      <c r="C46" s="767" t="s">
        <v>936</v>
      </c>
    </row>
    <row r="47" spans="1:3" ht="17.25" customHeight="1" thickBot="1" x14ac:dyDescent="0.3">
      <c r="A47" s="766">
        <v>32</v>
      </c>
      <c r="B47" s="767" t="s">
        <v>1079</v>
      </c>
      <c r="C47" s="767" t="s">
        <v>17</v>
      </c>
    </row>
    <row r="48" spans="1:3" ht="17.25" customHeight="1" thickBot="1" x14ac:dyDescent="0.3">
      <c r="A48" s="766">
        <v>33</v>
      </c>
      <c r="B48" s="767" t="s">
        <v>1080</v>
      </c>
      <c r="C48" s="767" t="s">
        <v>932</v>
      </c>
    </row>
    <row r="49" spans="1:3" ht="17.25" customHeight="1" thickBot="1" x14ac:dyDescent="0.3">
      <c r="A49" s="768">
        <v>34</v>
      </c>
      <c r="B49" s="769" t="s">
        <v>1081</v>
      </c>
      <c r="C49" s="769" t="s">
        <v>916</v>
      </c>
    </row>
    <row r="50" spans="1:3" ht="17.25" customHeight="1" thickBot="1" x14ac:dyDescent="0.3">
      <c r="A50" s="1138" t="s">
        <v>933</v>
      </c>
      <c r="B50" s="1139"/>
      <c r="C50" s="1140"/>
    </row>
    <row r="51" spans="1:3" ht="17.25" customHeight="1" thickBot="1" x14ac:dyDescent="0.3">
      <c r="A51" s="766">
        <v>35</v>
      </c>
      <c r="B51" s="767" t="s">
        <v>1082</v>
      </c>
      <c r="C51" s="767" t="s">
        <v>18</v>
      </c>
    </row>
    <row r="52" spans="1:3" ht="17.25" customHeight="1" thickBot="1" x14ac:dyDescent="0.3">
      <c r="A52" s="768">
        <v>36</v>
      </c>
      <c r="B52" s="769" t="s">
        <v>1083</v>
      </c>
      <c r="C52" s="769" t="s">
        <v>19</v>
      </c>
    </row>
    <row r="53" spans="1:3" ht="17.25" customHeight="1" thickBot="1" x14ac:dyDescent="0.3">
      <c r="A53" s="766">
        <v>37</v>
      </c>
      <c r="B53" s="767" t="s">
        <v>1084</v>
      </c>
      <c r="C53" s="767" t="s">
        <v>20</v>
      </c>
    </row>
    <row r="54" spans="1:3" ht="17.25" customHeight="1" thickBot="1" x14ac:dyDescent="0.3">
      <c r="A54" s="766">
        <v>38</v>
      </c>
      <c r="B54" s="767" t="s">
        <v>1085</v>
      </c>
      <c r="C54" s="767" t="s">
        <v>938</v>
      </c>
    </row>
    <row r="55" spans="1:3" ht="17.25" customHeight="1" thickBot="1" x14ac:dyDescent="0.3">
      <c r="A55" s="766">
        <v>39</v>
      </c>
      <c r="B55" s="767" t="s">
        <v>1086</v>
      </c>
      <c r="C55" s="767" t="s">
        <v>937</v>
      </c>
    </row>
    <row r="56" spans="1:3" ht="17.25" customHeight="1" thickBot="1" x14ac:dyDescent="0.3">
      <c r="A56" s="766">
        <v>40</v>
      </c>
      <c r="B56" s="767" t="s">
        <v>1022</v>
      </c>
      <c r="C56" s="767" t="s">
        <v>21</v>
      </c>
    </row>
    <row r="57" spans="1:3" ht="15.75" thickBot="1" x14ac:dyDescent="0.3">
      <c r="A57" s="838">
        <v>41</v>
      </c>
      <c r="B57" s="767" t="s">
        <v>1023</v>
      </c>
      <c r="C57" s="767" t="s">
        <v>1024</v>
      </c>
    </row>
    <row r="58" spans="1:3" ht="15.75" thickBot="1" x14ac:dyDescent="0.3">
      <c r="A58" s="838">
        <v>42</v>
      </c>
      <c r="B58" s="767" t="s">
        <v>1026</v>
      </c>
      <c r="C58" s="767" t="s">
        <v>1025</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0866141732283472" right="0.70866141732283472" top="0.74803149606299213" bottom="0.74803149606299213" header="0.31496062992125984" footer="0.31496062992125984"/>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120" zoomScaleNormal="100" zoomScaleSheetLayoutView="120" workbookViewId="0">
      <selection activeCell="G18" sqref="G18"/>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146" t="str">
        <f>'ETCA-I-01'!A1:G1</f>
        <v>TELEVISORA DE HERMOSILLO, S.A. DE C.V.</v>
      </c>
      <c r="B1" s="1146"/>
      <c r="C1" s="1146"/>
      <c r="D1" s="1146"/>
      <c r="E1" s="1146"/>
      <c r="F1" s="1146"/>
      <c r="G1" s="1146"/>
      <c r="H1" s="1146"/>
      <c r="I1" s="1146"/>
    </row>
    <row r="2" spans="1:10" ht="15.75" customHeight="1" x14ac:dyDescent="0.25">
      <c r="A2" s="1144" t="s">
        <v>302</v>
      </c>
      <c r="B2" s="1144"/>
      <c r="C2" s="1144"/>
      <c r="D2" s="1144"/>
      <c r="E2" s="1144"/>
      <c r="F2" s="1144"/>
      <c r="G2" s="1144"/>
      <c r="H2" s="1144"/>
      <c r="I2" s="1144"/>
    </row>
    <row r="3" spans="1:10" ht="15" customHeight="1" x14ac:dyDescent="0.25">
      <c r="A3" s="1188" t="str">
        <f>'ETCA-I-03'!A3:D3</f>
        <v>Del 01 de Enero al 30 de Septiembre de 2021</v>
      </c>
      <c r="B3" s="1188"/>
      <c r="C3" s="1188"/>
      <c r="D3" s="1188"/>
      <c r="E3" s="1188"/>
      <c r="F3" s="1188"/>
      <c r="G3" s="1188"/>
      <c r="H3" s="1188"/>
      <c r="I3" s="1188"/>
    </row>
    <row r="4" spans="1:10" ht="15.75" customHeight="1" thickBot="1" x14ac:dyDescent="0.3">
      <c r="A4" s="1189" t="s">
        <v>84</v>
      </c>
      <c r="B4" s="1189"/>
      <c r="C4" s="1189"/>
      <c r="D4" s="1189"/>
      <c r="E4" s="1189"/>
      <c r="F4" s="1189"/>
      <c r="G4" s="1189"/>
      <c r="H4" s="1189"/>
      <c r="I4" s="1189"/>
    </row>
    <row r="5" spans="1:10" ht="24" customHeight="1" x14ac:dyDescent="0.25">
      <c r="A5" s="1190" t="s">
        <v>303</v>
      </c>
      <c r="B5" s="1191"/>
      <c r="C5" s="582" t="s">
        <v>304</v>
      </c>
      <c r="D5" s="1194" t="s">
        <v>305</v>
      </c>
      <c r="E5" s="1194" t="s">
        <v>306</v>
      </c>
      <c r="F5" s="1194" t="s">
        <v>307</v>
      </c>
      <c r="G5" s="582" t="s">
        <v>308</v>
      </c>
      <c r="H5" s="1194" t="s">
        <v>309</v>
      </c>
      <c r="I5" s="1194" t="s">
        <v>310</v>
      </c>
    </row>
    <row r="6" spans="1:10" ht="34.5" customHeight="1" thickBot="1" x14ac:dyDescent="0.3">
      <c r="A6" s="1192"/>
      <c r="B6" s="1193"/>
      <c r="C6" s="971" t="s">
        <v>2039</v>
      </c>
      <c r="D6" s="1195"/>
      <c r="E6" s="1195"/>
      <c r="F6" s="1195"/>
      <c r="G6" s="731" t="s">
        <v>311</v>
      </c>
      <c r="H6" s="1195"/>
      <c r="I6" s="1195"/>
    </row>
    <row r="7" spans="1:10" ht="5.25" customHeight="1" x14ac:dyDescent="0.25">
      <c r="A7" s="1196"/>
      <c r="B7" s="1197"/>
      <c r="C7" s="730"/>
      <c r="D7" s="730"/>
      <c r="E7" s="730"/>
      <c r="F7" s="730"/>
      <c r="G7" s="730"/>
      <c r="H7" s="730"/>
      <c r="I7" s="730"/>
    </row>
    <row r="8" spans="1:10" x14ac:dyDescent="0.25">
      <c r="A8" s="1186" t="s">
        <v>312</v>
      </c>
      <c r="B8" s="1187"/>
      <c r="C8" s="627">
        <f>C9+C13</f>
        <v>42500076</v>
      </c>
      <c r="D8" s="627">
        <f t="shared" ref="D8:I8" si="0">D9+D13</f>
        <v>0</v>
      </c>
      <c r="E8" s="627">
        <f t="shared" si="0"/>
        <v>7499988</v>
      </c>
      <c r="F8" s="627">
        <f t="shared" si="0"/>
        <v>0</v>
      </c>
      <c r="G8" s="627">
        <f>+C8+D8-E8+F8</f>
        <v>35000088</v>
      </c>
      <c r="H8" s="627">
        <f t="shared" si="0"/>
        <v>0</v>
      </c>
      <c r="I8" s="627">
        <f t="shared" si="0"/>
        <v>0</v>
      </c>
    </row>
    <row r="9" spans="1:10" ht="16.5" x14ac:dyDescent="0.25">
      <c r="A9" s="1186" t="s">
        <v>313</v>
      </c>
      <c r="B9" s="1187"/>
      <c r="C9" s="627">
        <f>SUM(C10:C12)</f>
        <v>9999984</v>
      </c>
      <c r="D9" s="627">
        <f t="shared" ref="D9:I9" si="1">SUM(D10:D12)</f>
        <v>0</v>
      </c>
      <c r="E9" s="627">
        <f t="shared" si="1"/>
        <v>7499988</v>
      </c>
      <c r="F9" s="627">
        <f t="shared" si="1"/>
        <v>0</v>
      </c>
      <c r="G9" s="627">
        <f t="shared" si="1"/>
        <v>2499996</v>
      </c>
      <c r="H9" s="627">
        <f t="shared" si="1"/>
        <v>0</v>
      </c>
      <c r="I9" s="627">
        <f t="shared" si="1"/>
        <v>0</v>
      </c>
      <c r="J9" s="392" t="str">
        <f>IF(C9&lt;&gt;'ETCA-I-08'!E20,"ERROR!!!!! NO CONCUERDA CON LO REPORTADO EN EL ESTADO ANALITICO  DE LA DEUDA Y OTROS PASIVOS","")</f>
        <v/>
      </c>
    </row>
    <row r="10" spans="1:10" ht="16.5" x14ac:dyDescent="0.25">
      <c r="A10" s="729"/>
      <c r="B10" s="733" t="s">
        <v>314</v>
      </c>
      <c r="C10" s="644">
        <v>9999984</v>
      </c>
      <c r="D10" s="644">
        <v>0</v>
      </c>
      <c r="E10" s="644">
        <v>7499988</v>
      </c>
      <c r="F10" s="644">
        <v>0</v>
      </c>
      <c r="G10" s="627">
        <f t="shared" ref="G10:G12" si="2">+C10+D10-E10+F10</f>
        <v>2499996</v>
      </c>
      <c r="H10" s="644">
        <v>0</v>
      </c>
      <c r="I10" s="644">
        <v>0</v>
      </c>
      <c r="J10" s="392" t="str">
        <f>IF(G9&lt;&gt;'ETCA-I-08'!F20,"ERROR!!!!! NO CONCUERDA CON LO REPORTADO EN EL ESTADO ANALITICO  DE LA DEUDA Y OTROS PASIVOS","")</f>
        <v/>
      </c>
    </row>
    <row r="11" spans="1:10" x14ac:dyDescent="0.25">
      <c r="A11" s="732"/>
      <c r="B11" s="733" t="s">
        <v>315</v>
      </c>
      <c r="C11" s="644">
        <v>0</v>
      </c>
      <c r="D11" s="644">
        <v>0</v>
      </c>
      <c r="E11" s="644">
        <v>0</v>
      </c>
      <c r="F11" s="644">
        <v>0</v>
      </c>
      <c r="G11" s="627">
        <f t="shared" si="2"/>
        <v>0</v>
      </c>
      <c r="H11" s="644">
        <v>0</v>
      </c>
      <c r="I11" s="644">
        <v>0</v>
      </c>
    </row>
    <row r="12" spans="1:10" x14ac:dyDescent="0.25">
      <c r="A12" s="732"/>
      <c r="B12" s="733" t="s">
        <v>316</v>
      </c>
      <c r="C12" s="644">
        <v>0</v>
      </c>
      <c r="D12" s="644">
        <v>0</v>
      </c>
      <c r="E12" s="644">
        <v>0</v>
      </c>
      <c r="F12" s="644">
        <v>0</v>
      </c>
      <c r="G12" s="627">
        <f t="shared" si="2"/>
        <v>0</v>
      </c>
      <c r="H12" s="644">
        <v>0</v>
      </c>
      <c r="I12" s="644">
        <v>0</v>
      </c>
    </row>
    <row r="13" spans="1:10" ht="16.5" x14ac:dyDescent="0.25">
      <c r="A13" s="1186" t="s">
        <v>317</v>
      </c>
      <c r="B13" s="1187"/>
      <c r="C13" s="627">
        <f t="shared" ref="C13:I13" si="3">SUM(C14:C16)</f>
        <v>32500092</v>
      </c>
      <c r="D13" s="627">
        <f t="shared" si="3"/>
        <v>0</v>
      </c>
      <c r="E13" s="627">
        <f t="shared" si="3"/>
        <v>0</v>
      </c>
      <c r="F13" s="627">
        <f t="shared" si="3"/>
        <v>0</v>
      </c>
      <c r="G13" s="627">
        <f t="shared" si="3"/>
        <v>32500092</v>
      </c>
      <c r="H13" s="627">
        <f t="shared" si="3"/>
        <v>0</v>
      </c>
      <c r="I13" s="627">
        <f t="shared" si="3"/>
        <v>0</v>
      </c>
      <c r="J13" s="392" t="str">
        <f>IF(C13&lt;&gt;'ETCA-I-08'!E34,"ERROR!!!!! NO CONCUERDA CON LO REPORTADO EN EL ESTADO ANALITICO DE LA DEUDA Y OTROS PASIVOS","")</f>
        <v/>
      </c>
    </row>
    <row r="14" spans="1:10" ht="16.5" x14ac:dyDescent="0.25">
      <c r="A14" s="729"/>
      <c r="B14" s="733" t="s">
        <v>318</v>
      </c>
      <c r="C14" s="644">
        <v>32500092</v>
      </c>
      <c r="D14" s="644">
        <v>0</v>
      </c>
      <c r="E14" s="644">
        <v>0</v>
      </c>
      <c r="F14" s="644">
        <v>0</v>
      </c>
      <c r="G14" s="627">
        <f t="shared" ref="G14:G16" si="4">+C14+D14-E14+F14</f>
        <v>32500092</v>
      </c>
      <c r="H14" s="644">
        <v>0</v>
      </c>
      <c r="I14" s="644">
        <v>0</v>
      </c>
      <c r="J14" s="392" t="str">
        <f>IF(G13&lt;&gt;'ETCA-I-08'!F34,"ERROR!!!!! NO CONCUERDA CON LO REPORTADO EN EL ESTADO ANALITICO DE LA DEUDA Y OTROS PASIVOS","")</f>
        <v/>
      </c>
    </row>
    <row r="15" spans="1:10" x14ac:dyDescent="0.25">
      <c r="A15" s="732"/>
      <c r="B15" s="733" t="s">
        <v>319</v>
      </c>
      <c r="C15" s="644">
        <v>0</v>
      </c>
      <c r="D15" s="644">
        <v>0</v>
      </c>
      <c r="E15" s="644">
        <v>0</v>
      </c>
      <c r="F15" s="644">
        <v>0</v>
      </c>
      <c r="G15" s="627">
        <f t="shared" si="4"/>
        <v>0</v>
      </c>
      <c r="H15" s="644">
        <v>0</v>
      </c>
      <c r="I15" s="644">
        <v>0</v>
      </c>
    </row>
    <row r="16" spans="1:10" x14ac:dyDescent="0.25">
      <c r="A16" s="732"/>
      <c r="B16" s="733" t="s">
        <v>320</v>
      </c>
      <c r="C16" s="644">
        <v>0</v>
      </c>
      <c r="D16" s="644">
        <v>0</v>
      </c>
      <c r="E16" s="644">
        <v>0</v>
      </c>
      <c r="F16" s="644">
        <v>0</v>
      </c>
      <c r="G16" s="627">
        <f t="shared" si="4"/>
        <v>0</v>
      </c>
      <c r="H16" s="644">
        <v>0</v>
      </c>
      <c r="I16" s="644">
        <v>0</v>
      </c>
    </row>
    <row r="17" spans="1:10" s="623" customFormat="1" ht="16.5" x14ac:dyDescent="0.25">
      <c r="A17" s="1186" t="s">
        <v>321</v>
      </c>
      <c r="B17" s="1187"/>
      <c r="C17" s="717">
        <v>55816167</v>
      </c>
      <c r="D17" s="663"/>
      <c r="E17" s="663"/>
      <c r="F17" s="663"/>
      <c r="G17" s="717">
        <v>92109397</v>
      </c>
      <c r="H17" s="663"/>
      <c r="I17" s="663"/>
      <c r="J17" s="392" t="str">
        <f>IF(C17&lt;&gt;'ETCA-I-08'!E36,"ERROR!!! NO CONCUERDA CON LO REPORTADO EN EL ESTADO ANALITICO DE LA DEUDA Y OTROS PASIVOS","")</f>
        <v/>
      </c>
    </row>
    <row r="18" spans="1:10" ht="16.5" customHeight="1" x14ac:dyDescent="0.25">
      <c r="A18" s="1186" t="s">
        <v>322</v>
      </c>
      <c r="B18" s="1187"/>
      <c r="C18" s="627">
        <f t="shared" ref="C18:I18" si="5">C8+C17</f>
        <v>98316243</v>
      </c>
      <c r="D18" s="627">
        <f t="shared" si="5"/>
        <v>0</v>
      </c>
      <c r="E18" s="627">
        <f>E8+E17</f>
        <v>7499988</v>
      </c>
      <c r="F18" s="627">
        <f t="shared" si="5"/>
        <v>0</v>
      </c>
      <c r="G18" s="627">
        <f t="shared" si="5"/>
        <v>127109485</v>
      </c>
      <c r="H18" s="627">
        <f t="shared" si="5"/>
        <v>0</v>
      </c>
      <c r="I18" s="627">
        <f t="shared" si="5"/>
        <v>0</v>
      </c>
      <c r="J18" s="392" t="str">
        <f>IF(G17&lt;&gt;'ETCA-I-08'!F36,"ERROR!!! NO CONCUERDA CON LO REPORTADO EN EL ESTADO ANALITICO DE LA DEUDA Y OTROS PASIVOS","")</f>
        <v/>
      </c>
    </row>
    <row r="19" spans="1:10" ht="16.5" customHeight="1" x14ac:dyDescent="0.25">
      <c r="A19" s="1186" t="s">
        <v>323</v>
      </c>
      <c r="B19" s="1187"/>
      <c r="C19" s="702">
        <f>SUM(C20:C22)</f>
        <v>0</v>
      </c>
      <c r="D19" s="627">
        <f t="shared" ref="D19:I19" si="6">SUM(D20:D22)</f>
        <v>0</v>
      </c>
      <c r="E19" s="627">
        <f t="shared" si="6"/>
        <v>0</v>
      </c>
      <c r="F19" s="627">
        <f t="shared" si="6"/>
        <v>0</v>
      </c>
      <c r="G19" s="627">
        <f>+C19+D19-E19+F19</f>
        <v>0</v>
      </c>
      <c r="H19" s="627">
        <f t="shared" si="6"/>
        <v>0</v>
      </c>
      <c r="I19" s="627">
        <f t="shared" si="6"/>
        <v>0</v>
      </c>
      <c r="J19" s="392" t="str">
        <f>IF(G18&lt;&gt;'ETCA-I-08'!F38,"ERROR!!!! NO CONCUERDA CON LO REPORTADO EN EL ESTADO ANALITICO DE LA DEUDA Y OTROS PASIVOS","")</f>
        <v/>
      </c>
    </row>
    <row r="20" spans="1:10" x14ac:dyDescent="0.25">
      <c r="A20" s="1205" t="s">
        <v>324</v>
      </c>
      <c r="B20" s="1206"/>
      <c r="C20" s="644">
        <v>0</v>
      </c>
      <c r="D20" s="644">
        <v>0</v>
      </c>
      <c r="E20" s="644">
        <v>0</v>
      </c>
      <c r="F20" s="644">
        <v>0</v>
      </c>
      <c r="G20" s="627">
        <f t="shared" ref="G20:G22" si="7">+C20+D20-E20+F20</f>
        <v>0</v>
      </c>
      <c r="H20" s="644">
        <v>0</v>
      </c>
      <c r="I20" s="644">
        <v>0</v>
      </c>
      <c r="J20" t="str">
        <f>IF(C18&lt;&gt;'ETCA-I-08'!E38,"ERROR!!!!! , NO CONCUERDA CON LO REPORTADO EN EL ESTADO ANALITICO DE LA DEUDA Y OTROS PASIVOS","")</f>
        <v/>
      </c>
    </row>
    <row r="21" spans="1:10" x14ac:dyDescent="0.25">
      <c r="A21" s="1205" t="s">
        <v>325</v>
      </c>
      <c r="B21" s="1206"/>
      <c r="C21" s="644">
        <v>0</v>
      </c>
      <c r="D21" s="644">
        <v>0</v>
      </c>
      <c r="E21" s="644">
        <v>0</v>
      </c>
      <c r="F21" s="644">
        <v>0</v>
      </c>
      <c r="G21" s="627">
        <f t="shared" si="7"/>
        <v>0</v>
      </c>
      <c r="H21" s="644">
        <v>0</v>
      </c>
      <c r="I21" s="644">
        <v>0</v>
      </c>
    </row>
    <row r="22" spans="1:10" x14ac:dyDescent="0.25">
      <c r="A22" s="1205" t="s">
        <v>326</v>
      </c>
      <c r="B22" s="1206"/>
      <c r="C22" s="644"/>
      <c r="D22" s="644"/>
      <c r="E22" s="644"/>
      <c r="F22" s="644"/>
      <c r="G22" s="627">
        <f t="shared" si="7"/>
        <v>0</v>
      </c>
      <c r="H22" s="644"/>
      <c r="I22" s="644"/>
    </row>
    <row r="23" spans="1:10" ht="16.5" customHeight="1" x14ac:dyDescent="0.25">
      <c r="A23" s="1186" t="s">
        <v>327</v>
      </c>
      <c r="B23" s="1187"/>
      <c r="C23" s="627">
        <f>SUM(C24:C26)</f>
        <v>0</v>
      </c>
      <c r="D23" s="627">
        <f t="shared" ref="D23:I23" si="8">SUM(D24:D26)</f>
        <v>0</v>
      </c>
      <c r="E23" s="627">
        <f t="shared" si="8"/>
        <v>0</v>
      </c>
      <c r="F23" s="627">
        <f t="shared" si="8"/>
        <v>0</v>
      </c>
      <c r="G23" s="627">
        <f t="shared" si="8"/>
        <v>0</v>
      </c>
      <c r="H23" s="627">
        <f t="shared" si="8"/>
        <v>0</v>
      </c>
      <c r="I23" s="627">
        <f t="shared" si="8"/>
        <v>0</v>
      </c>
    </row>
    <row r="24" spans="1:10" x14ac:dyDescent="0.25">
      <c r="A24" s="1205" t="s">
        <v>328</v>
      </c>
      <c r="B24" s="1206"/>
      <c r="C24" s="644">
        <v>0</v>
      </c>
      <c r="D24" s="644">
        <v>0</v>
      </c>
      <c r="E24" s="644">
        <v>0</v>
      </c>
      <c r="F24" s="644">
        <v>0</v>
      </c>
      <c r="G24" s="627">
        <f t="shared" ref="G24:G26" si="9">+C24+D24-E24+F24</f>
        <v>0</v>
      </c>
      <c r="H24" s="644">
        <v>0</v>
      </c>
      <c r="I24" s="644">
        <v>0</v>
      </c>
    </row>
    <row r="25" spans="1:10" x14ac:dyDescent="0.25">
      <c r="A25" s="1205" t="s">
        <v>329</v>
      </c>
      <c r="B25" s="1206"/>
      <c r="C25" s="644">
        <v>0</v>
      </c>
      <c r="D25" s="644">
        <v>0</v>
      </c>
      <c r="E25" s="644">
        <v>0</v>
      </c>
      <c r="F25" s="644">
        <v>0</v>
      </c>
      <c r="G25" s="627">
        <f t="shared" si="9"/>
        <v>0</v>
      </c>
      <c r="H25" s="644">
        <v>0</v>
      </c>
      <c r="I25" s="644">
        <v>0</v>
      </c>
    </row>
    <row r="26" spans="1:10" x14ac:dyDescent="0.25">
      <c r="A26" s="1205" t="s">
        <v>330</v>
      </c>
      <c r="B26" s="1206"/>
      <c r="C26" s="644">
        <v>0</v>
      </c>
      <c r="D26" s="644">
        <v>0</v>
      </c>
      <c r="E26" s="644">
        <v>0</v>
      </c>
      <c r="F26" s="644">
        <v>0</v>
      </c>
      <c r="G26" s="627">
        <f t="shared" si="9"/>
        <v>0</v>
      </c>
      <c r="H26" s="644">
        <v>0</v>
      </c>
      <c r="I26" s="644">
        <v>0</v>
      </c>
    </row>
    <row r="27" spans="1:10" ht="7.5" customHeight="1" thickBot="1" x14ac:dyDescent="0.3">
      <c r="A27" s="1207"/>
      <c r="B27" s="1208"/>
      <c r="C27" s="630"/>
      <c r="D27" s="630"/>
      <c r="E27" s="630"/>
      <c r="F27" s="630"/>
      <c r="G27" s="630"/>
      <c r="H27" s="630"/>
      <c r="I27" s="630"/>
    </row>
    <row r="28" spans="1:10" ht="3.75" customHeight="1" x14ac:dyDescent="0.25"/>
    <row r="29" spans="1:10" ht="33" customHeight="1" x14ac:dyDescent="0.25">
      <c r="B29" s="594">
        <v>1</v>
      </c>
      <c r="C29" s="1198" t="s">
        <v>331</v>
      </c>
      <c r="D29" s="1198"/>
      <c r="E29" s="1198"/>
      <c r="F29" s="1198"/>
      <c r="G29" s="1198"/>
      <c r="H29" s="1198"/>
      <c r="I29" s="1198"/>
    </row>
    <row r="30" spans="1:10" ht="18.75" customHeight="1" x14ac:dyDescent="0.25">
      <c r="B30" s="594">
        <v>2</v>
      </c>
      <c r="C30" s="1198" t="s">
        <v>332</v>
      </c>
      <c r="D30" s="1198"/>
      <c r="E30" s="1198"/>
      <c r="F30" s="1198"/>
      <c r="G30" s="1198"/>
      <c r="H30" s="1198"/>
      <c r="I30" s="1198"/>
    </row>
    <row r="31" spans="1:10" ht="3.75" customHeight="1" thickBot="1" x14ac:dyDescent="0.3"/>
    <row r="32" spans="1:10" ht="19.5" x14ac:dyDescent="0.25">
      <c r="B32" s="1199" t="s">
        <v>333</v>
      </c>
      <c r="C32" s="589" t="s">
        <v>334</v>
      </c>
      <c r="D32" s="589" t="s">
        <v>335</v>
      </c>
      <c r="E32" s="589" t="s">
        <v>336</v>
      </c>
      <c r="F32" s="1202" t="s">
        <v>337</v>
      </c>
      <c r="G32" s="589" t="s">
        <v>338</v>
      </c>
    </row>
    <row r="33" spans="2:7" x14ac:dyDescent="0.25">
      <c r="B33" s="1200"/>
      <c r="C33" s="579" t="s">
        <v>339</v>
      </c>
      <c r="D33" s="579" t="s">
        <v>340</v>
      </c>
      <c r="E33" s="579" t="s">
        <v>341</v>
      </c>
      <c r="F33" s="1203"/>
      <c r="G33" s="579" t="s">
        <v>342</v>
      </c>
    </row>
    <row r="34" spans="2:7" ht="15.75" thickBot="1" x14ac:dyDescent="0.3">
      <c r="B34" s="1201"/>
      <c r="C34" s="590"/>
      <c r="D34" s="580" t="s">
        <v>343</v>
      </c>
      <c r="E34" s="590"/>
      <c r="F34" s="1204"/>
      <c r="G34" s="590"/>
    </row>
    <row r="35" spans="2:7" ht="19.5" x14ac:dyDescent="0.25">
      <c r="B35" s="591" t="s">
        <v>344</v>
      </c>
      <c r="C35" s="581"/>
      <c r="D35" s="581"/>
      <c r="E35" s="581"/>
      <c r="F35" s="581"/>
      <c r="G35" s="581"/>
    </row>
    <row r="36" spans="2:7" x14ac:dyDescent="0.25">
      <c r="B36" s="592" t="s">
        <v>345</v>
      </c>
      <c r="C36" s="628">
        <v>45000000</v>
      </c>
      <c r="D36" s="628">
        <v>120</v>
      </c>
      <c r="E36" s="873" t="s">
        <v>1089</v>
      </c>
      <c r="F36" s="628">
        <v>1610200</v>
      </c>
      <c r="G36" s="872">
        <v>7.9603000000000002</v>
      </c>
    </row>
    <row r="37" spans="2:7" x14ac:dyDescent="0.25">
      <c r="B37" s="592" t="s">
        <v>346</v>
      </c>
      <c r="C37" s="628">
        <v>45000000</v>
      </c>
      <c r="D37" s="628">
        <v>120</v>
      </c>
      <c r="E37" s="873" t="s">
        <v>1089</v>
      </c>
      <c r="F37" s="628">
        <v>1610200</v>
      </c>
      <c r="G37" s="872">
        <v>7.9603000000000002</v>
      </c>
    </row>
    <row r="38" spans="2:7" ht="15.75" thickBot="1" x14ac:dyDescent="0.3">
      <c r="B38" s="593" t="s">
        <v>347</v>
      </c>
      <c r="C38" s="629"/>
      <c r="D38" s="629"/>
      <c r="E38" s="629"/>
      <c r="F38" s="629"/>
      <c r="G38" s="629"/>
    </row>
  </sheetData>
  <sheetProtection formatColumns="0" formatRows="0" insertHyperlinks="0"/>
  <mergeCells count="29">
    <mergeCell ref="A19:B19"/>
    <mergeCell ref="A20:B20"/>
    <mergeCell ref="A21:B21"/>
    <mergeCell ref="A22:B22"/>
    <mergeCell ref="A18:B18"/>
    <mergeCell ref="C30:I30"/>
    <mergeCell ref="C29:I29"/>
    <mergeCell ref="B32:B34"/>
    <mergeCell ref="F32:F34"/>
    <mergeCell ref="A23:B23"/>
    <mergeCell ref="A24:B24"/>
    <mergeCell ref="A25:B25"/>
    <mergeCell ref="A26:B26"/>
    <mergeCell ref="A27:B27"/>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
  <sheetViews>
    <sheetView view="pageBreakPreview" zoomScaleNormal="100" zoomScaleSheetLayoutView="100" workbookViewId="0">
      <selection activeCell="A2" sqref="A2:K2"/>
    </sheetView>
  </sheetViews>
  <sheetFormatPr baseColWidth="10" defaultColWidth="11.42578125" defaultRowHeight="15" x14ac:dyDescent="0.25"/>
  <cols>
    <col min="1" max="1" width="23.5703125" customWidth="1"/>
  </cols>
  <sheetData>
    <row r="1" spans="1:11" ht="15.75" x14ac:dyDescent="0.25">
      <c r="A1" s="1146" t="str">
        <f>'ETCA-I-01'!A1:G1</f>
        <v>TELEVISORA DE HERMOSILLO, S.A. DE C.V.</v>
      </c>
      <c r="B1" s="1146"/>
      <c r="C1" s="1146"/>
      <c r="D1" s="1146"/>
      <c r="E1" s="1146"/>
      <c r="F1" s="1146"/>
      <c r="G1" s="1146"/>
      <c r="H1" s="1146"/>
      <c r="I1" s="1146"/>
      <c r="J1" s="1146"/>
      <c r="K1" s="1146"/>
    </row>
    <row r="2" spans="1:11" ht="15.75" customHeight="1" x14ac:dyDescent="0.25">
      <c r="A2" s="1144" t="s">
        <v>348</v>
      </c>
      <c r="B2" s="1144"/>
      <c r="C2" s="1144"/>
      <c r="D2" s="1144"/>
      <c r="E2" s="1144"/>
      <c r="F2" s="1144"/>
      <c r="G2" s="1144"/>
      <c r="H2" s="1144"/>
      <c r="I2" s="1144"/>
      <c r="J2" s="1144"/>
      <c r="K2" s="1144"/>
    </row>
    <row r="3" spans="1:11" ht="15.75" customHeight="1" x14ac:dyDescent="0.25">
      <c r="A3" s="1188" t="str">
        <f>'ETCA-I-09'!A3:I3</f>
        <v>Del 01 de Enero al 30 de Septiembre de 2021</v>
      </c>
      <c r="B3" s="1188"/>
      <c r="C3" s="1188"/>
      <c r="D3" s="1188"/>
      <c r="E3" s="1188"/>
      <c r="F3" s="1188"/>
      <c r="G3" s="1188"/>
      <c r="H3" s="1188"/>
      <c r="I3" s="1188"/>
      <c r="J3" s="1188"/>
      <c r="K3" s="1188"/>
    </row>
    <row r="4" spans="1:11" ht="15.75" thickBot="1" x14ac:dyDescent="0.3">
      <c r="A4" s="1189" t="s">
        <v>84</v>
      </c>
      <c r="B4" s="1189"/>
      <c r="C4" s="1189"/>
      <c r="D4" s="1189"/>
      <c r="E4" s="1189"/>
      <c r="F4" s="1189"/>
      <c r="G4" s="1189"/>
      <c r="H4" s="1189"/>
      <c r="I4" s="1189"/>
      <c r="J4" s="1189"/>
      <c r="K4" s="1189"/>
    </row>
    <row r="5" spans="1:11" ht="115.5" thickBot="1" x14ac:dyDescent="0.3">
      <c r="A5" s="583" t="s">
        <v>349</v>
      </c>
      <c r="B5" s="584" t="s">
        <v>350</v>
      </c>
      <c r="C5" s="584" t="s">
        <v>351</v>
      </c>
      <c r="D5" s="584" t="s">
        <v>352</v>
      </c>
      <c r="E5" s="584" t="s">
        <v>353</v>
      </c>
      <c r="F5" s="584" t="s">
        <v>354</v>
      </c>
      <c r="G5" s="584" t="s">
        <v>355</v>
      </c>
      <c r="H5" s="584" t="s">
        <v>356</v>
      </c>
      <c r="I5" s="788" t="s">
        <v>1045</v>
      </c>
      <c r="J5" s="788" t="s">
        <v>1046</v>
      </c>
      <c r="K5" s="788" t="s">
        <v>1047</v>
      </c>
    </row>
    <row r="6" spans="1:11" x14ac:dyDescent="0.25">
      <c r="A6" s="576"/>
      <c r="B6" s="578"/>
      <c r="C6" s="578"/>
      <c r="D6" s="578"/>
      <c r="E6" s="578"/>
      <c r="F6" s="578"/>
      <c r="G6" s="578"/>
      <c r="H6" s="578"/>
      <c r="I6" s="578"/>
      <c r="J6" s="578"/>
      <c r="K6" s="578"/>
    </row>
    <row r="7" spans="1:11" ht="25.5" x14ac:dyDescent="0.25">
      <c r="A7" s="585" t="s">
        <v>357</v>
      </c>
      <c r="B7" s="631">
        <f t="shared" ref="B7:J7" si="0">B8+B9+B10+B11</f>
        <v>0</v>
      </c>
      <c r="C7" s="631">
        <f t="shared" si="0"/>
        <v>0</v>
      </c>
      <c r="D7" s="631">
        <f t="shared" si="0"/>
        <v>0</v>
      </c>
      <c r="E7" s="631">
        <f t="shared" si="0"/>
        <v>0</v>
      </c>
      <c r="F7" s="631">
        <f t="shared" si="0"/>
        <v>0</v>
      </c>
      <c r="G7" s="631">
        <f t="shared" si="0"/>
        <v>0</v>
      </c>
      <c r="H7" s="631">
        <f t="shared" si="0"/>
        <v>0</v>
      </c>
      <c r="I7" s="631">
        <f t="shared" si="0"/>
        <v>0</v>
      </c>
      <c r="J7" s="631">
        <f t="shared" si="0"/>
        <v>0</v>
      </c>
      <c r="K7" s="631">
        <f>E7-J7</f>
        <v>0</v>
      </c>
    </row>
    <row r="8" spans="1:11" x14ac:dyDescent="0.25">
      <c r="A8" s="586" t="s">
        <v>358</v>
      </c>
      <c r="B8" s="635">
        <v>0</v>
      </c>
      <c r="C8" s="635">
        <v>0</v>
      </c>
      <c r="D8" s="635">
        <v>0</v>
      </c>
      <c r="E8" s="635">
        <v>0</v>
      </c>
      <c r="F8" s="635">
        <v>0</v>
      </c>
      <c r="G8" s="635">
        <v>0</v>
      </c>
      <c r="H8" s="635">
        <v>0</v>
      </c>
      <c r="I8" s="635">
        <v>0</v>
      </c>
      <c r="J8" s="635">
        <v>0</v>
      </c>
      <c r="K8" s="631">
        <f t="shared" ref="K8:K11" si="1">E8-J8</f>
        <v>0</v>
      </c>
    </row>
    <row r="9" spans="1:11" x14ac:dyDescent="0.25">
      <c r="A9" s="586" t="s">
        <v>359</v>
      </c>
      <c r="B9" s="635">
        <v>0</v>
      </c>
      <c r="C9" s="635"/>
      <c r="D9" s="635"/>
      <c r="E9" s="635">
        <v>0</v>
      </c>
      <c r="F9" s="635"/>
      <c r="G9" s="635"/>
      <c r="H9" s="635"/>
      <c r="I9" s="635"/>
      <c r="J9" s="635">
        <v>0</v>
      </c>
      <c r="K9" s="631">
        <f t="shared" si="1"/>
        <v>0</v>
      </c>
    </row>
    <row r="10" spans="1:11" x14ac:dyDescent="0.25">
      <c r="A10" s="586" t="s">
        <v>360</v>
      </c>
      <c r="B10" s="635">
        <v>0</v>
      </c>
      <c r="C10" s="635">
        <v>0</v>
      </c>
      <c r="D10" s="635">
        <v>0</v>
      </c>
      <c r="E10" s="635">
        <v>0</v>
      </c>
      <c r="F10" s="635">
        <v>0</v>
      </c>
      <c r="G10" s="635">
        <v>0</v>
      </c>
      <c r="H10" s="635">
        <v>0</v>
      </c>
      <c r="I10" s="635">
        <v>0</v>
      </c>
      <c r="J10" s="635">
        <v>0</v>
      </c>
      <c r="K10" s="631">
        <f t="shared" si="1"/>
        <v>0</v>
      </c>
    </row>
    <row r="11" spans="1:11" x14ac:dyDescent="0.25">
      <c r="A11" s="586" t="s">
        <v>361</v>
      </c>
      <c r="B11" s="635">
        <v>0</v>
      </c>
      <c r="C11" s="635"/>
      <c r="D11" s="635"/>
      <c r="E11" s="635">
        <v>0</v>
      </c>
      <c r="F11" s="635"/>
      <c r="G11" s="635"/>
      <c r="H11" s="635"/>
      <c r="I11" s="635"/>
      <c r="J11" s="635">
        <v>0</v>
      </c>
      <c r="K11" s="631">
        <f t="shared" si="1"/>
        <v>0</v>
      </c>
    </row>
    <row r="12" spans="1:11" x14ac:dyDescent="0.25">
      <c r="A12" s="577"/>
      <c r="B12" s="631"/>
      <c r="C12" s="631"/>
      <c r="D12" s="631"/>
      <c r="E12" s="631"/>
      <c r="F12" s="631"/>
      <c r="G12" s="631"/>
      <c r="H12" s="631"/>
      <c r="I12" s="631"/>
      <c r="J12" s="631"/>
      <c r="K12" s="631"/>
    </row>
    <row r="13" spans="1:11" ht="25.5" x14ac:dyDescent="0.25">
      <c r="A13" s="585" t="s">
        <v>362</v>
      </c>
      <c r="B13" s="631">
        <f t="shared" ref="B13:J13" si="2">B14+B15+B16+B17</f>
        <v>0</v>
      </c>
      <c r="C13" s="631">
        <f t="shared" si="2"/>
        <v>0</v>
      </c>
      <c r="D13" s="631">
        <f t="shared" si="2"/>
        <v>0</v>
      </c>
      <c r="E13" s="631">
        <f t="shared" si="2"/>
        <v>0</v>
      </c>
      <c r="F13" s="631">
        <f t="shared" si="2"/>
        <v>0</v>
      </c>
      <c r="G13" s="631">
        <f t="shared" si="2"/>
        <v>0</v>
      </c>
      <c r="H13" s="631">
        <f t="shared" si="2"/>
        <v>0</v>
      </c>
      <c r="I13" s="631">
        <f t="shared" si="2"/>
        <v>0</v>
      </c>
      <c r="J13" s="631">
        <f t="shared" si="2"/>
        <v>0</v>
      </c>
      <c r="K13" s="631">
        <f>E13-J13</f>
        <v>0</v>
      </c>
    </row>
    <row r="14" spans="1:11" x14ac:dyDescent="0.25">
      <c r="A14" s="586" t="s">
        <v>363</v>
      </c>
      <c r="B14" s="635">
        <v>0</v>
      </c>
      <c r="C14" s="635"/>
      <c r="D14" s="635"/>
      <c r="E14" s="635">
        <v>0</v>
      </c>
      <c r="F14" s="635"/>
      <c r="G14" s="635"/>
      <c r="H14" s="635"/>
      <c r="I14" s="635"/>
      <c r="J14" s="635"/>
      <c r="K14" s="631">
        <f t="shared" ref="K14:K17" si="3">E14-J14</f>
        <v>0</v>
      </c>
    </row>
    <row r="15" spans="1:11" x14ac:dyDescent="0.25">
      <c r="A15" s="586" t="s">
        <v>364</v>
      </c>
      <c r="B15" s="635">
        <v>0</v>
      </c>
      <c r="C15" s="635"/>
      <c r="D15" s="635">
        <v>0</v>
      </c>
      <c r="E15" s="635">
        <v>0</v>
      </c>
      <c r="F15" s="635">
        <v>0</v>
      </c>
      <c r="G15" s="635">
        <v>0</v>
      </c>
      <c r="H15" s="635">
        <v>0</v>
      </c>
      <c r="I15" s="635">
        <v>0</v>
      </c>
      <c r="J15" s="635">
        <v>0</v>
      </c>
      <c r="K15" s="631">
        <f t="shared" si="3"/>
        <v>0</v>
      </c>
    </row>
    <row r="16" spans="1:11" x14ac:dyDescent="0.25">
      <c r="A16" s="586" t="s">
        <v>365</v>
      </c>
      <c r="B16" s="635">
        <v>0</v>
      </c>
      <c r="C16" s="635">
        <v>0</v>
      </c>
      <c r="D16" s="635"/>
      <c r="E16" s="635">
        <v>0</v>
      </c>
      <c r="F16" s="635"/>
      <c r="G16" s="635"/>
      <c r="H16" s="635"/>
      <c r="I16" s="635"/>
      <c r="J16" s="635"/>
      <c r="K16" s="631">
        <f t="shared" si="3"/>
        <v>0</v>
      </c>
    </row>
    <row r="17" spans="1:11" x14ac:dyDescent="0.25">
      <c r="A17" s="586" t="s">
        <v>366</v>
      </c>
      <c r="B17" s="635">
        <v>0</v>
      </c>
      <c r="C17" s="635"/>
      <c r="D17" s="635"/>
      <c r="E17" s="635">
        <v>0</v>
      </c>
      <c r="F17" s="635"/>
      <c r="G17" s="635"/>
      <c r="H17" s="635"/>
      <c r="I17" s="635"/>
      <c r="J17" s="635"/>
      <c r="K17" s="631">
        <f t="shared" si="3"/>
        <v>0</v>
      </c>
    </row>
    <row r="18" spans="1:11" x14ac:dyDescent="0.25">
      <c r="A18" s="577"/>
      <c r="B18" s="631">
        <v>0</v>
      </c>
      <c r="C18" s="631"/>
      <c r="D18" s="631"/>
      <c r="E18" s="631"/>
      <c r="F18" s="631"/>
      <c r="G18" s="631"/>
      <c r="H18" s="631"/>
      <c r="I18" s="631"/>
      <c r="J18" s="631"/>
      <c r="K18" s="636"/>
    </row>
    <row r="19" spans="1:11" ht="38.25" x14ac:dyDescent="0.25">
      <c r="A19" s="585" t="s">
        <v>367</v>
      </c>
      <c r="B19" s="631">
        <f>B7+B13</f>
        <v>0</v>
      </c>
      <c r="C19" s="631">
        <f t="shared" ref="C19:J19" si="4">C7+C13</f>
        <v>0</v>
      </c>
      <c r="D19" s="631">
        <f t="shared" si="4"/>
        <v>0</v>
      </c>
      <c r="E19" s="631">
        <f t="shared" si="4"/>
        <v>0</v>
      </c>
      <c r="F19" s="631">
        <f t="shared" si="4"/>
        <v>0</v>
      </c>
      <c r="G19" s="631">
        <f t="shared" si="4"/>
        <v>0</v>
      </c>
      <c r="H19" s="631">
        <f t="shared" si="4"/>
        <v>0</v>
      </c>
      <c r="I19" s="631">
        <f t="shared" si="4"/>
        <v>0</v>
      </c>
      <c r="J19" s="631">
        <f t="shared" si="4"/>
        <v>0</v>
      </c>
      <c r="K19" s="631">
        <f>E19-J19</f>
        <v>0</v>
      </c>
    </row>
    <row r="20" spans="1:11" ht="15.75" thickBot="1" x14ac:dyDescent="0.3">
      <c r="A20" s="587"/>
      <c r="B20" s="588"/>
      <c r="C20" s="588"/>
      <c r="D20" s="588"/>
      <c r="E20" s="588"/>
      <c r="F20" s="588"/>
      <c r="G20" s="588"/>
      <c r="H20" s="588"/>
      <c r="I20" s="588"/>
      <c r="J20" s="588"/>
      <c r="K20" s="588"/>
    </row>
  </sheetData>
  <mergeCells count="4">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I49"/>
  <sheetViews>
    <sheetView view="pageBreakPreview" zoomScale="90" zoomScaleNormal="100" zoomScaleSheetLayoutView="90" workbookViewId="0">
      <selection activeCell="H33" sqref="H33"/>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219" t="str">
        <f>'ETCA-I-01'!A1:G1</f>
        <v>TELEVISORA DE HERMOSILLO, S.A. DE C.V.</v>
      </c>
      <c r="B1" s="1219"/>
      <c r="C1" s="1219"/>
      <c r="D1" s="1219"/>
      <c r="E1" s="1219"/>
      <c r="F1" s="1219"/>
      <c r="G1" s="1219"/>
      <c r="H1" s="1219"/>
      <c r="I1" s="1219"/>
    </row>
    <row r="2" spans="1:9" x14ac:dyDescent="0.3">
      <c r="A2" s="1220" t="s">
        <v>8</v>
      </c>
      <c r="B2" s="1220"/>
      <c r="C2" s="1220"/>
      <c r="D2" s="1220"/>
      <c r="E2" s="1220"/>
      <c r="F2" s="1220"/>
      <c r="G2" s="1220"/>
      <c r="H2" s="1220"/>
      <c r="I2" s="1220"/>
    </row>
    <row r="3" spans="1:9" x14ac:dyDescent="0.3">
      <c r="A3" s="1221" t="str">
        <f>'ETCA-I-01'!A3:G3</f>
        <v>Al 30 de Septiembre de 2021</v>
      </c>
      <c r="B3" s="1221"/>
      <c r="C3" s="1221"/>
      <c r="D3" s="1221"/>
      <c r="E3" s="1221"/>
      <c r="F3" s="1221"/>
      <c r="G3" s="1221"/>
      <c r="H3" s="1221"/>
      <c r="I3" s="1221"/>
    </row>
    <row r="4" spans="1:9" ht="18" customHeight="1" thickBot="1" x14ac:dyDescent="0.35">
      <c r="A4" s="5"/>
      <c r="B4" s="1222" t="s">
        <v>1031</v>
      </c>
      <c r="C4" s="1222"/>
      <c r="D4" s="1222"/>
      <c r="E4" s="1222"/>
      <c r="F4" s="1222"/>
      <c r="G4" s="1222"/>
      <c r="H4" s="295"/>
      <c r="I4" s="5"/>
    </row>
    <row r="5" spans="1:9" x14ac:dyDescent="0.3">
      <c r="A5" s="8"/>
      <c r="B5" s="9"/>
      <c r="C5" s="9"/>
      <c r="D5" s="9"/>
      <c r="E5" s="9"/>
      <c r="F5" s="9"/>
      <c r="G5" s="9"/>
      <c r="H5" s="9"/>
      <c r="I5" s="10"/>
    </row>
    <row r="6" spans="1:9" x14ac:dyDescent="0.3">
      <c r="A6" s="11"/>
      <c r="B6" s="12"/>
      <c r="C6" s="12"/>
      <c r="D6" s="12"/>
      <c r="E6" s="12"/>
      <c r="F6" s="12"/>
      <c r="G6" s="12"/>
      <c r="H6" s="12"/>
      <c r="I6" s="13"/>
    </row>
    <row r="7" spans="1:9" x14ac:dyDescent="0.3">
      <c r="A7" s="14" t="s">
        <v>368</v>
      </c>
      <c r="B7" s="12"/>
      <c r="C7" s="12"/>
      <c r="D7" s="12"/>
      <c r="E7" s="12"/>
      <c r="F7" s="12"/>
      <c r="G7" s="12"/>
      <c r="H7" s="12"/>
      <c r="I7" s="13"/>
    </row>
    <row r="8" spans="1:9" x14ac:dyDescent="0.3">
      <c r="A8" s="14"/>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ht="15.75" customHeight="1" x14ac:dyDescent="0.3">
      <c r="A12" s="11"/>
      <c r="B12" s="12"/>
      <c r="C12" s="15"/>
      <c r="D12" s="15"/>
      <c r="E12" s="15"/>
      <c r="F12" s="15"/>
      <c r="G12" s="15"/>
      <c r="H12" s="15"/>
      <c r="I12" s="13"/>
    </row>
    <row r="13" spans="1:9" ht="15" customHeight="1" thickBot="1" x14ac:dyDescent="0.35">
      <c r="A13" s="16"/>
      <c r="B13" s="1"/>
      <c r="C13" s="17"/>
      <c r="D13" s="17"/>
      <c r="E13" s="17"/>
      <c r="F13" s="17"/>
      <c r="G13" s="17"/>
      <c r="H13" s="17"/>
      <c r="I13" s="2"/>
    </row>
    <row r="14" spans="1:9" ht="15" customHeight="1" thickBot="1" x14ac:dyDescent="0.35">
      <c r="A14" s="11"/>
      <c r="B14" s="12"/>
      <c r="C14" s="15"/>
      <c r="D14" s="15"/>
      <c r="E14" s="15"/>
      <c r="F14" s="15"/>
      <c r="G14" s="15"/>
      <c r="H14" s="15"/>
      <c r="I14" s="13"/>
    </row>
    <row r="15" spans="1:9" ht="15" customHeight="1" x14ac:dyDescent="0.3">
      <c r="A15" s="11"/>
      <c r="B15" s="12"/>
      <c r="C15" s="1210"/>
      <c r="D15" s="1211"/>
      <c r="E15" s="1211"/>
      <c r="F15" s="1211"/>
      <c r="G15" s="1211"/>
      <c r="H15" s="1212"/>
      <c r="I15" s="13"/>
    </row>
    <row r="16" spans="1:9" ht="15" customHeight="1" x14ac:dyDescent="0.3">
      <c r="A16" s="11"/>
      <c r="B16" s="12"/>
      <c r="C16" s="1213"/>
      <c r="D16" s="1214"/>
      <c r="E16" s="1214"/>
      <c r="F16" s="1214"/>
      <c r="G16" s="1214"/>
      <c r="H16" s="1215"/>
      <c r="I16" s="13"/>
    </row>
    <row r="17" spans="1:9" ht="15" customHeight="1" x14ac:dyDescent="0.3">
      <c r="A17" s="11"/>
      <c r="B17" s="12"/>
      <c r="C17" s="1213"/>
      <c r="D17" s="1214"/>
      <c r="E17" s="1214"/>
      <c r="F17" s="1214"/>
      <c r="G17" s="1214"/>
      <c r="H17" s="1215"/>
      <c r="I17" s="13"/>
    </row>
    <row r="18" spans="1:9" ht="15" customHeight="1" x14ac:dyDescent="0.3">
      <c r="A18" s="14" t="s">
        <v>369</v>
      </c>
      <c r="B18" s="12"/>
      <c r="C18" s="1213"/>
      <c r="D18" s="1214"/>
      <c r="E18" s="1214"/>
      <c r="F18" s="1214"/>
      <c r="G18" s="1214"/>
      <c r="H18" s="1215"/>
      <c r="I18" s="13"/>
    </row>
    <row r="19" spans="1:9" ht="15" customHeight="1" x14ac:dyDescent="0.3">
      <c r="A19" s="11"/>
      <c r="B19" s="12"/>
      <c r="C19" s="1213"/>
      <c r="D19" s="1214"/>
      <c r="E19" s="1214"/>
      <c r="F19" s="1214"/>
      <c r="G19" s="1214"/>
      <c r="H19" s="1215"/>
      <c r="I19" s="13"/>
    </row>
    <row r="20" spans="1:9" ht="15" customHeight="1" x14ac:dyDescent="0.3">
      <c r="A20" s="11"/>
      <c r="B20" s="12"/>
      <c r="C20" s="1213"/>
      <c r="D20" s="1214"/>
      <c r="E20" s="1214"/>
      <c r="F20" s="1214"/>
      <c r="G20" s="1214"/>
      <c r="H20" s="1215"/>
      <c r="I20" s="13"/>
    </row>
    <row r="21" spans="1:9" ht="15" customHeight="1" x14ac:dyDescent="0.3">
      <c r="A21" s="11"/>
      <c r="B21" s="12"/>
      <c r="C21" s="1213"/>
      <c r="D21" s="1214"/>
      <c r="E21" s="1214"/>
      <c r="F21" s="1214"/>
      <c r="G21" s="1214"/>
      <c r="H21" s="1215"/>
      <c r="I21" s="13"/>
    </row>
    <row r="22" spans="1:9" ht="15" customHeight="1" x14ac:dyDescent="0.3">
      <c r="A22" s="11"/>
      <c r="B22" s="12"/>
      <c r="C22" s="1213"/>
      <c r="D22" s="1214"/>
      <c r="E22" s="1214"/>
      <c r="F22" s="1214"/>
      <c r="G22" s="1214"/>
      <c r="H22" s="1215"/>
      <c r="I22" s="13"/>
    </row>
    <row r="23" spans="1:9" ht="15" customHeight="1" x14ac:dyDescent="0.3">
      <c r="A23" s="11"/>
      <c r="B23" s="12"/>
      <c r="C23" s="1213"/>
      <c r="D23" s="1214"/>
      <c r="E23" s="1214"/>
      <c r="F23" s="1214"/>
      <c r="G23" s="1214"/>
      <c r="H23" s="1215"/>
      <c r="I23" s="13"/>
    </row>
    <row r="24" spans="1:9" ht="15" customHeight="1" x14ac:dyDescent="0.3">
      <c r="A24" s="11"/>
      <c r="B24" s="12"/>
      <c r="C24" s="1213"/>
      <c r="D24" s="1214"/>
      <c r="E24" s="1214"/>
      <c r="F24" s="1214"/>
      <c r="G24" s="1214"/>
      <c r="H24" s="1215"/>
      <c r="I24" s="13"/>
    </row>
    <row r="25" spans="1:9" ht="15" customHeight="1" x14ac:dyDescent="0.3">
      <c r="A25" s="11"/>
      <c r="B25" s="12"/>
      <c r="C25" s="1213"/>
      <c r="D25" s="1214"/>
      <c r="E25" s="1214"/>
      <c r="F25" s="1214"/>
      <c r="G25" s="1214"/>
      <c r="H25" s="1215"/>
      <c r="I25" s="13"/>
    </row>
    <row r="26" spans="1:9" ht="14.25" customHeight="1" x14ac:dyDescent="0.3">
      <c r="A26" s="11"/>
      <c r="B26" s="12"/>
      <c r="C26" s="1213"/>
      <c r="D26" s="1214"/>
      <c r="E26" s="1214"/>
      <c r="F26" s="1214"/>
      <c r="G26" s="1214"/>
      <c r="H26" s="1215"/>
      <c r="I26" s="13"/>
    </row>
    <row r="27" spans="1:9" ht="15.75" customHeight="1" x14ac:dyDescent="0.3">
      <c r="A27" s="11"/>
      <c r="B27" s="12"/>
      <c r="C27" s="1213"/>
      <c r="D27" s="1214"/>
      <c r="E27" s="1214"/>
      <c r="F27" s="1214"/>
      <c r="G27" s="1214"/>
      <c r="H27" s="1215"/>
      <c r="I27" s="13"/>
    </row>
    <row r="28" spans="1:9" x14ac:dyDescent="0.3">
      <c r="A28" s="11"/>
      <c r="B28" s="12"/>
      <c r="C28" s="1213"/>
      <c r="D28" s="1214"/>
      <c r="E28" s="1214"/>
      <c r="F28" s="1214"/>
      <c r="G28" s="1214"/>
      <c r="H28" s="1215"/>
      <c r="I28" s="13"/>
    </row>
    <row r="29" spans="1:9" ht="23.25" customHeight="1" thickBot="1" x14ac:dyDescent="0.35">
      <c r="A29" s="11"/>
      <c r="B29" s="12"/>
      <c r="C29" s="1216"/>
      <c r="D29" s="1217"/>
      <c r="E29" s="1217"/>
      <c r="F29" s="1217"/>
      <c r="G29" s="1217"/>
      <c r="H29" s="1218"/>
      <c r="I29" s="13"/>
    </row>
    <row r="30" spans="1:9" s="6" customFormat="1" ht="27.75" customHeight="1" thickBot="1" x14ac:dyDescent="0.3">
      <c r="A30" s="874"/>
      <c r="B30" s="1209" t="s">
        <v>2209</v>
      </c>
      <c r="C30" s="1209"/>
      <c r="D30" s="1209"/>
      <c r="E30" s="1209"/>
      <c r="F30" s="1209"/>
      <c r="G30" s="1209"/>
      <c r="H30" s="1209"/>
      <c r="I30" s="875"/>
    </row>
    <row r="31" spans="1:9" x14ac:dyDescent="0.3">
      <c r="A31" s="11"/>
      <c r="B31" s="12"/>
      <c r="C31" s="12"/>
      <c r="D31" s="12"/>
      <c r="E31" s="12"/>
      <c r="F31" s="12"/>
      <c r="G31" s="12"/>
      <c r="H31" s="12"/>
      <c r="I31" s="13"/>
    </row>
    <row r="32" spans="1:9" x14ac:dyDescent="0.3">
      <c r="A32" s="14" t="s">
        <v>370</v>
      </c>
      <c r="B32" s="12"/>
      <c r="C32" s="12"/>
      <c r="D32" s="12"/>
      <c r="E32" s="12"/>
      <c r="F32" s="12"/>
      <c r="G32" s="12"/>
      <c r="H32" s="12"/>
      <c r="I32" s="13"/>
    </row>
    <row r="33" spans="1:9" x14ac:dyDescent="0.3">
      <c r="A33" s="11"/>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ht="17.25" thickBot="1" x14ac:dyDescent="0.35">
      <c r="A40" s="16"/>
      <c r="B40" s="1"/>
      <c r="C40" s="1"/>
      <c r="D40" s="1"/>
      <c r="E40" s="1"/>
      <c r="F40" s="1"/>
      <c r="G40" s="1"/>
      <c r="H40" s="1"/>
      <c r="I40" s="2"/>
    </row>
    <row r="41" spans="1:9" x14ac:dyDescent="0.3">
      <c r="A41" s="3" t="s">
        <v>243</v>
      </c>
    </row>
    <row r="47" spans="1:9" x14ac:dyDescent="0.3">
      <c r="A47" s="12"/>
      <c r="B47" s="12"/>
      <c r="C47" s="12"/>
      <c r="D47" s="12"/>
      <c r="E47" s="12"/>
      <c r="F47" s="12"/>
      <c r="G47" s="12"/>
      <c r="H47" s="12"/>
      <c r="I47" s="12"/>
    </row>
    <row r="48" spans="1:9" x14ac:dyDescent="0.3">
      <c r="A48" s="12"/>
      <c r="B48" s="12"/>
      <c r="C48" s="12"/>
      <c r="D48" s="12"/>
      <c r="E48" s="12"/>
      <c r="F48" s="12"/>
      <c r="G48" s="12"/>
      <c r="H48" s="12"/>
      <c r="I48" s="12"/>
    </row>
    <row r="49" spans="1:9" x14ac:dyDescent="0.3">
      <c r="A49" s="12"/>
      <c r="B49" s="12"/>
      <c r="C49" s="12"/>
      <c r="D49" s="12"/>
      <c r="E49" s="12"/>
      <c r="F49" s="12"/>
      <c r="G49" s="12"/>
      <c r="H49" s="12"/>
      <c r="I49" s="12"/>
    </row>
  </sheetData>
  <mergeCells count="6">
    <mergeCell ref="B30:H30"/>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J49"/>
  <sheetViews>
    <sheetView view="pageBreakPreview" zoomScaleNormal="100" zoomScaleSheetLayoutView="100" workbookViewId="0">
      <selection activeCell="A11" sqref="A11"/>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219" t="str">
        <f>'ETCA-I-01'!A1:G1</f>
        <v>TELEVISORA DE HERMOSILLO, S.A. DE C.V.</v>
      </c>
      <c r="B1" s="1219"/>
      <c r="C1" s="1219"/>
      <c r="D1" s="1219"/>
      <c r="E1" s="1219"/>
      <c r="F1" s="1219"/>
      <c r="G1" s="1219"/>
      <c r="H1" s="1219"/>
      <c r="I1" s="1219"/>
      <c r="J1" s="1219"/>
    </row>
    <row r="2" spans="1:10" x14ac:dyDescent="0.3">
      <c r="A2" s="1220" t="s">
        <v>9</v>
      </c>
      <c r="B2" s="1220"/>
      <c r="C2" s="1220"/>
      <c r="D2" s="1220"/>
      <c r="E2" s="1220"/>
      <c r="F2" s="1220"/>
      <c r="G2" s="1220"/>
      <c r="H2" s="1220"/>
      <c r="I2" s="1220"/>
      <c r="J2" s="1220"/>
    </row>
    <row r="3" spans="1:10" x14ac:dyDescent="0.3">
      <c r="A3" s="1221" t="str">
        <f>'ETCA-I-01'!A3:G3</f>
        <v>Al 30 de Septiembre de 2021</v>
      </c>
      <c r="B3" s="1221"/>
      <c r="C3" s="1221"/>
      <c r="D3" s="1221"/>
      <c r="E3" s="1221"/>
      <c r="F3" s="1221"/>
      <c r="G3" s="1221"/>
      <c r="H3" s="1221"/>
      <c r="I3" s="1221"/>
      <c r="J3" s="1221"/>
    </row>
    <row r="4" spans="1:10" ht="18" customHeight="1" thickBot="1" x14ac:dyDescent="0.35">
      <c r="A4" s="1232" t="s">
        <v>1032</v>
      </c>
      <c r="B4" s="1232"/>
      <c r="C4" s="1232"/>
      <c r="D4" s="1232"/>
      <c r="E4" s="1232"/>
      <c r="F4" s="1232"/>
      <c r="G4" s="1232"/>
      <c r="H4" s="1232"/>
      <c r="I4" s="4"/>
    </row>
    <row r="5" spans="1:10" x14ac:dyDescent="0.3">
      <c r="A5" s="8"/>
      <c r="B5" s="9"/>
      <c r="C5" s="9"/>
      <c r="D5" s="9"/>
      <c r="E5" s="9"/>
      <c r="F5" s="9"/>
      <c r="G5" s="9"/>
      <c r="H5" s="9"/>
      <c r="I5" s="9"/>
      <c r="J5" s="10"/>
    </row>
    <row r="6" spans="1:10" x14ac:dyDescent="0.3">
      <c r="A6" s="11"/>
      <c r="B6" s="12"/>
      <c r="C6" s="12"/>
      <c r="D6" s="12"/>
      <c r="E6" s="12"/>
      <c r="F6" s="12"/>
      <c r="G6" s="12"/>
      <c r="H6" s="12"/>
      <c r="I6" s="12"/>
      <c r="J6" s="13"/>
    </row>
    <row r="7" spans="1:10" x14ac:dyDescent="0.3">
      <c r="A7" s="11"/>
      <c r="B7" s="12"/>
      <c r="C7" s="12"/>
      <c r="D7" s="12"/>
      <c r="E7" s="12"/>
      <c r="F7" s="12"/>
      <c r="G7" s="12"/>
      <c r="H7" s="12"/>
      <c r="I7" s="12"/>
      <c r="J7" s="13"/>
    </row>
    <row r="8" spans="1:10" ht="6" customHeight="1" x14ac:dyDescent="0.3">
      <c r="A8" s="11"/>
      <c r="B8" s="12"/>
      <c r="C8" s="12"/>
      <c r="D8" s="12"/>
      <c r="E8" s="12"/>
      <c r="F8" s="12"/>
      <c r="G8" s="12"/>
      <c r="H8" s="12"/>
      <c r="I8" s="12"/>
      <c r="J8" s="13"/>
    </row>
    <row r="9" spans="1:10" ht="9" customHeight="1" thickBot="1" x14ac:dyDescent="0.35">
      <c r="A9" s="11"/>
      <c r="B9" s="12"/>
      <c r="C9" s="12"/>
      <c r="D9" s="12"/>
      <c r="E9" s="12"/>
      <c r="F9" s="12"/>
      <c r="G9" s="12"/>
      <c r="H9" s="12"/>
      <c r="I9" s="12"/>
      <c r="J9" s="13"/>
    </row>
    <row r="10" spans="1:10" ht="16.5" customHeight="1" x14ac:dyDescent="0.3">
      <c r="A10" s="11"/>
      <c r="B10" s="12"/>
      <c r="C10" s="1223" t="s">
        <v>1033</v>
      </c>
      <c r="D10" s="1224"/>
      <c r="E10" s="1224"/>
      <c r="F10" s="1224"/>
      <c r="G10" s="1224"/>
      <c r="H10" s="1225"/>
      <c r="I10" s="12"/>
      <c r="J10" s="13"/>
    </row>
    <row r="11" spans="1:10" x14ac:dyDescent="0.3">
      <c r="A11" s="11"/>
      <c r="B11" s="12"/>
      <c r="C11" s="1226"/>
      <c r="D11" s="1227"/>
      <c r="E11" s="1227"/>
      <c r="F11" s="1227"/>
      <c r="G11" s="1227"/>
      <c r="H11" s="1228"/>
      <c r="I11" s="12"/>
      <c r="J11" s="13"/>
    </row>
    <row r="12" spans="1:10" x14ac:dyDescent="0.3">
      <c r="A12" s="11"/>
      <c r="B12" s="12"/>
      <c r="C12" s="1226"/>
      <c r="D12" s="1227"/>
      <c r="E12" s="1227"/>
      <c r="F12" s="1227"/>
      <c r="G12" s="1227"/>
      <c r="H12" s="1228"/>
      <c r="I12" s="12"/>
      <c r="J12" s="13"/>
    </row>
    <row r="13" spans="1:10" x14ac:dyDescent="0.3">
      <c r="A13" s="11"/>
      <c r="B13" s="12"/>
      <c r="C13" s="1226"/>
      <c r="D13" s="1227"/>
      <c r="E13" s="1227"/>
      <c r="F13" s="1227"/>
      <c r="G13" s="1227"/>
      <c r="H13" s="1228"/>
      <c r="I13" s="12"/>
      <c r="J13" s="13"/>
    </row>
    <row r="14" spans="1:10" x14ac:dyDescent="0.3">
      <c r="A14" s="11"/>
      <c r="B14" s="12"/>
      <c r="C14" s="1226"/>
      <c r="D14" s="1227"/>
      <c r="E14" s="1227"/>
      <c r="F14" s="1227"/>
      <c r="G14" s="1227"/>
      <c r="H14" s="1228"/>
      <c r="I14" s="12"/>
      <c r="J14" s="13"/>
    </row>
    <row r="15" spans="1:10" x14ac:dyDescent="0.3">
      <c r="A15" s="11"/>
      <c r="B15" s="12"/>
      <c r="C15" s="1226"/>
      <c r="D15" s="1227"/>
      <c r="E15" s="1227"/>
      <c r="F15" s="1227"/>
      <c r="G15" s="1227"/>
      <c r="H15" s="1228"/>
      <c r="I15" s="12"/>
      <c r="J15" s="13"/>
    </row>
    <row r="16" spans="1:10" ht="17.25" thickBot="1" x14ac:dyDescent="0.35">
      <c r="A16" s="11"/>
      <c r="B16" s="12"/>
      <c r="C16" s="1229"/>
      <c r="D16" s="1230"/>
      <c r="E16" s="1230"/>
      <c r="F16" s="1230"/>
      <c r="G16" s="1230"/>
      <c r="H16" s="1231"/>
      <c r="I16" s="12"/>
      <c r="J16" s="13"/>
    </row>
    <row r="17" spans="1:10" x14ac:dyDescent="0.3">
      <c r="A17" s="11"/>
      <c r="B17" s="12"/>
      <c r="C17" s="12"/>
      <c r="D17" s="12"/>
      <c r="E17" s="12"/>
      <c r="F17" s="12"/>
      <c r="G17" s="12"/>
      <c r="H17" s="12"/>
      <c r="I17" s="12"/>
      <c r="J17" s="13"/>
    </row>
    <row r="18" spans="1:10" x14ac:dyDescent="0.3">
      <c r="A18" s="11"/>
      <c r="B18" s="12"/>
      <c r="C18" s="19" t="s">
        <v>371</v>
      </c>
      <c r="D18" s="12"/>
      <c r="E18" s="12"/>
      <c r="F18" s="12"/>
      <c r="G18" s="12"/>
      <c r="H18" s="12"/>
      <c r="I18" s="12"/>
      <c r="J18" s="13"/>
    </row>
    <row r="19" spans="1:10" ht="9.75" customHeight="1" thickBot="1" x14ac:dyDescent="0.35">
      <c r="A19" s="11"/>
      <c r="B19" s="12"/>
      <c r="C19" s="19"/>
      <c r="D19" s="12"/>
      <c r="E19" s="12"/>
      <c r="F19" s="12"/>
      <c r="G19" s="12"/>
      <c r="H19" s="12"/>
      <c r="I19" s="12"/>
      <c r="J19" s="13"/>
    </row>
    <row r="20" spans="1:10" x14ac:dyDescent="0.3">
      <c r="A20" s="11"/>
      <c r="B20" s="12"/>
      <c r="C20" s="20" t="s">
        <v>372</v>
      </c>
      <c r="D20" s="21"/>
      <c r="E20" s="21"/>
      <c r="F20" s="21"/>
      <c r="G20" s="21"/>
      <c r="H20" s="22"/>
      <c r="I20" s="12"/>
      <c r="J20" s="13"/>
    </row>
    <row r="21" spans="1:10" x14ac:dyDescent="0.3">
      <c r="A21" s="11"/>
      <c r="B21" s="12"/>
      <c r="C21" s="23" t="s">
        <v>373</v>
      </c>
      <c r="D21" s="24"/>
      <c r="E21" s="24"/>
      <c r="F21" s="24"/>
      <c r="G21" s="24"/>
      <c r="H21" s="25"/>
      <c r="I21" s="12"/>
      <c r="J21" s="13"/>
    </row>
    <row r="22" spans="1:10" x14ac:dyDescent="0.3">
      <c r="A22" s="11"/>
      <c r="B22" s="12"/>
      <c r="C22" s="23" t="s">
        <v>374</v>
      </c>
      <c r="D22" s="24"/>
      <c r="E22" s="24"/>
      <c r="F22" s="24"/>
      <c r="G22" s="24"/>
      <c r="H22" s="25"/>
      <c r="I22" s="12"/>
      <c r="J22" s="13"/>
    </row>
    <row r="23" spans="1:10" ht="17.25" thickBot="1" x14ac:dyDescent="0.35">
      <c r="A23" s="11"/>
      <c r="B23" s="12"/>
      <c r="C23" s="26" t="s">
        <v>375</v>
      </c>
      <c r="D23" s="27"/>
      <c r="E23" s="27"/>
      <c r="F23" s="27"/>
      <c r="G23" s="27"/>
      <c r="H23" s="28"/>
      <c r="I23" s="12"/>
      <c r="J23" s="13"/>
    </row>
    <row r="24" spans="1:10" x14ac:dyDescent="0.3">
      <c r="A24" s="11"/>
      <c r="B24" s="12"/>
      <c r="C24" s="12"/>
      <c r="D24" s="12"/>
      <c r="E24" s="12"/>
      <c r="F24" s="12"/>
      <c r="G24" s="12"/>
      <c r="H24" s="12"/>
      <c r="I24" s="12"/>
      <c r="J24" s="13"/>
    </row>
    <row r="25" spans="1:10" x14ac:dyDescent="0.3">
      <c r="A25" s="29" t="s">
        <v>376</v>
      </c>
      <c r="B25" s="12" t="s">
        <v>377</v>
      </c>
      <c r="C25" s="12"/>
      <c r="D25" s="12"/>
      <c r="E25" s="12"/>
      <c r="F25" s="12"/>
      <c r="G25" s="12"/>
      <c r="H25" s="12"/>
      <c r="I25" s="12"/>
      <c r="J25" s="13"/>
    </row>
    <row r="26" spans="1:10" x14ac:dyDescent="0.3">
      <c r="A26" s="29" t="s">
        <v>378</v>
      </c>
      <c r="B26" s="12" t="s">
        <v>379</v>
      </c>
      <c r="C26" s="12"/>
      <c r="D26" s="12"/>
      <c r="E26" s="12"/>
      <c r="F26" s="12"/>
      <c r="G26" s="12"/>
      <c r="H26" s="12"/>
      <c r="I26" s="12"/>
      <c r="J26" s="13"/>
    </row>
    <row r="27" spans="1:10" x14ac:dyDescent="0.3">
      <c r="A27" s="29" t="s">
        <v>380</v>
      </c>
      <c r="B27" s="12" t="s">
        <v>381</v>
      </c>
      <c r="C27" s="12"/>
      <c r="D27" s="12"/>
      <c r="E27" s="12"/>
      <c r="F27" s="12"/>
      <c r="G27" s="12"/>
      <c r="H27" s="12"/>
      <c r="I27" s="12"/>
      <c r="J27" s="13"/>
    </row>
    <row r="28" spans="1:10" x14ac:dyDescent="0.3">
      <c r="A28" s="29" t="s">
        <v>382</v>
      </c>
      <c r="B28" s="30" t="s">
        <v>383</v>
      </c>
      <c r="C28" s="12"/>
      <c r="D28" s="12"/>
      <c r="E28" s="12"/>
      <c r="F28" s="12"/>
      <c r="G28" s="12"/>
      <c r="H28" s="12"/>
      <c r="I28" s="12"/>
      <c r="J28" s="13"/>
    </row>
    <row r="29" spans="1:10" x14ac:dyDescent="0.3">
      <c r="A29" s="29" t="s">
        <v>384</v>
      </c>
      <c r="B29" s="30" t="s">
        <v>385</v>
      </c>
      <c r="C29" s="12"/>
      <c r="D29" s="12"/>
      <c r="E29" s="12"/>
      <c r="F29" s="12"/>
      <c r="G29" s="12"/>
      <c r="H29" s="12"/>
      <c r="I29" s="12"/>
      <c r="J29" s="13"/>
    </row>
    <row r="30" spans="1:10" x14ac:dyDescent="0.3">
      <c r="A30" s="29" t="s">
        <v>386</v>
      </c>
      <c r="B30" s="30" t="s">
        <v>387</v>
      </c>
      <c r="C30" s="12"/>
      <c r="D30" s="12"/>
      <c r="E30" s="12"/>
      <c r="F30" s="12"/>
      <c r="G30" s="12"/>
      <c r="H30" s="12"/>
      <c r="I30" s="12"/>
      <c r="J30" s="13"/>
    </row>
    <row r="31" spans="1:10" x14ac:dyDescent="0.3">
      <c r="A31" s="29" t="s">
        <v>388</v>
      </c>
      <c r="B31" s="30" t="s">
        <v>389</v>
      </c>
      <c r="C31" s="12"/>
      <c r="D31" s="12"/>
      <c r="E31" s="12"/>
      <c r="F31" s="12"/>
      <c r="G31" s="12"/>
      <c r="H31" s="12"/>
      <c r="I31" s="12"/>
      <c r="J31" s="13"/>
    </row>
    <row r="32" spans="1:10" x14ac:dyDescent="0.3">
      <c r="A32" s="29" t="s">
        <v>390</v>
      </c>
      <c r="B32" s="30" t="s">
        <v>391</v>
      </c>
      <c r="C32" s="12"/>
      <c r="D32" s="12"/>
      <c r="E32" s="12"/>
      <c r="F32" s="12"/>
      <c r="G32" s="12"/>
      <c r="H32" s="12"/>
      <c r="I32" s="12"/>
      <c r="J32" s="13"/>
    </row>
    <row r="33" spans="1:10" x14ac:dyDescent="0.3">
      <c r="A33" s="29" t="s">
        <v>392</v>
      </c>
      <c r="B33" s="30" t="s">
        <v>393</v>
      </c>
      <c r="C33" s="12"/>
      <c r="D33" s="12"/>
      <c r="E33" s="12"/>
      <c r="F33" s="12"/>
      <c r="G33" s="12"/>
      <c r="H33" s="12"/>
      <c r="I33" s="12"/>
      <c r="J33" s="13"/>
    </row>
    <row r="34" spans="1:10" x14ac:dyDescent="0.3">
      <c r="A34" s="29" t="s">
        <v>394</v>
      </c>
      <c r="B34" s="30" t="s">
        <v>395</v>
      </c>
      <c r="C34" s="12"/>
      <c r="D34" s="12"/>
      <c r="E34" s="12"/>
      <c r="F34" s="12"/>
      <c r="G34" s="12"/>
      <c r="H34" s="12"/>
      <c r="I34" s="12"/>
      <c r="J34" s="13"/>
    </row>
    <row r="35" spans="1:10" x14ac:dyDescent="0.3">
      <c r="A35" s="29" t="s">
        <v>396</v>
      </c>
      <c r="B35" s="30" t="s">
        <v>397</v>
      </c>
      <c r="C35" s="12"/>
      <c r="D35" s="12"/>
      <c r="E35" s="12"/>
      <c r="F35" s="12"/>
      <c r="G35" s="12"/>
      <c r="H35" s="12"/>
      <c r="I35" s="12"/>
      <c r="J35" s="13"/>
    </row>
    <row r="36" spans="1:10" x14ac:dyDescent="0.3">
      <c r="A36" s="29" t="s">
        <v>398</v>
      </c>
      <c r="B36" s="30" t="s">
        <v>399</v>
      </c>
      <c r="C36" s="12"/>
      <c r="D36" s="12"/>
      <c r="E36" s="12"/>
      <c r="F36" s="12"/>
      <c r="G36" s="12"/>
      <c r="H36" s="12"/>
      <c r="I36" s="12"/>
      <c r="J36" s="13"/>
    </row>
    <row r="37" spans="1:10" x14ac:dyDescent="0.3">
      <c r="A37" s="29" t="s">
        <v>400</v>
      </c>
      <c r="B37" s="30" t="s">
        <v>401</v>
      </c>
      <c r="C37" s="12"/>
      <c r="D37" s="12"/>
      <c r="E37" s="12"/>
      <c r="F37" s="12"/>
      <c r="G37" s="12"/>
      <c r="H37" s="12"/>
      <c r="I37" s="12"/>
      <c r="J37" s="13"/>
    </row>
    <row r="38" spans="1:10" x14ac:dyDescent="0.3">
      <c r="A38" s="29" t="s">
        <v>402</v>
      </c>
      <c r="B38" s="30" t="s">
        <v>403</v>
      </c>
      <c r="C38" s="12"/>
      <c r="D38" s="12"/>
      <c r="E38" s="12"/>
      <c r="F38" s="12"/>
      <c r="G38" s="12"/>
      <c r="H38" s="12"/>
      <c r="I38" s="12"/>
      <c r="J38" s="13"/>
    </row>
    <row r="39" spans="1:10" x14ac:dyDescent="0.3">
      <c r="A39" s="29" t="s">
        <v>404</v>
      </c>
      <c r="B39" s="30" t="s">
        <v>405</v>
      </c>
      <c r="C39" s="12"/>
      <c r="D39" s="12"/>
      <c r="E39" s="12"/>
      <c r="F39" s="12"/>
      <c r="G39" s="12"/>
      <c r="H39" s="12"/>
      <c r="I39" s="12"/>
      <c r="J39" s="13"/>
    </row>
    <row r="40" spans="1:10" x14ac:dyDescent="0.3">
      <c r="A40" s="29" t="s">
        <v>406</v>
      </c>
      <c r="B40" s="30" t="s">
        <v>407</v>
      </c>
      <c r="C40" s="12"/>
      <c r="D40" s="12"/>
      <c r="E40" s="12"/>
      <c r="F40" s="12"/>
      <c r="G40" s="12"/>
      <c r="H40" s="12"/>
      <c r="I40" s="12"/>
      <c r="J40" s="13"/>
    </row>
    <row r="41" spans="1:10" x14ac:dyDescent="0.3">
      <c r="A41" s="29" t="s">
        <v>408</v>
      </c>
      <c r="B41" s="30" t="s">
        <v>409</v>
      </c>
      <c r="C41" s="12"/>
      <c r="D41" s="12"/>
      <c r="E41" s="12"/>
      <c r="F41" s="12"/>
      <c r="G41" s="12"/>
      <c r="H41" s="12"/>
      <c r="I41" s="12"/>
      <c r="J41" s="13"/>
    </row>
    <row r="42" spans="1:10" x14ac:dyDescent="0.3">
      <c r="A42" s="11"/>
      <c r="B42" s="12"/>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9"/>
      <c r="J48" s="13"/>
    </row>
    <row r="49" spans="1:10" ht="17.25" thickBot="1" x14ac:dyDescent="0.35">
      <c r="A49" s="16"/>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H57"/>
  <sheetViews>
    <sheetView view="pageBreakPreview" zoomScaleNormal="100" zoomScaleSheetLayoutView="100" workbookViewId="0">
      <selection activeCell="G18" sqref="G18"/>
    </sheetView>
  </sheetViews>
  <sheetFormatPr baseColWidth="10" defaultColWidth="11.28515625" defaultRowHeight="16.5" x14ac:dyDescent="0.25"/>
  <cols>
    <col min="1" max="1" width="1.140625" style="214" customWidth="1"/>
    <col min="2" max="2" width="31.7109375" style="214" customWidth="1"/>
    <col min="3" max="4" width="14.28515625" style="117" customWidth="1"/>
    <col min="5" max="5" width="13.140625" style="117" customWidth="1"/>
    <col min="6" max="6" width="14" style="117" customWidth="1"/>
    <col min="7" max="7" width="15" style="117" customWidth="1"/>
    <col min="8" max="8" width="14.28515625" style="117" customWidth="1"/>
    <col min="9" max="16384" width="11.28515625" style="117"/>
  </cols>
  <sheetData>
    <row r="1" spans="1:8" x14ac:dyDescent="0.25">
      <c r="A1" s="1171" t="str">
        <f>'ETCA-I-01'!A1:G1</f>
        <v>TELEVISORA DE HERMOSILLO, S.A. DE C.V.</v>
      </c>
      <c r="B1" s="1171"/>
      <c r="C1" s="1171"/>
      <c r="D1" s="1171"/>
      <c r="E1" s="1171"/>
      <c r="F1" s="1171"/>
      <c r="G1" s="1171"/>
      <c r="H1" s="1171"/>
    </row>
    <row r="2" spans="1:8" s="149" customFormat="1" ht="15.75" x14ac:dyDescent="0.25">
      <c r="A2" s="1171" t="s">
        <v>11</v>
      </c>
      <c r="B2" s="1171"/>
      <c r="C2" s="1171"/>
      <c r="D2" s="1171"/>
      <c r="E2" s="1171"/>
      <c r="F2" s="1171"/>
      <c r="G2" s="1171"/>
      <c r="H2" s="1171"/>
    </row>
    <row r="3" spans="1:8" s="149" customFormat="1" x14ac:dyDescent="0.25">
      <c r="A3" s="1172" t="str">
        <f>'ETCA-I-03'!A3:D3</f>
        <v>Del 01 de Enero al 30 de Septiembre de 2021</v>
      </c>
      <c r="B3" s="1172"/>
      <c r="C3" s="1172"/>
      <c r="D3" s="1172"/>
      <c r="E3" s="1172"/>
      <c r="F3" s="1172"/>
      <c r="G3" s="1172"/>
      <c r="H3" s="1172"/>
    </row>
    <row r="4" spans="1:8" s="151" customFormat="1" ht="17.25" thickBot="1" x14ac:dyDescent="0.3">
      <c r="A4" s="150"/>
      <c r="B4" s="150"/>
      <c r="C4" s="1173"/>
      <c r="D4" s="1173"/>
      <c r="E4" s="1173"/>
      <c r="F4" s="1173"/>
      <c r="G4" s="506"/>
      <c r="H4" s="49"/>
    </row>
    <row r="5" spans="1:8" s="185" customFormat="1" ht="17.25" thickBot="1" x14ac:dyDescent="0.3">
      <c r="A5" s="1236" t="s">
        <v>954</v>
      </c>
      <c r="B5" s="1237"/>
      <c r="C5" s="1233" t="s">
        <v>429</v>
      </c>
      <c r="D5" s="1234"/>
      <c r="E5" s="1234"/>
      <c r="F5" s="1234"/>
      <c r="G5" s="1235"/>
      <c r="H5" s="775"/>
    </row>
    <row r="6" spans="1:8" s="185" customFormat="1" ht="39" thickBot="1" x14ac:dyDescent="0.3">
      <c r="A6" s="1238"/>
      <c r="B6" s="1239"/>
      <c r="C6" s="832" t="s">
        <v>955</v>
      </c>
      <c r="D6" s="832" t="s">
        <v>410</v>
      </c>
      <c r="E6" s="832" t="s">
        <v>433</v>
      </c>
      <c r="F6" s="833" t="s">
        <v>780</v>
      </c>
      <c r="G6" s="833" t="s">
        <v>956</v>
      </c>
      <c r="H6" s="834" t="s">
        <v>411</v>
      </c>
    </row>
    <row r="7" spans="1:8" s="185" customFormat="1" ht="17.25" thickBot="1" x14ac:dyDescent="0.3">
      <c r="A7" s="1240"/>
      <c r="B7" s="1241"/>
      <c r="C7" s="199" t="s">
        <v>412</v>
      </c>
      <c r="D7" s="199" t="s">
        <v>413</v>
      </c>
      <c r="E7" s="199" t="s">
        <v>414</v>
      </c>
      <c r="F7" s="776" t="s">
        <v>415</v>
      </c>
      <c r="G7" s="776" t="s">
        <v>416</v>
      </c>
      <c r="H7" s="199" t="s">
        <v>417</v>
      </c>
    </row>
    <row r="8" spans="1:8" s="185" customFormat="1" ht="8.25" customHeight="1" x14ac:dyDescent="0.25">
      <c r="A8" s="189"/>
      <c r="B8" s="772"/>
      <c r="C8" s="777"/>
      <c r="D8" s="777"/>
      <c r="E8" s="778"/>
      <c r="F8" s="777"/>
      <c r="G8" s="777"/>
      <c r="H8" s="778"/>
    </row>
    <row r="9" spans="1:8" ht="17.100000000000001" customHeight="1" x14ac:dyDescent="0.25">
      <c r="A9" s="190"/>
      <c r="B9" s="773" t="s">
        <v>198</v>
      </c>
      <c r="C9" s="779"/>
      <c r="D9" s="779"/>
      <c r="E9" s="780">
        <f>C9+D9</f>
        <v>0</v>
      </c>
      <c r="F9" s="779"/>
      <c r="G9" s="779"/>
      <c r="H9" s="780">
        <f>G9-C9</f>
        <v>0</v>
      </c>
    </row>
    <row r="10" spans="1:8" ht="17.100000000000001" customHeight="1" x14ac:dyDescent="0.25">
      <c r="A10" s="190"/>
      <c r="B10" s="773" t="s">
        <v>199</v>
      </c>
      <c r="C10" s="779">
        <v>0</v>
      </c>
      <c r="D10" s="779">
        <v>0</v>
      </c>
      <c r="E10" s="780">
        <f t="shared" ref="E10:E18" si="0">C10+D10</f>
        <v>0</v>
      </c>
      <c r="F10" s="779">
        <v>0</v>
      </c>
      <c r="G10" s="779">
        <v>0</v>
      </c>
      <c r="H10" s="780">
        <f t="shared" ref="H10:H19" si="1">G10-C10</f>
        <v>0</v>
      </c>
    </row>
    <row r="11" spans="1:8" ht="17.100000000000001" customHeight="1" x14ac:dyDescent="0.25">
      <c r="A11" s="190"/>
      <c r="B11" s="773" t="s">
        <v>418</v>
      </c>
      <c r="C11" s="779">
        <v>0</v>
      </c>
      <c r="D11" s="779"/>
      <c r="E11" s="780">
        <f t="shared" si="0"/>
        <v>0</v>
      </c>
      <c r="F11" s="779"/>
      <c r="G11" s="779"/>
      <c r="H11" s="780">
        <f t="shared" si="1"/>
        <v>0</v>
      </c>
    </row>
    <row r="12" spans="1:8" ht="17.100000000000001" customHeight="1" x14ac:dyDescent="0.25">
      <c r="A12" s="190"/>
      <c r="B12" s="773" t="s">
        <v>201</v>
      </c>
      <c r="C12" s="779">
        <v>0</v>
      </c>
      <c r="D12" s="779"/>
      <c r="E12" s="780">
        <f t="shared" si="0"/>
        <v>0</v>
      </c>
      <c r="F12" s="779"/>
      <c r="G12" s="779"/>
      <c r="H12" s="780">
        <f t="shared" si="1"/>
        <v>0</v>
      </c>
    </row>
    <row r="13" spans="1:8" ht="17.100000000000001" customHeight="1" x14ac:dyDescent="0.25">
      <c r="A13" s="190"/>
      <c r="B13" s="773" t="s">
        <v>419</v>
      </c>
      <c r="C13" s="779">
        <v>0</v>
      </c>
      <c r="D13" s="779">
        <v>983.56</v>
      </c>
      <c r="E13" s="780">
        <f t="shared" si="0"/>
        <v>983.56</v>
      </c>
      <c r="F13" s="779">
        <v>983.58299999999997</v>
      </c>
      <c r="G13" s="779">
        <v>983.53</v>
      </c>
      <c r="H13" s="780">
        <f t="shared" si="1"/>
        <v>983.53</v>
      </c>
    </row>
    <row r="14" spans="1:8" ht="17.100000000000001" customHeight="1" x14ac:dyDescent="0.25">
      <c r="A14" s="190"/>
      <c r="B14" s="773" t="s">
        <v>420</v>
      </c>
      <c r="C14" s="779">
        <v>0</v>
      </c>
      <c r="D14" s="779"/>
      <c r="E14" s="780">
        <f t="shared" si="0"/>
        <v>0</v>
      </c>
      <c r="F14" s="779"/>
      <c r="G14" s="779"/>
      <c r="H14" s="780">
        <f t="shared" si="1"/>
        <v>0</v>
      </c>
    </row>
    <row r="15" spans="1:8" ht="29.25" customHeight="1" x14ac:dyDescent="0.25">
      <c r="A15" s="190"/>
      <c r="B15" s="773" t="s">
        <v>957</v>
      </c>
      <c r="C15" s="779">
        <v>103543736</v>
      </c>
      <c r="D15" s="779">
        <v>-14500000</v>
      </c>
      <c r="E15" s="780">
        <f t="shared" si="0"/>
        <v>89043736</v>
      </c>
      <c r="F15" s="779">
        <v>4930792</v>
      </c>
      <c r="G15" s="779">
        <v>3859007.61</v>
      </c>
      <c r="H15" s="780">
        <f t="shared" si="1"/>
        <v>-99684728.390000001</v>
      </c>
    </row>
    <row r="16" spans="1:8" ht="55.5" customHeight="1" x14ac:dyDescent="0.25">
      <c r="A16" s="190"/>
      <c r="B16" s="773" t="s">
        <v>958</v>
      </c>
      <c r="C16" s="779"/>
      <c r="D16" s="779">
        <v>0</v>
      </c>
      <c r="E16" s="780">
        <f t="shared" si="0"/>
        <v>0</v>
      </c>
      <c r="F16" s="779">
        <v>0</v>
      </c>
      <c r="G16" s="779">
        <v>0</v>
      </c>
      <c r="H16" s="780">
        <f t="shared" si="1"/>
        <v>0</v>
      </c>
    </row>
    <row r="17" spans="1:8" ht="25.5" x14ac:dyDescent="0.25">
      <c r="A17" s="190"/>
      <c r="B17" s="773" t="s">
        <v>962</v>
      </c>
      <c r="C17" s="779">
        <v>0</v>
      </c>
      <c r="D17" s="779">
        <v>17852663</v>
      </c>
      <c r="E17" s="780">
        <f t="shared" si="0"/>
        <v>17852663</v>
      </c>
      <c r="F17" s="779">
        <v>13171728</v>
      </c>
      <c r="G17" s="779">
        <v>13171728</v>
      </c>
      <c r="H17" s="780">
        <f t="shared" si="1"/>
        <v>13171728</v>
      </c>
    </row>
    <row r="18" spans="1:8" ht="17.100000000000001" customHeight="1" thickBot="1" x14ac:dyDescent="0.3">
      <c r="A18" s="191"/>
      <c r="B18" s="774" t="s">
        <v>421</v>
      </c>
      <c r="C18" s="781"/>
      <c r="D18" s="781"/>
      <c r="E18" s="782">
        <f t="shared" si="0"/>
        <v>0</v>
      </c>
      <c r="F18" s="781"/>
      <c r="G18" s="781"/>
      <c r="H18" s="782">
        <f t="shared" si="1"/>
        <v>0</v>
      </c>
    </row>
    <row r="19" spans="1:8" s="215" customFormat="1" ht="28.5" customHeight="1" thickBot="1" x14ac:dyDescent="0.3">
      <c r="A19" s="1253" t="s">
        <v>249</v>
      </c>
      <c r="B19" s="1254"/>
      <c r="C19" s="783">
        <f>C9+C10+C11+C12+C13+C14+C15+C16+C17+C18</f>
        <v>103543736</v>
      </c>
      <c r="D19" s="783">
        <f>D9+D10+D11+D12+D13+D14+D15+D16+D17+D18</f>
        <v>3353646.5600000005</v>
      </c>
      <c r="E19" s="783">
        <f>E9+E10+E11+E12+E13+E14+E15+E16+E17+E18</f>
        <v>106897382.56</v>
      </c>
      <c r="F19" s="783">
        <f>F9+F10+F11+F12+F13+F14+F15+F16+F17+F18</f>
        <v>18103503.583000001</v>
      </c>
      <c r="G19" s="783">
        <f>G9+G10+G11+G12+G13+G14+G15+G16+G17+G18</f>
        <v>17031719.140000001</v>
      </c>
      <c r="H19" s="783">
        <f t="shared" si="1"/>
        <v>-86512016.859999999</v>
      </c>
    </row>
    <row r="20" spans="1:8" ht="22.5" customHeight="1" thickBot="1" x14ac:dyDescent="0.3">
      <c r="A20" s="192"/>
      <c r="B20" s="192"/>
      <c r="C20" s="193"/>
      <c r="D20" s="193"/>
      <c r="E20" s="193"/>
      <c r="F20" s="194"/>
      <c r="G20" s="761" t="s">
        <v>959</v>
      </c>
      <c r="H20" s="762" t="str">
        <f>IF(($G$19-$C$19)&lt;=0,"",$G$19-$C$19)</f>
        <v/>
      </c>
    </row>
    <row r="21" spans="1:8" ht="10.5" customHeight="1" thickBot="1" x14ac:dyDescent="0.3">
      <c r="A21" s="195"/>
      <c r="B21" s="195"/>
      <c r="C21" s="196"/>
      <c r="D21" s="196"/>
      <c r="E21" s="196"/>
      <c r="F21" s="197"/>
      <c r="G21" s="198"/>
      <c r="H21" s="194"/>
    </row>
    <row r="22" spans="1:8" s="185" customFormat="1" ht="17.25" thickBot="1" x14ac:dyDescent="0.3">
      <c r="A22" s="1247" t="s">
        <v>960</v>
      </c>
      <c r="B22" s="1248"/>
      <c r="C22" s="1233" t="s">
        <v>429</v>
      </c>
      <c r="D22" s="1234"/>
      <c r="E22" s="1234"/>
      <c r="F22" s="1234"/>
      <c r="G22" s="1235"/>
      <c r="H22" s="775"/>
    </row>
    <row r="23" spans="1:8" s="185" customFormat="1" ht="39" thickBot="1" x14ac:dyDescent="0.3">
      <c r="A23" s="1249"/>
      <c r="B23" s="1250"/>
      <c r="C23" s="832" t="s">
        <v>955</v>
      </c>
      <c r="D23" s="832" t="s">
        <v>410</v>
      </c>
      <c r="E23" s="832" t="s">
        <v>433</v>
      </c>
      <c r="F23" s="833" t="s">
        <v>780</v>
      </c>
      <c r="G23" s="833" t="s">
        <v>956</v>
      </c>
      <c r="H23" s="834" t="s">
        <v>411</v>
      </c>
    </row>
    <row r="24" spans="1:8" s="185" customFormat="1" ht="17.25" thickBot="1" x14ac:dyDescent="0.3">
      <c r="A24" s="1251"/>
      <c r="B24" s="1252"/>
      <c r="C24" s="199" t="s">
        <v>412</v>
      </c>
      <c r="D24" s="199" t="s">
        <v>413</v>
      </c>
      <c r="E24" s="199" t="s">
        <v>414</v>
      </c>
      <c r="F24" s="776" t="s">
        <v>415</v>
      </c>
      <c r="G24" s="776" t="s">
        <v>416</v>
      </c>
      <c r="H24" s="199" t="s">
        <v>417</v>
      </c>
    </row>
    <row r="25" spans="1:8" s="200" customFormat="1" ht="34.5" customHeight="1" x14ac:dyDescent="0.25">
      <c r="A25" s="1257" t="s">
        <v>961</v>
      </c>
      <c r="B25" s="1258"/>
      <c r="C25" s="454">
        <f t="shared" ref="C25:H25" si="2">SUM(C26,C27,C28,C29,C30,C31,C32,C33)</f>
        <v>0</v>
      </c>
      <c r="D25" s="454">
        <f t="shared" si="2"/>
        <v>983.56</v>
      </c>
      <c r="E25" s="454">
        <f t="shared" si="2"/>
        <v>983.56</v>
      </c>
      <c r="F25" s="454">
        <f t="shared" si="2"/>
        <v>983.58299999999997</v>
      </c>
      <c r="G25" s="454">
        <f t="shared" si="2"/>
        <v>983.53</v>
      </c>
      <c r="H25" s="454">
        <f t="shared" si="2"/>
        <v>983.53</v>
      </c>
    </row>
    <row r="26" spans="1:8" s="200" customFormat="1" ht="17.100000000000001" customHeight="1" x14ac:dyDescent="0.25">
      <c r="A26" s="201" t="s">
        <v>422</v>
      </c>
      <c r="B26" s="202"/>
      <c r="C26" s="455">
        <v>0</v>
      </c>
      <c r="D26" s="455">
        <v>0</v>
      </c>
      <c r="E26" s="456">
        <f>C26+D26</f>
        <v>0</v>
      </c>
      <c r="F26" s="455">
        <v>0</v>
      </c>
      <c r="G26" s="455">
        <v>0</v>
      </c>
      <c r="H26" s="457">
        <f>G26-C26</f>
        <v>0</v>
      </c>
    </row>
    <row r="27" spans="1:8" s="200" customFormat="1" ht="17.100000000000001" customHeight="1" x14ac:dyDescent="0.25">
      <c r="A27" s="201"/>
      <c r="B27" s="206" t="s">
        <v>199</v>
      </c>
      <c r="C27" s="455"/>
      <c r="D27" s="455"/>
      <c r="E27" s="456"/>
      <c r="F27" s="455"/>
      <c r="G27" s="455"/>
      <c r="H27" s="457"/>
    </row>
    <row r="28" spans="1:8" s="200" customFormat="1" ht="17.100000000000001" customHeight="1" x14ac:dyDescent="0.25">
      <c r="A28" s="201" t="s">
        <v>418</v>
      </c>
      <c r="B28" s="202"/>
      <c r="C28" s="455"/>
      <c r="D28" s="455"/>
      <c r="E28" s="456">
        <f t="shared" ref="E28:E42" si="3">C28+D28</f>
        <v>0</v>
      </c>
      <c r="F28" s="455"/>
      <c r="G28" s="455"/>
      <c r="H28" s="457">
        <f t="shared" ref="H28:H42" si="4">G28-C28</f>
        <v>0</v>
      </c>
    </row>
    <row r="29" spans="1:8" s="200" customFormat="1" x14ac:dyDescent="0.25">
      <c r="A29" s="1255" t="s">
        <v>201</v>
      </c>
      <c r="B29" s="1256"/>
      <c r="C29" s="455"/>
      <c r="D29" s="455"/>
      <c r="E29" s="456">
        <f t="shared" si="3"/>
        <v>0</v>
      </c>
      <c r="F29" s="455"/>
      <c r="G29" s="455"/>
      <c r="H29" s="457">
        <f t="shared" si="4"/>
        <v>0</v>
      </c>
    </row>
    <row r="30" spans="1:8" s="200" customFormat="1" ht="17.100000000000001" customHeight="1" x14ac:dyDescent="0.25">
      <c r="A30" s="1255" t="s">
        <v>973</v>
      </c>
      <c r="B30" s="1256"/>
      <c r="C30" s="455">
        <v>0</v>
      </c>
      <c r="D30" s="455">
        <f>+D13</f>
        <v>983.56</v>
      </c>
      <c r="E30" s="456">
        <f t="shared" si="3"/>
        <v>983.56</v>
      </c>
      <c r="F30" s="455">
        <f>+F13</f>
        <v>983.58299999999997</v>
      </c>
      <c r="G30" s="455">
        <f>+G13</f>
        <v>983.53</v>
      </c>
      <c r="H30" s="457">
        <f t="shared" si="4"/>
        <v>983.53</v>
      </c>
    </row>
    <row r="31" spans="1:8" ht="17.100000000000001" customHeight="1" x14ac:dyDescent="0.25">
      <c r="A31" s="1255" t="s">
        <v>974</v>
      </c>
      <c r="B31" s="1256" t="s">
        <v>423</v>
      </c>
      <c r="C31" s="458"/>
      <c r="D31" s="458"/>
      <c r="E31" s="456">
        <f t="shared" si="3"/>
        <v>0</v>
      </c>
      <c r="F31" s="458"/>
      <c r="G31" s="458"/>
      <c r="H31" s="457">
        <f t="shared" si="4"/>
        <v>0</v>
      </c>
    </row>
    <row r="32" spans="1:8" s="200" customFormat="1" ht="51" customHeight="1" x14ac:dyDescent="0.25">
      <c r="A32" s="835"/>
      <c r="B32" s="836" t="s">
        <v>958</v>
      </c>
      <c r="C32" s="455"/>
      <c r="D32" s="455">
        <f>+D16</f>
        <v>0</v>
      </c>
      <c r="E32" s="456">
        <f t="shared" si="3"/>
        <v>0</v>
      </c>
      <c r="F32" s="455">
        <f>+F16</f>
        <v>0</v>
      </c>
      <c r="G32" s="455">
        <f>+G16</f>
        <v>0</v>
      </c>
      <c r="H32" s="457">
        <f t="shared" si="4"/>
        <v>0</v>
      </c>
    </row>
    <row r="33" spans="1:8" s="200" customFormat="1" ht="27.75" customHeight="1" x14ac:dyDescent="0.25">
      <c r="A33" s="1255" t="s">
        <v>962</v>
      </c>
      <c r="B33" s="1256"/>
      <c r="C33" s="455"/>
      <c r="D33" s="455"/>
      <c r="E33" s="456">
        <f t="shared" si="3"/>
        <v>0</v>
      </c>
      <c r="F33" s="455"/>
      <c r="G33" s="455"/>
      <c r="H33" s="457">
        <f t="shared" si="4"/>
        <v>0</v>
      </c>
    </row>
    <row r="34" spans="1:8" s="200" customFormat="1" ht="8.25" customHeight="1" x14ac:dyDescent="0.25">
      <c r="A34" s="203"/>
      <c r="B34" s="204"/>
      <c r="C34" s="455"/>
      <c r="D34" s="455"/>
      <c r="E34" s="456"/>
      <c r="F34" s="455"/>
      <c r="G34" s="455"/>
      <c r="H34" s="457"/>
    </row>
    <row r="35" spans="1:8" s="200" customFormat="1" ht="66.75" customHeight="1" x14ac:dyDescent="0.25">
      <c r="A35" s="1245" t="s">
        <v>963</v>
      </c>
      <c r="B35" s="1246"/>
      <c r="C35" s="454">
        <f t="shared" ref="C35:H35" si="5">SUM(C36:C39)</f>
        <v>103543736</v>
      </c>
      <c r="D35" s="454">
        <f t="shared" si="5"/>
        <v>3352663</v>
      </c>
      <c r="E35" s="454">
        <f t="shared" si="5"/>
        <v>106896399</v>
      </c>
      <c r="F35" s="454">
        <f t="shared" si="5"/>
        <v>18102520</v>
      </c>
      <c r="G35" s="454">
        <f t="shared" si="5"/>
        <v>17030735.609999999</v>
      </c>
      <c r="H35" s="454">
        <f t="shared" si="5"/>
        <v>-86513000.390000001</v>
      </c>
    </row>
    <row r="36" spans="1:8" s="200" customFormat="1" ht="16.5" customHeight="1" x14ac:dyDescent="0.25">
      <c r="A36" s="205"/>
      <c r="B36" s="206" t="s">
        <v>199</v>
      </c>
      <c r="C36" s="455">
        <v>0</v>
      </c>
      <c r="D36" s="455"/>
      <c r="E36" s="456">
        <f t="shared" si="3"/>
        <v>0</v>
      </c>
      <c r="F36" s="455"/>
      <c r="G36" s="455"/>
      <c r="H36" s="457">
        <f t="shared" si="4"/>
        <v>0</v>
      </c>
    </row>
    <row r="37" spans="1:8" s="200" customFormat="1" ht="16.5" customHeight="1" x14ac:dyDescent="0.25">
      <c r="A37" s="205"/>
      <c r="B37" s="206" t="s">
        <v>973</v>
      </c>
      <c r="C37" s="455">
        <v>0</v>
      </c>
      <c r="D37" s="455"/>
      <c r="E37" s="456"/>
      <c r="F37" s="455"/>
      <c r="G37" s="455"/>
      <c r="H37" s="457"/>
    </row>
    <row r="38" spans="1:8" s="200" customFormat="1" ht="30.75" customHeight="1" x14ac:dyDescent="0.25">
      <c r="A38" s="205"/>
      <c r="B38" s="837" t="s">
        <v>975</v>
      </c>
      <c r="C38" s="455">
        <f>+C15</f>
        <v>103543736</v>
      </c>
      <c r="D38" s="455">
        <f>+D15</f>
        <v>-14500000</v>
      </c>
      <c r="E38" s="456">
        <f t="shared" si="3"/>
        <v>89043736</v>
      </c>
      <c r="F38" s="455">
        <f>+F15</f>
        <v>4930792</v>
      </c>
      <c r="G38" s="455">
        <f>+G15</f>
        <v>3859007.61</v>
      </c>
      <c r="H38" s="457">
        <f t="shared" si="4"/>
        <v>-99684728.390000001</v>
      </c>
    </row>
    <row r="39" spans="1:8" s="200" customFormat="1" ht="29.25" customHeight="1" x14ac:dyDescent="0.25">
      <c r="A39" s="205"/>
      <c r="B39" s="207" t="s">
        <v>962</v>
      </c>
      <c r="C39" s="455">
        <f>+C17</f>
        <v>0</v>
      </c>
      <c r="D39" s="455">
        <f>+D17</f>
        <v>17852663</v>
      </c>
      <c r="E39" s="456">
        <f t="shared" si="3"/>
        <v>17852663</v>
      </c>
      <c r="F39" s="455">
        <f t="shared" ref="F39:G39" si="6">+F17</f>
        <v>13171728</v>
      </c>
      <c r="G39" s="455">
        <f t="shared" si="6"/>
        <v>13171728</v>
      </c>
      <c r="H39" s="457">
        <f t="shared" si="4"/>
        <v>13171728</v>
      </c>
    </row>
    <row r="40" spans="1:8" s="200" customFormat="1" ht="6" customHeight="1" x14ac:dyDescent="0.25">
      <c r="A40" s="205"/>
      <c r="B40" s="206"/>
      <c r="C40" s="455"/>
      <c r="D40" s="455"/>
      <c r="E40" s="456"/>
      <c r="F40" s="455"/>
      <c r="G40" s="455"/>
      <c r="H40" s="457"/>
    </row>
    <row r="41" spans="1:8" s="200" customFormat="1" ht="16.5" customHeight="1" x14ac:dyDescent="0.25">
      <c r="A41" s="203" t="s">
        <v>425</v>
      </c>
      <c r="B41" s="204"/>
      <c r="C41" s="454">
        <f t="shared" ref="C41:H41" si="7">C42</f>
        <v>0</v>
      </c>
      <c r="D41" s="454">
        <f t="shared" si="7"/>
        <v>0</v>
      </c>
      <c r="E41" s="454">
        <f t="shared" si="7"/>
        <v>0</v>
      </c>
      <c r="F41" s="454">
        <f t="shared" si="7"/>
        <v>0</v>
      </c>
      <c r="G41" s="454">
        <f t="shared" si="7"/>
        <v>0</v>
      </c>
      <c r="H41" s="454">
        <f t="shared" si="7"/>
        <v>0</v>
      </c>
    </row>
    <row r="42" spans="1:8" s="200" customFormat="1" ht="16.5" customHeight="1" x14ac:dyDescent="0.25">
      <c r="A42" s="203"/>
      <c r="B42" s="208" t="s">
        <v>421</v>
      </c>
      <c r="C42" s="455">
        <v>0</v>
      </c>
      <c r="D42" s="455"/>
      <c r="E42" s="456">
        <f t="shared" si="3"/>
        <v>0</v>
      </c>
      <c r="F42" s="455"/>
      <c r="G42" s="455"/>
      <c r="H42" s="457">
        <f t="shared" si="4"/>
        <v>0</v>
      </c>
    </row>
    <row r="43" spans="1:8" s="200" customFormat="1" ht="12.75" customHeight="1" thickBot="1" x14ac:dyDescent="0.3">
      <c r="A43" s="209"/>
      <c r="B43" s="210"/>
      <c r="C43" s="459"/>
      <c r="D43" s="459"/>
      <c r="E43" s="460"/>
      <c r="F43" s="459"/>
      <c r="G43" s="459"/>
      <c r="H43" s="461"/>
    </row>
    <row r="44" spans="1:8" ht="21.75" customHeight="1" thickBot="1" x14ac:dyDescent="0.3">
      <c r="A44" s="1243" t="s">
        <v>249</v>
      </c>
      <c r="B44" s="1244"/>
      <c r="C44" s="760">
        <f t="shared" ref="C44:H44" si="8">C25+C35+C41</f>
        <v>103543736</v>
      </c>
      <c r="D44" s="760">
        <f t="shared" si="8"/>
        <v>3353646.56</v>
      </c>
      <c r="E44" s="760">
        <f t="shared" si="8"/>
        <v>106897382.56</v>
      </c>
      <c r="F44" s="760">
        <f t="shared" si="8"/>
        <v>18103503.583000001</v>
      </c>
      <c r="G44" s="760">
        <f t="shared" si="8"/>
        <v>17031719.140000001</v>
      </c>
      <c r="H44" s="760">
        <f t="shared" si="8"/>
        <v>-86512016.859999999</v>
      </c>
    </row>
    <row r="45" spans="1:8" ht="32.25" customHeight="1" thickBot="1" x14ac:dyDescent="0.3">
      <c r="A45" s="192"/>
      <c r="B45" s="192"/>
      <c r="C45" s="211"/>
      <c r="D45" s="211"/>
      <c r="E45" s="211"/>
      <c r="F45" s="212"/>
      <c r="G45" s="763" t="s">
        <v>959</v>
      </c>
      <c r="H45" s="764" t="str">
        <f>IF(($G$44-$C$44)&lt;=0,"",$G$44-$C$44)</f>
        <v/>
      </c>
    </row>
    <row r="46" spans="1:8" ht="71.25" customHeight="1" x14ac:dyDescent="0.25">
      <c r="A46" s="195"/>
      <c r="B46" s="195"/>
      <c r="C46" s="554"/>
      <c r="D46" s="554"/>
      <c r="E46" s="554"/>
      <c r="F46" s="555"/>
      <c r="G46" s="556"/>
      <c r="H46" s="556"/>
    </row>
    <row r="47" spans="1:8" ht="23.25" customHeight="1" x14ac:dyDescent="0.25">
      <c r="A47" s="195"/>
      <c r="B47" s="195"/>
      <c r="C47" s="554"/>
      <c r="D47" s="554"/>
      <c r="E47" s="554"/>
      <c r="F47" s="555"/>
      <c r="G47" s="556"/>
      <c r="H47" s="556"/>
    </row>
    <row r="48" spans="1:8" ht="23.25" customHeight="1" x14ac:dyDescent="0.25">
      <c r="A48" s="195"/>
      <c r="B48" s="195"/>
      <c r="C48" s="554"/>
      <c r="D48" s="554"/>
      <c r="E48" s="554"/>
      <c r="F48" s="555"/>
      <c r="G48" s="556"/>
      <c r="H48" s="556"/>
    </row>
    <row r="49" spans="1:8" s="845" customFormat="1" ht="15.75" customHeight="1" x14ac:dyDescent="0.25">
      <c r="A49" s="841"/>
      <c r="B49" s="842" t="s">
        <v>982</v>
      </c>
      <c r="C49" s="843"/>
      <c r="D49" s="843"/>
      <c r="E49" s="843"/>
      <c r="F49" s="843"/>
      <c r="G49" s="844"/>
      <c r="H49" s="844"/>
    </row>
    <row r="50" spans="1:8" s="845" customFormat="1" ht="12.75" customHeight="1" x14ac:dyDescent="0.25">
      <c r="A50" s="841"/>
      <c r="B50" s="842" t="s">
        <v>983</v>
      </c>
      <c r="C50" s="843"/>
      <c r="D50" s="843"/>
      <c r="E50" s="843"/>
      <c r="F50" s="843"/>
      <c r="G50" s="844"/>
      <c r="H50" s="844"/>
    </row>
    <row r="51" spans="1:8" s="845" customFormat="1" ht="26.25" customHeight="1" x14ac:dyDescent="0.25">
      <c r="A51" s="841"/>
      <c r="B51" s="1242" t="s">
        <v>984</v>
      </c>
      <c r="C51" s="1242"/>
      <c r="D51" s="1242"/>
      <c r="E51" s="1242"/>
      <c r="F51" s="1242"/>
      <c r="G51" s="1242"/>
      <c r="H51" s="1242"/>
    </row>
    <row r="52" spans="1:8" ht="23.25" customHeight="1" x14ac:dyDescent="0.25">
      <c r="A52" s="195"/>
      <c r="B52" s="195"/>
      <c r="C52" s="554"/>
      <c r="D52" s="554"/>
      <c r="E52" s="554"/>
      <c r="F52" s="555"/>
      <c r="G52" s="556"/>
      <c r="H52" s="556"/>
    </row>
    <row r="53" spans="1:8" ht="8.25" customHeight="1" x14ac:dyDescent="0.25">
      <c r="A53" s="213"/>
      <c r="B53" s="117"/>
    </row>
    <row r="54" spans="1:8" x14ac:dyDescent="0.25">
      <c r="A54" s="216"/>
      <c r="B54" s="117"/>
      <c r="H54" s="410"/>
    </row>
    <row r="55" spans="1:8" x14ac:dyDescent="0.25">
      <c r="A55" s="217"/>
      <c r="B55" s="218" t="s">
        <v>426</v>
      </c>
      <c r="C55" s="219"/>
      <c r="D55" s="219"/>
      <c r="E55" s="219"/>
      <c r="F55" s="219"/>
      <c r="G55" s="219"/>
      <c r="H55" s="219"/>
    </row>
    <row r="56" spans="1:8" x14ac:dyDescent="0.25">
      <c r="A56" s="217"/>
      <c r="B56" s="218" t="s">
        <v>427</v>
      </c>
      <c r="C56" s="219"/>
      <c r="D56" s="219"/>
      <c r="E56" s="219"/>
      <c r="F56" s="219"/>
      <c r="G56" s="219"/>
      <c r="H56" s="219"/>
    </row>
    <row r="57" spans="1:8" x14ac:dyDescent="0.25">
      <c r="A57" s="217"/>
      <c r="B57" s="218"/>
      <c r="C57" s="219"/>
      <c r="D57" s="219"/>
      <c r="E57" s="219"/>
      <c r="F57" s="219"/>
      <c r="G57" s="219"/>
      <c r="H57" s="219"/>
    </row>
  </sheetData>
  <sheetProtection password="C195" sheet="1" formatColumns="0" formatRows="0" insertHyperlinks="0"/>
  <mergeCells count="17">
    <mergeCell ref="B51:H51"/>
    <mergeCell ref="A44:B44"/>
    <mergeCell ref="A35:B35"/>
    <mergeCell ref="A22:B24"/>
    <mergeCell ref="A19:B19"/>
    <mergeCell ref="A29:B29"/>
    <mergeCell ref="A31:B31"/>
    <mergeCell ref="A33:B33"/>
    <mergeCell ref="C22:G22"/>
    <mergeCell ref="A25:B25"/>
    <mergeCell ref="A30:B30"/>
    <mergeCell ref="A1:H1"/>
    <mergeCell ref="A2:H2"/>
    <mergeCell ref="A3:H3"/>
    <mergeCell ref="C4:F4"/>
    <mergeCell ref="C5:G5"/>
    <mergeCell ref="A5:B7"/>
  </mergeCells>
  <printOptions horizontalCentered="1"/>
  <pageMargins left="0.39370078740157483" right="0.39370078740157483" top="0.39370078740157483" bottom="0.51181102362204722" header="0.31496062992125984" footer="0.31496062992125984"/>
  <pageSetup scale="75" fitToHeight="2" orientation="landscape" r:id="rId1"/>
  <rowBreaks count="1" manualBreakCount="1">
    <brk id="21"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90"/>
  <sheetViews>
    <sheetView view="pageBreakPreview" topLeftCell="C1" zoomScale="130" zoomScaleNormal="120" zoomScaleSheetLayoutView="130" workbookViewId="0">
      <selection activeCell="I17" sqref="I17:I18"/>
    </sheetView>
  </sheetViews>
  <sheetFormatPr baseColWidth="10" defaultColWidth="11.42578125" defaultRowHeight="15" x14ac:dyDescent="0.25"/>
  <cols>
    <col min="1" max="1" width="1.85546875" customWidth="1"/>
    <col min="2" max="2" width="0.85546875" customWidth="1"/>
    <col min="3" max="3" width="48.28515625" customWidth="1"/>
    <col min="4" max="4" width="14.42578125" bestFit="1" customWidth="1"/>
    <col min="5" max="5" width="12.85546875" customWidth="1"/>
    <col min="6" max="6" width="14.42578125" bestFit="1" customWidth="1"/>
    <col min="7" max="9" width="13.42578125" bestFit="1" customWidth="1"/>
  </cols>
  <sheetData>
    <row r="1" spans="1:9" ht="15.75" x14ac:dyDescent="0.25">
      <c r="A1" s="1146" t="str">
        <f>'ETCA-I-01'!A1:G1</f>
        <v>TELEVISORA DE HERMOSILLO, S.A. DE C.V.</v>
      </c>
      <c r="B1" s="1146"/>
      <c r="C1" s="1146"/>
      <c r="D1" s="1146"/>
      <c r="E1" s="1146"/>
      <c r="F1" s="1146"/>
      <c r="G1" s="1146"/>
      <c r="H1" s="1146"/>
      <c r="I1" s="1146"/>
    </row>
    <row r="2" spans="1:9" ht="15.75" customHeight="1" x14ac:dyDescent="0.25">
      <c r="A2" s="1144" t="s">
        <v>428</v>
      </c>
      <c r="B2" s="1144"/>
      <c r="C2" s="1144"/>
      <c r="D2" s="1144"/>
      <c r="E2" s="1144"/>
      <c r="F2" s="1144"/>
      <c r="G2" s="1144"/>
      <c r="H2" s="1144"/>
      <c r="I2" s="1144"/>
    </row>
    <row r="3" spans="1:9" ht="15.75" customHeight="1" x14ac:dyDescent="0.25">
      <c r="A3" s="1259" t="str">
        <f>'ETCA-I-10'!A3:K3</f>
        <v>Del 01 de Enero al 30 de Septiembre de 2021</v>
      </c>
      <c r="B3" s="1259"/>
      <c r="C3" s="1259"/>
      <c r="D3" s="1259"/>
      <c r="E3" s="1259"/>
      <c r="F3" s="1259"/>
      <c r="G3" s="1259"/>
      <c r="H3" s="1259"/>
      <c r="I3" s="1259"/>
    </row>
    <row r="4" spans="1:9" ht="15.75" customHeight="1" thickBot="1" x14ac:dyDescent="0.3">
      <c r="A4" s="1189"/>
      <c r="B4" s="1189"/>
      <c r="C4" s="1189"/>
      <c r="D4" s="1189"/>
      <c r="E4" s="1189"/>
      <c r="F4" s="1189"/>
      <c r="G4" s="1189"/>
      <c r="H4" s="1189"/>
      <c r="I4" s="1189"/>
    </row>
    <row r="5" spans="1:9" ht="15.75" thickBot="1" x14ac:dyDescent="0.3">
      <c r="A5" s="1260"/>
      <c r="B5" s="1261"/>
      <c r="C5" s="1262"/>
      <c r="D5" s="1263" t="s">
        <v>429</v>
      </c>
      <c r="E5" s="1264"/>
      <c r="F5" s="1264"/>
      <c r="G5" s="1264"/>
      <c r="H5" s="1265"/>
      <c r="I5" s="1266" t="s">
        <v>430</v>
      </c>
    </row>
    <row r="6" spans="1:9" x14ac:dyDescent="0.25">
      <c r="A6" s="1269" t="s">
        <v>246</v>
      </c>
      <c r="B6" s="1270"/>
      <c r="C6" s="1271"/>
      <c r="D6" s="1266" t="s">
        <v>431</v>
      </c>
      <c r="E6" s="1275" t="s">
        <v>432</v>
      </c>
      <c r="F6" s="1266" t="s">
        <v>433</v>
      </c>
      <c r="G6" s="1266" t="s">
        <v>434</v>
      </c>
      <c r="H6" s="1266" t="s">
        <v>435</v>
      </c>
      <c r="I6" s="1267"/>
    </row>
    <row r="7" spans="1:9" ht="15.75" thickBot="1" x14ac:dyDescent="0.3">
      <c r="A7" s="1272" t="s">
        <v>436</v>
      </c>
      <c r="B7" s="1273"/>
      <c r="C7" s="1274"/>
      <c r="D7" s="1268"/>
      <c r="E7" s="1276"/>
      <c r="F7" s="1268"/>
      <c r="G7" s="1268"/>
      <c r="H7" s="1268"/>
      <c r="I7" s="1268"/>
    </row>
    <row r="8" spans="1:9" x14ac:dyDescent="0.25">
      <c r="A8" s="1277"/>
      <c r="B8" s="1278"/>
      <c r="C8" s="1279"/>
      <c r="D8" s="724"/>
      <c r="E8" s="724"/>
      <c r="F8" s="724"/>
      <c r="G8" s="724"/>
      <c r="H8" s="724"/>
      <c r="I8" s="724"/>
    </row>
    <row r="9" spans="1:9" x14ac:dyDescent="0.25">
      <c r="A9" s="1283" t="s">
        <v>437</v>
      </c>
      <c r="B9" s="1284"/>
      <c r="C9" s="1285"/>
      <c r="D9" s="634"/>
      <c r="E9" s="634"/>
      <c r="F9" s="634"/>
      <c r="G9" s="634"/>
      <c r="H9" s="634"/>
      <c r="I9" s="634"/>
    </row>
    <row r="10" spans="1:9" x14ac:dyDescent="0.25">
      <c r="A10" s="736"/>
      <c r="B10" s="1280" t="s">
        <v>438</v>
      </c>
      <c r="C10" s="1281"/>
      <c r="D10" s="935">
        <v>0</v>
      </c>
      <c r="E10" s="935">
        <v>0</v>
      </c>
      <c r="F10" s="935">
        <f t="shared" ref="F10:F16" si="0">+D10+E10</f>
        <v>0</v>
      </c>
      <c r="G10" s="935">
        <v>0</v>
      </c>
      <c r="H10" s="935">
        <v>0</v>
      </c>
      <c r="I10" s="936">
        <f>+H10-D10</f>
        <v>0</v>
      </c>
    </row>
    <row r="11" spans="1:9" x14ac:dyDescent="0.25">
      <c r="A11" s="736"/>
      <c r="B11" s="1280" t="s">
        <v>439</v>
      </c>
      <c r="C11" s="1281"/>
      <c r="D11" s="935">
        <v>0</v>
      </c>
      <c r="E11" s="935">
        <v>0</v>
      </c>
      <c r="F11" s="935">
        <f t="shared" si="0"/>
        <v>0</v>
      </c>
      <c r="G11" s="935">
        <v>0</v>
      </c>
      <c r="H11" s="935">
        <v>0</v>
      </c>
      <c r="I11" s="936">
        <f t="shared" ref="I11:I18" si="1">+H11-D11</f>
        <v>0</v>
      </c>
    </row>
    <row r="12" spans="1:9" x14ac:dyDescent="0.25">
      <c r="A12" s="736"/>
      <c r="B12" s="1280" t="s">
        <v>440</v>
      </c>
      <c r="C12" s="1281"/>
      <c r="D12" s="935">
        <v>0</v>
      </c>
      <c r="E12" s="935">
        <v>0</v>
      </c>
      <c r="F12" s="935">
        <f t="shared" si="0"/>
        <v>0</v>
      </c>
      <c r="G12" s="935">
        <v>0</v>
      </c>
      <c r="H12" s="935">
        <v>0</v>
      </c>
      <c r="I12" s="936">
        <f t="shared" si="1"/>
        <v>0</v>
      </c>
    </row>
    <row r="13" spans="1:9" x14ac:dyDescent="0.25">
      <c r="A13" s="736"/>
      <c r="B13" s="1280" t="s">
        <v>441</v>
      </c>
      <c r="C13" s="1281"/>
      <c r="D13" s="935">
        <v>0</v>
      </c>
      <c r="E13" s="935">
        <v>0</v>
      </c>
      <c r="F13" s="935">
        <f t="shared" si="0"/>
        <v>0</v>
      </c>
      <c r="G13" s="935">
        <v>0</v>
      </c>
      <c r="H13" s="935">
        <v>0</v>
      </c>
      <c r="I13" s="936">
        <f t="shared" si="1"/>
        <v>0</v>
      </c>
    </row>
    <row r="14" spans="1:9" x14ac:dyDescent="0.25">
      <c r="A14" s="736"/>
      <c r="B14" s="1280" t="s">
        <v>442</v>
      </c>
      <c r="C14" s="1281"/>
      <c r="D14" s="935">
        <v>0</v>
      </c>
      <c r="E14" s="935">
        <f>+'ETCA-II-01'!D13</f>
        <v>983.56</v>
      </c>
      <c r="F14" s="935">
        <f t="shared" si="0"/>
        <v>983.56</v>
      </c>
      <c r="G14" s="935">
        <f>+'ETCA-II-01'!F13</f>
        <v>983.58299999999997</v>
      </c>
      <c r="H14" s="935">
        <f>+'ETCA-II-01'!G13</f>
        <v>983.53</v>
      </c>
      <c r="I14" s="936">
        <f>+H14-D14</f>
        <v>983.53</v>
      </c>
    </row>
    <row r="15" spans="1:9" x14ac:dyDescent="0.25">
      <c r="A15" s="736"/>
      <c r="B15" s="1280" t="s">
        <v>443</v>
      </c>
      <c r="C15" s="1281"/>
      <c r="D15" s="935">
        <v>0</v>
      </c>
      <c r="E15" s="935">
        <v>0</v>
      </c>
      <c r="F15" s="935">
        <f t="shared" si="0"/>
        <v>0</v>
      </c>
      <c r="G15" s="935">
        <v>0</v>
      </c>
      <c r="H15" s="935"/>
      <c r="I15" s="936">
        <f t="shared" si="1"/>
        <v>0</v>
      </c>
    </row>
    <row r="16" spans="1:9" x14ac:dyDescent="0.25">
      <c r="A16" s="736"/>
      <c r="B16" s="1280" t="s">
        <v>964</v>
      </c>
      <c r="C16" s="1281"/>
      <c r="D16" s="935">
        <f>+'ETCA-II-01'!C15</f>
        <v>103543736</v>
      </c>
      <c r="E16" s="935">
        <f>+'ETCA-II-01'!D15</f>
        <v>-14500000</v>
      </c>
      <c r="F16" s="935">
        <f t="shared" si="0"/>
        <v>89043736</v>
      </c>
      <c r="G16" s="935">
        <f>+'ETCA-II-01'!F15</f>
        <v>4930792</v>
      </c>
      <c r="H16" s="935">
        <f>+'ETCA-II-01'!G15</f>
        <v>3859007.61</v>
      </c>
      <c r="I16" s="936">
        <f t="shared" si="1"/>
        <v>-99684728.390000001</v>
      </c>
    </row>
    <row r="17" spans="1:9" x14ac:dyDescent="0.25">
      <c r="A17" s="1282"/>
      <c r="B17" s="1280" t="s">
        <v>444</v>
      </c>
      <c r="C17" s="1281"/>
      <c r="D17" s="1289">
        <f t="shared" ref="D17" si="2">SUM(D19:D29)</f>
        <v>0</v>
      </c>
      <c r="E17" s="1289">
        <v>0</v>
      </c>
      <c r="F17" s="1289">
        <v>0</v>
      </c>
      <c r="G17" s="1289">
        <v>0</v>
      </c>
      <c r="H17" s="1289">
        <v>0</v>
      </c>
      <c r="I17" s="1289">
        <f t="shared" si="1"/>
        <v>0</v>
      </c>
    </row>
    <row r="18" spans="1:9" x14ac:dyDescent="0.25">
      <c r="A18" s="1282"/>
      <c r="B18" s="1280" t="s">
        <v>445</v>
      </c>
      <c r="C18" s="1281"/>
      <c r="D18" s="1289"/>
      <c r="E18" s="1289"/>
      <c r="F18" s="1289"/>
      <c r="G18" s="1289"/>
      <c r="H18" s="1289"/>
      <c r="I18" s="1289">
        <f t="shared" si="1"/>
        <v>0</v>
      </c>
    </row>
    <row r="19" spans="1:9" x14ac:dyDescent="0.25">
      <c r="A19" s="736"/>
      <c r="B19" s="734"/>
      <c r="C19" s="735" t="s">
        <v>446</v>
      </c>
      <c r="D19" s="935">
        <v>0</v>
      </c>
      <c r="E19" s="935">
        <v>0</v>
      </c>
      <c r="F19" s="935">
        <f t="shared" ref="F19:F29" si="3">+D19+E19</f>
        <v>0</v>
      </c>
      <c r="G19" s="935">
        <v>0</v>
      </c>
      <c r="H19" s="935">
        <v>0</v>
      </c>
      <c r="I19" s="936">
        <f>+H19-D19</f>
        <v>0</v>
      </c>
    </row>
    <row r="20" spans="1:9" x14ac:dyDescent="0.25">
      <c r="A20" s="736"/>
      <c r="B20" s="734"/>
      <c r="C20" s="735" t="s">
        <v>447</v>
      </c>
      <c r="D20" s="935">
        <v>0</v>
      </c>
      <c r="E20" s="935">
        <v>0</v>
      </c>
      <c r="F20" s="935">
        <f t="shared" si="3"/>
        <v>0</v>
      </c>
      <c r="G20" s="935">
        <v>0</v>
      </c>
      <c r="H20" s="935">
        <v>0</v>
      </c>
      <c r="I20" s="936">
        <f>+H20-D20</f>
        <v>0</v>
      </c>
    </row>
    <row r="21" spans="1:9" x14ac:dyDescent="0.25">
      <c r="A21" s="736"/>
      <c r="B21" s="734"/>
      <c r="C21" s="735" t="s">
        <v>448</v>
      </c>
      <c r="D21" s="935">
        <v>0</v>
      </c>
      <c r="E21" s="935">
        <v>0</v>
      </c>
      <c r="F21" s="935">
        <f t="shared" si="3"/>
        <v>0</v>
      </c>
      <c r="G21" s="935">
        <v>0</v>
      </c>
      <c r="H21" s="935">
        <v>0</v>
      </c>
      <c r="I21" s="936">
        <f t="shared" ref="I21:I36" si="4">+H21-D21</f>
        <v>0</v>
      </c>
    </row>
    <row r="22" spans="1:9" x14ac:dyDescent="0.25">
      <c r="A22" s="736"/>
      <c r="B22" s="734"/>
      <c r="C22" s="735" t="s">
        <v>449</v>
      </c>
      <c r="D22" s="935">
        <v>0</v>
      </c>
      <c r="E22" s="935">
        <v>0</v>
      </c>
      <c r="F22" s="935">
        <f t="shared" si="3"/>
        <v>0</v>
      </c>
      <c r="G22" s="935">
        <v>0</v>
      </c>
      <c r="H22" s="935">
        <v>0</v>
      </c>
      <c r="I22" s="936">
        <f t="shared" si="4"/>
        <v>0</v>
      </c>
    </row>
    <row r="23" spans="1:9" x14ac:dyDescent="0.25">
      <c r="A23" s="736"/>
      <c r="B23" s="734"/>
      <c r="C23" s="735" t="s">
        <v>450</v>
      </c>
      <c r="D23" s="935">
        <v>0</v>
      </c>
      <c r="E23" s="935">
        <v>0</v>
      </c>
      <c r="F23" s="935">
        <f t="shared" si="3"/>
        <v>0</v>
      </c>
      <c r="G23" s="935">
        <v>0</v>
      </c>
      <c r="H23" s="935">
        <v>0</v>
      </c>
      <c r="I23" s="936">
        <f t="shared" si="4"/>
        <v>0</v>
      </c>
    </row>
    <row r="24" spans="1:9" x14ac:dyDescent="0.25">
      <c r="A24" s="736"/>
      <c r="B24" s="734"/>
      <c r="C24" s="735" t="s">
        <v>451</v>
      </c>
      <c r="D24" s="935">
        <v>0</v>
      </c>
      <c r="E24" s="935">
        <v>0</v>
      </c>
      <c r="F24" s="935">
        <f t="shared" si="3"/>
        <v>0</v>
      </c>
      <c r="G24" s="935">
        <v>0</v>
      </c>
      <c r="H24" s="935">
        <v>0</v>
      </c>
      <c r="I24" s="936">
        <f t="shared" si="4"/>
        <v>0</v>
      </c>
    </row>
    <row r="25" spans="1:9" x14ac:dyDescent="0.25">
      <c r="A25" s="736"/>
      <c r="B25" s="734"/>
      <c r="C25" s="735" t="s">
        <v>452</v>
      </c>
      <c r="D25" s="935">
        <v>0</v>
      </c>
      <c r="E25" s="935">
        <v>0</v>
      </c>
      <c r="F25" s="935">
        <f t="shared" si="3"/>
        <v>0</v>
      </c>
      <c r="G25" s="935">
        <v>0</v>
      </c>
      <c r="H25" s="935">
        <v>0</v>
      </c>
      <c r="I25" s="936">
        <f t="shared" si="4"/>
        <v>0</v>
      </c>
    </row>
    <row r="26" spans="1:9" x14ac:dyDescent="0.25">
      <c r="A26" s="736"/>
      <c r="B26" s="734"/>
      <c r="C26" s="735" t="s">
        <v>453</v>
      </c>
      <c r="D26" s="935">
        <v>0</v>
      </c>
      <c r="E26" s="935">
        <v>0</v>
      </c>
      <c r="F26" s="935">
        <f t="shared" si="3"/>
        <v>0</v>
      </c>
      <c r="G26" s="935">
        <v>0</v>
      </c>
      <c r="H26" s="935">
        <v>0</v>
      </c>
      <c r="I26" s="936">
        <f t="shared" si="4"/>
        <v>0</v>
      </c>
    </row>
    <row r="27" spans="1:9" x14ac:dyDescent="0.25">
      <c r="A27" s="736"/>
      <c r="B27" s="734"/>
      <c r="C27" s="735" t="s">
        <v>454</v>
      </c>
      <c r="D27" s="935">
        <v>0</v>
      </c>
      <c r="E27" s="935">
        <v>0</v>
      </c>
      <c r="F27" s="935">
        <f t="shared" si="3"/>
        <v>0</v>
      </c>
      <c r="G27" s="935">
        <v>0</v>
      </c>
      <c r="H27" s="935">
        <v>0</v>
      </c>
      <c r="I27" s="936">
        <f t="shared" si="4"/>
        <v>0</v>
      </c>
    </row>
    <row r="28" spans="1:9" x14ac:dyDescent="0.25">
      <c r="A28" s="736"/>
      <c r="B28" s="734"/>
      <c r="C28" s="735" t="s">
        <v>455</v>
      </c>
      <c r="D28" s="935">
        <v>0</v>
      </c>
      <c r="E28" s="935">
        <v>0</v>
      </c>
      <c r="F28" s="935">
        <f t="shared" si="3"/>
        <v>0</v>
      </c>
      <c r="G28" s="935">
        <v>0</v>
      </c>
      <c r="H28" s="935">
        <v>0</v>
      </c>
      <c r="I28" s="936">
        <f t="shared" si="4"/>
        <v>0</v>
      </c>
    </row>
    <row r="29" spans="1:9" x14ac:dyDescent="0.25">
      <c r="A29" s="736"/>
      <c r="B29" s="734"/>
      <c r="C29" s="735" t="s">
        <v>456</v>
      </c>
      <c r="D29" s="935">
        <v>0</v>
      </c>
      <c r="E29" s="935">
        <v>0</v>
      </c>
      <c r="F29" s="935">
        <f t="shared" si="3"/>
        <v>0</v>
      </c>
      <c r="G29" s="935">
        <v>0</v>
      </c>
      <c r="H29" s="935">
        <v>0</v>
      </c>
      <c r="I29" s="936">
        <f t="shared" si="4"/>
        <v>0</v>
      </c>
    </row>
    <row r="30" spans="1:9" x14ac:dyDescent="0.25">
      <c r="A30" s="736"/>
      <c r="B30" s="1280" t="s">
        <v>457</v>
      </c>
      <c r="C30" s="1281"/>
      <c r="D30" s="936">
        <f t="shared" ref="D30:I30" si="5">SUM(D31:D35)</f>
        <v>0</v>
      </c>
      <c r="E30" s="936">
        <f t="shared" si="5"/>
        <v>0</v>
      </c>
      <c r="F30" s="936">
        <f t="shared" si="5"/>
        <v>0</v>
      </c>
      <c r="G30" s="936">
        <f t="shared" si="5"/>
        <v>0</v>
      </c>
      <c r="H30" s="936">
        <f t="shared" si="5"/>
        <v>0</v>
      </c>
      <c r="I30" s="936">
        <f t="shared" si="5"/>
        <v>0</v>
      </c>
    </row>
    <row r="31" spans="1:9" x14ac:dyDescent="0.25">
      <c r="A31" s="736"/>
      <c r="B31" s="734"/>
      <c r="C31" s="735" t="s">
        <v>458</v>
      </c>
      <c r="D31" s="935">
        <v>0</v>
      </c>
      <c r="E31" s="935">
        <v>0</v>
      </c>
      <c r="F31" s="935">
        <v>0</v>
      </c>
      <c r="G31" s="935"/>
      <c r="H31" s="935">
        <v>0</v>
      </c>
      <c r="I31" s="936">
        <f t="shared" si="4"/>
        <v>0</v>
      </c>
    </row>
    <row r="32" spans="1:9" x14ac:dyDescent="0.25">
      <c r="A32" s="736"/>
      <c r="B32" s="734"/>
      <c r="C32" s="735" t="s">
        <v>459</v>
      </c>
      <c r="D32" s="935">
        <v>0</v>
      </c>
      <c r="E32" s="935">
        <v>0</v>
      </c>
      <c r="F32" s="935">
        <f t="shared" ref="F32:F36" si="6">+D32+E32</f>
        <v>0</v>
      </c>
      <c r="G32" s="935"/>
      <c r="H32" s="935">
        <v>0</v>
      </c>
      <c r="I32" s="936">
        <f t="shared" si="4"/>
        <v>0</v>
      </c>
    </row>
    <row r="33" spans="1:9" x14ac:dyDescent="0.25">
      <c r="A33" s="912"/>
      <c r="B33" s="910"/>
      <c r="C33" s="911" t="s">
        <v>460</v>
      </c>
      <c r="D33" s="935">
        <v>0</v>
      </c>
      <c r="E33" s="935">
        <v>0</v>
      </c>
      <c r="F33" s="935">
        <f t="shared" si="6"/>
        <v>0</v>
      </c>
      <c r="G33" s="935"/>
      <c r="H33" s="935"/>
      <c r="I33" s="936">
        <f t="shared" si="4"/>
        <v>0</v>
      </c>
    </row>
    <row r="34" spans="1:9" x14ac:dyDescent="0.25">
      <c r="A34" s="915"/>
      <c r="B34" s="916"/>
      <c r="C34" s="917" t="s">
        <v>461</v>
      </c>
      <c r="D34" s="937">
        <v>0</v>
      </c>
      <c r="E34" s="937">
        <v>0</v>
      </c>
      <c r="F34" s="937">
        <f t="shared" si="6"/>
        <v>0</v>
      </c>
      <c r="G34" s="937"/>
      <c r="H34" s="937"/>
      <c r="I34" s="938">
        <f t="shared" si="4"/>
        <v>0</v>
      </c>
    </row>
    <row r="35" spans="1:9" x14ac:dyDescent="0.25">
      <c r="A35" s="736"/>
      <c r="B35" s="734"/>
      <c r="C35" s="735" t="s">
        <v>462</v>
      </c>
      <c r="D35" s="935">
        <v>0</v>
      </c>
      <c r="E35" s="935">
        <v>0</v>
      </c>
      <c r="F35" s="935">
        <f t="shared" si="6"/>
        <v>0</v>
      </c>
      <c r="G35" s="935"/>
      <c r="H35" s="935"/>
      <c r="I35" s="936">
        <f t="shared" si="4"/>
        <v>0</v>
      </c>
    </row>
    <row r="36" spans="1:9" x14ac:dyDescent="0.25">
      <c r="A36" s="736"/>
      <c r="B36" s="1287" t="s">
        <v>965</v>
      </c>
      <c r="C36" s="1288"/>
      <c r="D36" s="935">
        <f>+'ETCA-II-01'!C17</f>
        <v>0</v>
      </c>
      <c r="E36" s="935">
        <f>+'ETCA-II-01'!D17</f>
        <v>17852663</v>
      </c>
      <c r="F36" s="939">
        <f t="shared" si="6"/>
        <v>17852663</v>
      </c>
      <c r="G36" s="935">
        <f>+'ETCA-II-01'!F17</f>
        <v>13171728</v>
      </c>
      <c r="H36" s="935">
        <f>+'ETCA-II-01'!G17</f>
        <v>13171728</v>
      </c>
      <c r="I36" s="940">
        <f t="shared" si="4"/>
        <v>13171728</v>
      </c>
    </row>
    <row r="37" spans="1:9" x14ac:dyDescent="0.25">
      <c r="A37" s="736"/>
      <c r="B37" s="1280" t="s">
        <v>463</v>
      </c>
      <c r="C37" s="1281"/>
      <c r="D37" s="936">
        <f t="shared" ref="D37:I37" si="7">SUM(D38)</f>
        <v>0</v>
      </c>
      <c r="E37" s="936">
        <f t="shared" si="7"/>
        <v>0</v>
      </c>
      <c r="F37" s="936">
        <f t="shared" si="7"/>
        <v>0</v>
      </c>
      <c r="G37" s="936">
        <f t="shared" si="7"/>
        <v>0</v>
      </c>
      <c r="H37" s="936">
        <f t="shared" si="7"/>
        <v>0</v>
      </c>
      <c r="I37" s="936">
        <f t="shared" si="7"/>
        <v>0</v>
      </c>
    </row>
    <row r="38" spans="1:9" x14ac:dyDescent="0.25">
      <c r="A38" s="736"/>
      <c r="B38" s="734"/>
      <c r="C38" s="735" t="s">
        <v>464</v>
      </c>
      <c r="D38" s="935">
        <v>0</v>
      </c>
      <c r="E38" s="935"/>
      <c r="F38" s="935">
        <f>+D38+E38</f>
        <v>0</v>
      </c>
      <c r="G38" s="935"/>
      <c r="H38" s="935"/>
      <c r="I38" s="936">
        <f>+H38-D38</f>
        <v>0</v>
      </c>
    </row>
    <row r="39" spans="1:9" x14ac:dyDescent="0.25">
      <c r="A39" s="736"/>
      <c r="B39" s="1280" t="s">
        <v>465</v>
      </c>
      <c r="C39" s="1281"/>
      <c r="D39" s="936">
        <f t="shared" ref="D39:I39" si="8">SUM(D40:D41)</f>
        <v>0</v>
      </c>
      <c r="E39" s="936">
        <f t="shared" si="8"/>
        <v>0</v>
      </c>
      <c r="F39" s="936">
        <f t="shared" si="8"/>
        <v>0</v>
      </c>
      <c r="G39" s="936">
        <f t="shared" si="8"/>
        <v>0</v>
      </c>
      <c r="H39" s="936">
        <f t="shared" si="8"/>
        <v>0</v>
      </c>
      <c r="I39" s="936">
        <f t="shared" si="8"/>
        <v>0</v>
      </c>
    </row>
    <row r="40" spans="1:9" x14ac:dyDescent="0.25">
      <c r="A40" s="736"/>
      <c r="B40" s="734"/>
      <c r="C40" s="735" t="s">
        <v>466</v>
      </c>
      <c r="D40" s="935">
        <v>0</v>
      </c>
      <c r="E40" s="935">
        <v>0</v>
      </c>
      <c r="F40" s="935">
        <f>+D40+E40</f>
        <v>0</v>
      </c>
      <c r="G40" s="935"/>
      <c r="H40" s="935"/>
      <c r="I40" s="936">
        <f>H40-D40</f>
        <v>0</v>
      </c>
    </row>
    <row r="41" spans="1:9" x14ac:dyDescent="0.25">
      <c r="A41" s="736"/>
      <c r="B41" s="734"/>
      <c r="C41" s="735" t="s">
        <v>467</v>
      </c>
      <c r="D41" s="935">
        <v>0</v>
      </c>
      <c r="E41" s="935">
        <v>0</v>
      </c>
      <c r="F41" s="935">
        <f>+D41+E41</f>
        <v>0</v>
      </c>
      <c r="G41" s="935"/>
      <c r="H41" s="935"/>
      <c r="I41" s="936">
        <f>H41-D41</f>
        <v>0</v>
      </c>
    </row>
    <row r="42" spans="1:9" ht="8.25" customHeight="1" x14ac:dyDescent="0.25">
      <c r="A42" s="736"/>
      <c r="B42" s="734"/>
      <c r="C42" s="735"/>
      <c r="D42" s="941"/>
      <c r="E42" s="941"/>
      <c r="F42" s="941"/>
      <c r="G42" s="941"/>
      <c r="H42" s="941"/>
      <c r="I42" s="936"/>
    </row>
    <row r="43" spans="1:9" ht="15" customHeight="1" x14ac:dyDescent="0.25">
      <c r="A43" s="752" t="s">
        <v>468</v>
      </c>
      <c r="B43" s="612"/>
      <c r="C43" s="632"/>
      <c r="D43" s="1286">
        <f>+D10+D11+D12+D13+D14+D15+D16+D17+D30+D36+D37+D39</f>
        <v>103543736</v>
      </c>
      <c r="E43" s="1286">
        <f t="shared" ref="E43:H43" si="9">+E10+E11+E12+E13+E14+E15+E16+E17+E30+E36+E37+E39</f>
        <v>3353646.5600000005</v>
      </c>
      <c r="F43" s="1286">
        <f t="shared" si="9"/>
        <v>106897382.56</v>
      </c>
      <c r="G43" s="1286">
        <f>+G10+G11+G12+G13+G14+G15+G16+G17+G30+G36+G37+G39</f>
        <v>18103503.583000001</v>
      </c>
      <c r="H43" s="1286">
        <f t="shared" si="9"/>
        <v>17031719.140000001</v>
      </c>
      <c r="I43" s="1286">
        <f>+I10+I11+I12+I13+I14+I15+I16+I17+I30+I36+I37+I39</f>
        <v>-86512016.859999999</v>
      </c>
    </row>
    <row r="44" spans="1:9" x14ac:dyDescent="0.25">
      <c r="A44" s="752" t="s">
        <v>469</v>
      </c>
      <c r="B44" s="612"/>
      <c r="C44" s="632"/>
      <c r="D44" s="1286"/>
      <c r="E44" s="1286"/>
      <c r="F44" s="1286"/>
      <c r="G44" s="1286"/>
      <c r="H44" s="1286"/>
      <c r="I44" s="1286"/>
    </row>
    <row r="45" spans="1:9" ht="8.25" customHeight="1" x14ac:dyDescent="0.25">
      <c r="A45" s="753"/>
      <c r="B45" s="737"/>
      <c r="C45" s="738"/>
      <c r="D45" s="1286"/>
      <c r="E45" s="1286"/>
      <c r="F45" s="1286"/>
      <c r="G45" s="1286"/>
      <c r="H45" s="1286"/>
      <c r="I45" s="1286"/>
    </row>
    <row r="46" spans="1:9" x14ac:dyDescent="0.25">
      <c r="A46" s="1283" t="s">
        <v>470</v>
      </c>
      <c r="B46" s="1284"/>
      <c r="C46" s="1290"/>
      <c r="D46" s="942"/>
      <c r="E46" s="942"/>
      <c r="F46" s="942"/>
      <c r="G46" s="942"/>
      <c r="H46" s="942"/>
      <c r="I46" s="943" t="str">
        <f>IF(($H$43-$D$43)&lt;=0," ",$H$43-$D$43)</f>
        <v xml:space="preserve"> </v>
      </c>
    </row>
    <row r="47" spans="1:9" ht="11.25" customHeight="1" x14ac:dyDescent="0.25">
      <c r="A47" s="736"/>
      <c r="B47" s="734"/>
      <c r="C47" s="735"/>
      <c r="D47" s="941"/>
      <c r="E47" s="941"/>
      <c r="F47" s="941"/>
      <c r="G47" s="941"/>
      <c r="H47" s="941"/>
      <c r="I47" s="936"/>
    </row>
    <row r="48" spans="1:9" x14ac:dyDescent="0.25">
      <c r="A48" s="1283" t="s">
        <v>471</v>
      </c>
      <c r="B48" s="1284"/>
      <c r="C48" s="1290"/>
      <c r="D48" s="941"/>
      <c r="E48" s="941"/>
      <c r="F48" s="941"/>
      <c r="G48" s="941"/>
      <c r="H48" s="941"/>
      <c r="I48" s="936"/>
    </row>
    <row r="49" spans="1:9" x14ac:dyDescent="0.25">
      <c r="A49" s="736"/>
      <c r="B49" s="1280" t="s">
        <v>472</v>
      </c>
      <c r="C49" s="1281"/>
      <c r="D49" s="941">
        <f t="shared" ref="D49:I49" si="10">SUM(D50:D57)</f>
        <v>0</v>
      </c>
      <c r="E49" s="941">
        <f t="shared" si="10"/>
        <v>0</v>
      </c>
      <c r="F49" s="941">
        <f t="shared" si="10"/>
        <v>0</v>
      </c>
      <c r="G49" s="941">
        <f t="shared" si="10"/>
        <v>0</v>
      </c>
      <c r="H49" s="941">
        <f t="shared" si="10"/>
        <v>0</v>
      </c>
      <c r="I49" s="936">
        <f t="shared" si="10"/>
        <v>0</v>
      </c>
    </row>
    <row r="50" spans="1:9" x14ac:dyDescent="0.25">
      <c r="A50" s="736"/>
      <c r="B50" s="734"/>
      <c r="C50" s="735" t="s">
        <v>473</v>
      </c>
      <c r="D50" s="935">
        <v>0</v>
      </c>
      <c r="E50" s="935">
        <v>0</v>
      </c>
      <c r="F50" s="935">
        <f t="shared" ref="F50:F78" si="11">+D50+E50</f>
        <v>0</v>
      </c>
      <c r="G50" s="935">
        <v>0</v>
      </c>
      <c r="H50" s="935">
        <v>0</v>
      </c>
      <c r="I50" s="936">
        <f>H50-D50</f>
        <v>0</v>
      </c>
    </row>
    <row r="51" spans="1:9" x14ac:dyDescent="0.25">
      <c r="A51" s="736"/>
      <c r="B51" s="734"/>
      <c r="C51" s="735" t="s">
        <v>474</v>
      </c>
      <c r="D51" s="935">
        <v>0</v>
      </c>
      <c r="E51" s="935"/>
      <c r="F51" s="935">
        <f t="shared" si="11"/>
        <v>0</v>
      </c>
      <c r="G51" s="935"/>
      <c r="H51" s="935"/>
      <c r="I51" s="936">
        <f t="shared" ref="I51:I62" si="12">H51-D51</f>
        <v>0</v>
      </c>
    </row>
    <row r="52" spans="1:9" x14ac:dyDescent="0.25">
      <c r="A52" s="736"/>
      <c r="B52" s="734"/>
      <c r="C52" s="735" t="s">
        <v>475</v>
      </c>
      <c r="D52" s="935">
        <v>0</v>
      </c>
      <c r="E52" s="935"/>
      <c r="F52" s="935">
        <f t="shared" si="11"/>
        <v>0</v>
      </c>
      <c r="G52" s="935"/>
      <c r="H52" s="935"/>
      <c r="I52" s="936">
        <f t="shared" si="12"/>
        <v>0</v>
      </c>
    </row>
    <row r="53" spans="1:9" ht="19.5" x14ac:dyDescent="0.25">
      <c r="A53" s="736"/>
      <c r="B53" s="734"/>
      <c r="C53" s="739" t="s">
        <v>476</v>
      </c>
      <c r="D53" s="935">
        <v>0</v>
      </c>
      <c r="E53" s="935"/>
      <c r="F53" s="935">
        <f t="shared" si="11"/>
        <v>0</v>
      </c>
      <c r="G53" s="935"/>
      <c r="H53" s="935"/>
      <c r="I53" s="936">
        <f t="shared" si="12"/>
        <v>0</v>
      </c>
    </row>
    <row r="54" spans="1:9" x14ac:dyDescent="0.25">
      <c r="A54" s="736"/>
      <c r="B54" s="734"/>
      <c r="C54" s="735" t="s">
        <v>477</v>
      </c>
      <c r="D54" s="935">
        <v>0</v>
      </c>
      <c r="E54" s="935">
        <v>0</v>
      </c>
      <c r="F54" s="935">
        <f t="shared" si="11"/>
        <v>0</v>
      </c>
      <c r="G54" s="935">
        <v>0</v>
      </c>
      <c r="H54" s="935">
        <v>0</v>
      </c>
      <c r="I54" s="936">
        <f t="shared" si="12"/>
        <v>0</v>
      </c>
    </row>
    <row r="55" spans="1:9" x14ac:dyDescent="0.25">
      <c r="A55" s="736"/>
      <c r="B55" s="734"/>
      <c r="C55" s="735" t="s">
        <v>478</v>
      </c>
      <c r="D55" s="935">
        <v>0</v>
      </c>
      <c r="E55" s="935"/>
      <c r="F55" s="935">
        <f t="shared" si="11"/>
        <v>0</v>
      </c>
      <c r="G55" s="935"/>
      <c r="H55" s="935"/>
      <c r="I55" s="936">
        <f t="shared" si="12"/>
        <v>0</v>
      </c>
    </row>
    <row r="56" spans="1:9" ht="19.5" x14ac:dyDescent="0.25">
      <c r="A56" s="736"/>
      <c r="B56" s="734"/>
      <c r="C56" s="739" t="s">
        <v>479</v>
      </c>
      <c r="D56" s="935">
        <v>0</v>
      </c>
      <c r="E56" s="935"/>
      <c r="F56" s="935">
        <f t="shared" si="11"/>
        <v>0</v>
      </c>
      <c r="G56" s="935"/>
      <c r="H56" s="935"/>
      <c r="I56" s="936">
        <f t="shared" si="12"/>
        <v>0</v>
      </c>
    </row>
    <row r="57" spans="1:9" ht="19.5" x14ac:dyDescent="0.25">
      <c r="A57" s="736"/>
      <c r="B57" s="734"/>
      <c r="C57" s="739" t="s">
        <v>480</v>
      </c>
      <c r="D57" s="935">
        <v>0</v>
      </c>
      <c r="E57" s="935"/>
      <c r="F57" s="935">
        <f t="shared" si="11"/>
        <v>0</v>
      </c>
      <c r="G57" s="935"/>
      <c r="H57" s="935"/>
      <c r="I57" s="936">
        <f t="shared" si="12"/>
        <v>0</v>
      </c>
    </row>
    <row r="58" spans="1:9" x14ac:dyDescent="0.25">
      <c r="A58" s="736"/>
      <c r="B58" s="1280" t="s">
        <v>481</v>
      </c>
      <c r="C58" s="1281"/>
      <c r="D58" s="941">
        <f t="shared" ref="D58:I58" si="13">SUM(D59:D62)</f>
        <v>0</v>
      </c>
      <c r="E58" s="941">
        <f t="shared" si="13"/>
        <v>0</v>
      </c>
      <c r="F58" s="941">
        <f t="shared" si="13"/>
        <v>0</v>
      </c>
      <c r="G58" s="941">
        <f t="shared" si="13"/>
        <v>0</v>
      </c>
      <c r="H58" s="941">
        <f t="shared" si="13"/>
        <v>0</v>
      </c>
      <c r="I58" s="936">
        <f t="shared" si="13"/>
        <v>0</v>
      </c>
    </row>
    <row r="59" spans="1:9" x14ac:dyDescent="0.25">
      <c r="A59" s="736"/>
      <c r="B59" s="734"/>
      <c r="C59" s="735" t="s">
        <v>482</v>
      </c>
      <c r="D59" s="935">
        <v>0</v>
      </c>
      <c r="E59" s="935"/>
      <c r="F59" s="935">
        <f t="shared" si="11"/>
        <v>0</v>
      </c>
      <c r="G59" s="935"/>
      <c r="H59" s="935"/>
      <c r="I59" s="936">
        <f t="shared" si="12"/>
        <v>0</v>
      </c>
    </row>
    <row r="60" spans="1:9" x14ac:dyDescent="0.25">
      <c r="A60" s="736"/>
      <c r="B60" s="734"/>
      <c r="C60" s="735" t="s">
        <v>483</v>
      </c>
      <c r="D60" s="935">
        <v>0</v>
      </c>
      <c r="E60" s="935"/>
      <c r="F60" s="935">
        <v>0</v>
      </c>
      <c r="G60" s="935"/>
      <c r="H60" s="935"/>
      <c r="I60" s="936">
        <f t="shared" si="12"/>
        <v>0</v>
      </c>
    </row>
    <row r="61" spans="1:9" x14ac:dyDescent="0.25">
      <c r="A61" s="736"/>
      <c r="B61" s="734"/>
      <c r="C61" s="735" t="s">
        <v>484</v>
      </c>
      <c r="D61" s="935">
        <v>0</v>
      </c>
      <c r="E61" s="935"/>
      <c r="F61" s="935">
        <v>0</v>
      </c>
      <c r="G61" s="935"/>
      <c r="H61" s="935"/>
      <c r="I61" s="936">
        <f t="shared" si="12"/>
        <v>0</v>
      </c>
    </row>
    <row r="62" spans="1:9" x14ac:dyDescent="0.25">
      <c r="A62" s="736"/>
      <c r="B62" s="734"/>
      <c r="C62" s="735" t="s">
        <v>485</v>
      </c>
      <c r="D62" s="935">
        <v>0</v>
      </c>
      <c r="E62" s="935"/>
      <c r="F62" s="935">
        <v>0</v>
      </c>
      <c r="G62" s="935"/>
      <c r="H62" s="935"/>
      <c r="I62" s="936">
        <f t="shared" si="12"/>
        <v>0</v>
      </c>
    </row>
    <row r="63" spans="1:9" x14ac:dyDescent="0.25">
      <c r="A63" s="736"/>
      <c r="B63" s="1280" t="s">
        <v>486</v>
      </c>
      <c r="C63" s="1281"/>
      <c r="D63" s="941">
        <f t="shared" ref="D63:I63" si="14">SUM(D64:D65)</f>
        <v>0</v>
      </c>
      <c r="E63" s="941">
        <f t="shared" si="14"/>
        <v>0</v>
      </c>
      <c r="F63" s="941">
        <f t="shared" si="14"/>
        <v>0</v>
      </c>
      <c r="G63" s="941">
        <f t="shared" si="14"/>
        <v>0</v>
      </c>
      <c r="H63" s="941">
        <f t="shared" si="14"/>
        <v>0</v>
      </c>
      <c r="I63" s="936">
        <f t="shared" si="14"/>
        <v>0</v>
      </c>
    </row>
    <row r="64" spans="1:9" ht="19.5" x14ac:dyDescent="0.25">
      <c r="A64" s="912"/>
      <c r="B64" s="910"/>
      <c r="C64" s="913" t="s">
        <v>487</v>
      </c>
      <c r="D64" s="935">
        <v>0</v>
      </c>
      <c r="E64" s="935">
        <v>0</v>
      </c>
      <c r="F64" s="935">
        <f t="shared" si="11"/>
        <v>0</v>
      </c>
      <c r="G64" s="935">
        <v>0</v>
      </c>
      <c r="H64" s="935">
        <v>0</v>
      </c>
      <c r="I64" s="936">
        <f>H64-D64</f>
        <v>0</v>
      </c>
    </row>
    <row r="65" spans="1:10" x14ac:dyDescent="0.25">
      <c r="A65" s="915"/>
      <c r="B65" s="916"/>
      <c r="C65" s="918" t="s">
        <v>488</v>
      </c>
      <c r="D65" s="937">
        <v>0</v>
      </c>
      <c r="E65" s="937">
        <v>0</v>
      </c>
      <c r="F65" s="944">
        <v>0</v>
      </c>
      <c r="G65" s="937">
        <v>0</v>
      </c>
      <c r="H65" s="937">
        <v>0</v>
      </c>
      <c r="I65" s="938">
        <f>H65-D65</f>
        <v>0</v>
      </c>
    </row>
    <row r="66" spans="1:10" x14ac:dyDescent="0.25">
      <c r="A66" s="736"/>
      <c r="B66" s="1280" t="s">
        <v>976</v>
      </c>
      <c r="C66" s="1281"/>
      <c r="D66" s="935">
        <v>0</v>
      </c>
      <c r="E66" s="935">
        <v>0</v>
      </c>
      <c r="F66" s="935">
        <f t="shared" si="11"/>
        <v>0</v>
      </c>
      <c r="G66" s="935">
        <v>0</v>
      </c>
      <c r="H66" s="935">
        <v>0</v>
      </c>
      <c r="I66" s="936">
        <f>H66-D66</f>
        <v>0</v>
      </c>
    </row>
    <row r="67" spans="1:10" x14ac:dyDescent="0.25">
      <c r="A67" s="736"/>
      <c r="B67" s="1280" t="s">
        <v>489</v>
      </c>
      <c r="C67" s="1281"/>
      <c r="D67" s="935">
        <v>0</v>
      </c>
      <c r="E67" s="935">
        <v>0</v>
      </c>
      <c r="F67" s="935">
        <f t="shared" si="11"/>
        <v>0</v>
      </c>
      <c r="G67" s="935">
        <v>0</v>
      </c>
      <c r="H67" s="935">
        <v>0</v>
      </c>
      <c r="I67" s="936">
        <f>H67-D67</f>
        <v>0</v>
      </c>
    </row>
    <row r="68" spans="1:10" ht="8.25" customHeight="1" x14ac:dyDescent="0.25">
      <c r="A68" s="736"/>
      <c r="B68" s="1280"/>
      <c r="C68" s="1281"/>
      <c r="D68" s="941"/>
      <c r="E68" s="941"/>
      <c r="F68" s="941" t="s">
        <v>244</v>
      </c>
      <c r="G68" s="941"/>
      <c r="H68" s="941"/>
      <c r="I68" s="936"/>
    </row>
    <row r="69" spans="1:10" x14ac:dyDescent="0.25">
      <c r="A69" s="1292" t="s">
        <v>490</v>
      </c>
      <c r="B69" s="1293"/>
      <c r="C69" s="1294"/>
      <c r="D69" s="945">
        <f t="shared" ref="D69:I69" si="15">+D49+D58+D63+D66+D67</f>
        <v>0</v>
      </c>
      <c r="E69" s="945">
        <f t="shared" si="15"/>
        <v>0</v>
      </c>
      <c r="F69" s="945">
        <f t="shared" si="15"/>
        <v>0</v>
      </c>
      <c r="G69" s="945">
        <f t="shared" si="15"/>
        <v>0</v>
      </c>
      <c r="H69" s="945">
        <f t="shared" si="15"/>
        <v>0</v>
      </c>
      <c r="I69" s="946">
        <f t="shared" si="15"/>
        <v>0</v>
      </c>
    </row>
    <row r="70" spans="1:10" ht="6" customHeight="1" x14ac:dyDescent="0.25">
      <c r="A70" s="736"/>
      <c r="B70" s="1280"/>
      <c r="C70" s="1281"/>
      <c r="D70" s="941"/>
      <c r="E70" s="941"/>
      <c r="F70" s="941" t="s">
        <v>244</v>
      </c>
      <c r="G70" s="941"/>
      <c r="H70" s="941"/>
      <c r="I70" s="936"/>
    </row>
    <row r="71" spans="1:10" x14ac:dyDescent="0.25">
      <c r="A71" s="1283" t="s">
        <v>491</v>
      </c>
      <c r="B71" s="1284"/>
      <c r="C71" s="1290"/>
      <c r="D71" s="945">
        <f t="shared" ref="D71:I71" si="16">SUM(D72)</f>
        <v>0</v>
      </c>
      <c r="E71" s="945">
        <f t="shared" si="16"/>
        <v>0</v>
      </c>
      <c r="F71" s="945">
        <f t="shared" si="16"/>
        <v>0</v>
      </c>
      <c r="G71" s="945">
        <f t="shared" si="16"/>
        <v>0</v>
      </c>
      <c r="H71" s="945">
        <f t="shared" si="16"/>
        <v>0</v>
      </c>
      <c r="I71" s="946">
        <f t="shared" si="16"/>
        <v>0</v>
      </c>
    </row>
    <row r="72" spans="1:10" x14ac:dyDescent="0.25">
      <c r="A72" s="736"/>
      <c r="B72" s="1291" t="s">
        <v>492</v>
      </c>
      <c r="C72" s="1281"/>
      <c r="D72" s="935">
        <v>0</v>
      </c>
      <c r="E72" s="935"/>
      <c r="F72" s="935" t="s">
        <v>244</v>
      </c>
      <c r="G72" s="935"/>
      <c r="H72" s="935">
        <v>0</v>
      </c>
      <c r="I72" s="936">
        <f>H72-D72</f>
        <v>0</v>
      </c>
    </row>
    <row r="73" spans="1:10" ht="7.5" customHeight="1" x14ac:dyDescent="0.25">
      <c r="A73" s="736"/>
      <c r="B73" s="1291"/>
      <c r="C73" s="1281"/>
      <c r="D73" s="941"/>
      <c r="E73" s="941"/>
      <c r="F73" s="941" t="s">
        <v>244</v>
      </c>
      <c r="G73" s="941"/>
      <c r="H73" s="941"/>
      <c r="I73" s="936"/>
    </row>
    <row r="74" spans="1:10" x14ac:dyDescent="0.25">
      <c r="A74" s="1283" t="s">
        <v>493</v>
      </c>
      <c r="B74" s="1284"/>
      <c r="C74" s="1290"/>
      <c r="D74" s="945">
        <f t="shared" ref="D74:I74" si="17">+D43+D69+D71</f>
        <v>103543736</v>
      </c>
      <c r="E74" s="945">
        <f t="shared" si="17"/>
        <v>3353646.5600000005</v>
      </c>
      <c r="F74" s="945">
        <f t="shared" si="17"/>
        <v>106897382.56</v>
      </c>
      <c r="G74" s="945">
        <f>+G43+G69+G71</f>
        <v>18103503.583000001</v>
      </c>
      <c r="H74" s="945">
        <f t="shared" si="17"/>
        <v>17031719.140000001</v>
      </c>
      <c r="I74" s="946">
        <f t="shared" si="17"/>
        <v>-86512016.859999999</v>
      </c>
    </row>
    <row r="75" spans="1:10" ht="6" customHeight="1" x14ac:dyDescent="0.25">
      <c r="A75" s="736"/>
      <c r="B75" s="1291"/>
      <c r="C75" s="1281"/>
      <c r="D75" s="941"/>
      <c r="E75" s="941"/>
      <c r="F75" s="941" t="s">
        <v>244</v>
      </c>
      <c r="G75" s="941"/>
      <c r="H75" s="941"/>
      <c r="I75" s="936"/>
    </row>
    <row r="76" spans="1:10" x14ac:dyDescent="0.25">
      <c r="A76" s="736"/>
      <c r="B76" s="1297" t="s">
        <v>494</v>
      </c>
      <c r="C76" s="1290"/>
      <c r="D76" s="936"/>
      <c r="E76" s="936"/>
      <c r="F76" s="936" t="s">
        <v>244</v>
      </c>
      <c r="G76" s="936"/>
      <c r="H76" s="936"/>
      <c r="I76" s="936"/>
    </row>
    <row r="77" spans="1:10" ht="21.75" customHeight="1" x14ac:dyDescent="0.25">
      <c r="A77" s="736"/>
      <c r="B77" s="1298" t="s">
        <v>495</v>
      </c>
      <c r="C77" s="1299"/>
      <c r="D77" s="935">
        <v>0</v>
      </c>
      <c r="E77" s="935">
        <v>0</v>
      </c>
      <c r="F77" s="935">
        <f t="shared" si="11"/>
        <v>0</v>
      </c>
      <c r="G77" s="935">
        <v>0</v>
      </c>
      <c r="H77" s="935">
        <v>0</v>
      </c>
      <c r="I77" s="936">
        <f t="shared" ref="I77:I78" si="18">H77-D77</f>
        <v>0</v>
      </c>
    </row>
    <row r="78" spans="1:10" ht="22.5" customHeight="1" x14ac:dyDescent="0.25">
      <c r="A78" s="736"/>
      <c r="B78" s="1298" t="s">
        <v>496</v>
      </c>
      <c r="C78" s="1299"/>
      <c r="D78" s="935">
        <v>0</v>
      </c>
      <c r="E78" s="935">
        <v>0</v>
      </c>
      <c r="F78" s="935">
        <f t="shared" si="11"/>
        <v>0</v>
      </c>
      <c r="G78" s="935">
        <v>0</v>
      </c>
      <c r="H78" s="935">
        <v>0</v>
      </c>
      <c r="I78" s="936">
        <f t="shared" si="18"/>
        <v>0</v>
      </c>
    </row>
    <row r="79" spans="1:10" x14ac:dyDescent="0.25">
      <c r="A79" s="736"/>
      <c r="B79" s="1297" t="s">
        <v>497</v>
      </c>
      <c r="C79" s="1290"/>
      <c r="D79" s="945">
        <f t="shared" ref="D79:I79" si="19">+D77+D78</f>
        <v>0</v>
      </c>
      <c r="E79" s="945">
        <f t="shared" si="19"/>
        <v>0</v>
      </c>
      <c r="F79" s="945">
        <f t="shared" si="19"/>
        <v>0</v>
      </c>
      <c r="G79" s="945">
        <f t="shared" si="19"/>
        <v>0</v>
      </c>
      <c r="H79" s="945">
        <f t="shared" si="19"/>
        <v>0</v>
      </c>
      <c r="I79" s="946">
        <f t="shared" si="19"/>
        <v>0</v>
      </c>
      <c r="J79" s="485" t="str">
        <f>IF(D74&lt;&gt;'ETCA-II-01'!C19,"ERROR!!!!! EL MONTO ESTIMADO NO COINCIDE CON LO REPORTADO EN EL FORMATO ETCA-II-01 EN EL TOTAL DE INGRESOS","")</f>
        <v/>
      </c>
    </row>
    <row r="80" spans="1:10" ht="15.75" thickBot="1" x14ac:dyDescent="0.3">
      <c r="A80" s="604"/>
      <c r="B80" s="1295"/>
      <c r="C80" s="1296"/>
      <c r="D80" s="633"/>
      <c r="E80" s="633"/>
      <c r="F80" s="633"/>
      <c r="G80" s="633"/>
      <c r="H80" s="633"/>
      <c r="I80" s="633"/>
      <c r="J80" s="485" t="str">
        <f>IF(E74&lt;&gt;'ETCA-II-01'!D19,"ERROR!!!!! EL MONTO NO COINCIDE CON LO REPORTADO EN EL FORMATO ETCA-II-01 EN EL TOTAL DE INGRESOS","")</f>
        <v/>
      </c>
    </row>
    <row r="81" spans="10:10" x14ac:dyDescent="0.25">
      <c r="J81" s="485" t="str">
        <f>IF(F74&lt;&gt;'ETCA-II-01'!E19,"ERROR!!!!! EL MONTO NO COINCIDE CON LO REPORTADO EN EL FORMATO ETCA-II-01 EN EL TOTAL DE INGRESOS","")</f>
        <v/>
      </c>
    </row>
    <row r="82" spans="10:10" x14ac:dyDescent="0.25">
      <c r="J82" s="485" t="str">
        <f>IF(G74&lt;&gt;'ETCA-II-01'!F19,"ERROR!!!!! EL MONTO NO COINCIDE CON LO REPORTADO EN EL FORMATO ETCA-II-01 EN EL TOTAL DE INGRESOS","")</f>
        <v/>
      </c>
    </row>
    <row r="83" spans="10:10" x14ac:dyDescent="0.25">
      <c r="J83" s="485" t="str">
        <f>IF(H74&lt;&gt;'ETCA-II-01'!G19,"ERROR!!!!! EL MONTO NO COINCIDE CON LO REPORTADO EN EL FORMATO ETCA-II-01 EN EL TOTAL DE INGRESOS","")</f>
        <v/>
      </c>
    </row>
    <row r="84" spans="10:10" x14ac:dyDescent="0.25">
      <c r="J84" s="485" t="str">
        <f>IF(I74&lt;&gt;'ETCA-II-01'!H19,"ERROR!!!!! EL MONTO NO COINCIDE CON LO REPORTADO EN EL FORMATO ETCA-II-01 EN EL TOTAL DE INGRESOS","")</f>
        <v/>
      </c>
    </row>
    <row r="85" spans="10:10" x14ac:dyDescent="0.25">
      <c r="J85" s="485" t="str">
        <f>IF(D74&lt;&gt;'ETCA-II-01'!C44,"ERROR!!!!! EL MONTO NO COINCIDE CON LO REPORTADO EN EL FORMATO ETCA-II-01 EN EL TOTAL DE INGRESOS","")</f>
        <v/>
      </c>
    </row>
    <row r="86" spans="10:10" x14ac:dyDescent="0.25">
      <c r="J86" s="485" t="s">
        <v>244</v>
      </c>
    </row>
    <row r="87" spans="10:10" x14ac:dyDescent="0.25">
      <c r="J87" s="485" t="str">
        <f>IF(F74&lt;&gt;'ETCA-II-01'!E44,"ERROR!!!!! EL MONTO NO COINCIDE CON LO REPORTADO EN EL FORMATO ETCA-II-01 EN EL TOTAL DE INGRESOS","")</f>
        <v/>
      </c>
    </row>
    <row r="88" spans="10:10" x14ac:dyDescent="0.25">
      <c r="J88" s="485" t="str">
        <f>IF(G74&lt;&gt;'ETCA-II-01'!F44,"ERROR!!!!! EL MONTO NO COINCIDE CON LO REPORTADO EN EL FORMATO ETCA-II-01 EN EL TOTAL DE INGRESOS","")</f>
        <v/>
      </c>
    </row>
    <row r="89" spans="10:10" x14ac:dyDescent="0.25">
      <c r="J89" s="485" t="str">
        <f>IF(H74&lt;&gt;'ETCA-II-01'!G44,"ERROR!!!!! EL MONTO NO COINCIDE CON LO REPORTADO EN EL FORMATO ETCA-II-01 EN EL TOTAL DE INGRESOS","")</f>
        <v/>
      </c>
    </row>
    <row r="90" spans="10:10" x14ac:dyDescent="0.25">
      <c r="J90" s="485" t="str">
        <f>IF(I74&lt;&gt;'ETCA-II-01'!H44,"ERROR!!!!! EL MONTO NO COINCIDE CON LO REPORTADO EN EL FORMATO ETCA-II-01 EN EL TOTAL DE INGRESOS","")</f>
        <v/>
      </c>
    </row>
  </sheetData>
  <sheetProtection formatColumns="0" formatRows="0" insertHyperlinks="0"/>
  <mergeCells count="62">
    <mergeCell ref="B80:C80"/>
    <mergeCell ref="A74:C74"/>
    <mergeCell ref="B75:C75"/>
    <mergeCell ref="B76:C76"/>
    <mergeCell ref="B77:C77"/>
    <mergeCell ref="B78:C78"/>
    <mergeCell ref="B79:C79"/>
    <mergeCell ref="B73:C73"/>
    <mergeCell ref="A48:C48"/>
    <mergeCell ref="B49:C49"/>
    <mergeCell ref="B58:C58"/>
    <mergeCell ref="B63:C63"/>
    <mergeCell ref="B66:C66"/>
    <mergeCell ref="B67:C67"/>
    <mergeCell ref="B68:C68"/>
    <mergeCell ref="A69:C69"/>
    <mergeCell ref="B70:C70"/>
    <mergeCell ref="A71:C71"/>
    <mergeCell ref="B72:C72"/>
    <mergeCell ref="A46:C46"/>
    <mergeCell ref="B37:C37"/>
    <mergeCell ref="B39:C39"/>
    <mergeCell ref="D43:D45"/>
    <mergeCell ref="F17:F18"/>
    <mergeCell ref="E43:E45"/>
    <mergeCell ref="F43:F45"/>
    <mergeCell ref="G17:G18"/>
    <mergeCell ref="H17:H18"/>
    <mergeCell ref="I17:I18"/>
    <mergeCell ref="D17:D18"/>
    <mergeCell ref="E17:E18"/>
    <mergeCell ref="G43:G45"/>
    <mergeCell ref="H43:H45"/>
    <mergeCell ref="I43:I45"/>
    <mergeCell ref="B30:C30"/>
    <mergeCell ref="B36:C36"/>
    <mergeCell ref="A8:C8"/>
    <mergeCell ref="B16:C16"/>
    <mergeCell ref="A17:A18"/>
    <mergeCell ref="B17:C17"/>
    <mergeCell ref="B18:C18"/>
    <mergeCell ref="B15:C15"/>
    <mergeCell ref="B14:C14"/>
    <mergeCell ref="A9:C9"/>
    <mergeCell ref="B10:C10"/>
    <mergeCell ref="B11:C11"/>
    <mergeCell ref="B12:C12"/>
    <mergeCell ref="B13:C13"/>
    <mergeCell ref="A4:I4"/>
    <mergeCell ref="A3:I3"/>
    <mergeCell ref="A2:I2"/>
    <mergeCell ref="A1:I1"/>
    <mergeCell ref="A5:C5"/>
    <mergeCell ref="D5:H5"/>
    <mergeCell ref="I5:I7"/>
    <mergeCell ref="A6:C6"/>
    <mergeCell ref="A7:C7"/>
    <mergeCell ref="D6:D7"/>
    <mergeCell ref="E6:E7"/>
    <mergeCell ref="F6:F7"/>
    <mergeCell ref="G6:G7"/>
    <mergeCell ref="H6:H7"/>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tabColor rgb="FFFFFF00"/>
    <pageSetUpPr fitToPage="1"/>
  </sheetPr>
  <dimension ref="A1:E26"/>
  <sheetViews>
    <sheetView view="pageBreakPreview" zoomScaleNormal="100" zoomScaleSheetLayoutView="100" workbookViewId="0">
      <selection activeCell="C21" sqref="C21"/>
    </sheetView>
  </sheetViews>
  <sheetFormatPr baseColWidth="10" defaultColWidth="11.28515625" defaultRowHeight="16.5" x14ac:dyDescent="0.25"/>
  <cols>
    <col min="1" max="1" width="1.28515625" style="117" customWidth="1"/>
    <col min="2" max="2" width="43.85546875" style="117" customWidth="1"/>
    <col min="3" max="4" width="25.7109375" style="117" customWidth="1"/>
    <col min="5" max="5" width="62" style="215" customWidth="1"/>
    <col min="6" max="16384" width="11.28515625" style="117"/>
  </cols>
  <sheetData>
    <row r="1" spans="1:5" x14ac:dyDescent="0.25">
      <c r="A1" s="1171" t="str">
        <f>'ETCA-I-01'!A1:G1</f>
        <v>TELEVISORA DE HERMOSILLO, S.A. DE C.V.</v>
      </c>
      <c r="B1" s="1171"/>
      <c r="C1" s="1171"/>
      <c r="D1" s="1171"/>
    </row>
    <row r="2" spans="1:5" s="149" customFormat="1" ht="15.75" x14ac:dyDescent="0.25">
      <c r="A2" s="1171" t="s">
        <v>498</v>
      </c>
      <c r="B2" s="1171"/>
      <c r="C2" s="1171"/>
      <c r="D2" s="1171"/>
      <c r="E2" s="390"/>
    </row>
    <row r="3" spans="1:5" s="149" customFormat="1" x14ac:dyDescent="0.25">
      <c r="A3" s="1172" t="str">
        <f>'ETCA-I-01'!A3:G3</f>
        <v>Al 30 de Septiembre de 2021</v>
      </c>
      <c r="B3" s="1172"/>
      <c r="C3" s="1172"/>
      <c r="D3" s="1172"/>
      <c r="E3" s="389"/>
    </row>
    <row r="4" spans="1:5" s="151" customFormat="1" ht="17.25" thickBot="1" x14ac:dyDescent="0.3">
      <c r="A4" s="150"/>
      <c r="B4" s="1173" t="s">
        <v>1034</v>
      </c>
      <c r="C4" s="1173"/>
      <c r="D4" s="220"/>
      <c r="E4" s="391"/>
    </row>
    <row r="5" spans="1:5" s="152" customFormat="1" ht="27" customHeight="1" thickBot="1" x14ac:dyDescent="0.3">
      <c r="A5" s="1300" t="s">
        <v>942</v>
      </c>
      <c r="B5" s="1301"/>
      <c r="C5" s="229"/>
      <c r="D5" s="947">
        <f>'ETCA-II-01'!F19</f>
        <v>18103503.583000001</v>
      </c>
      <c r="E5" s="392" t="str">
        <f>IF(D5&lt;&gt;'ETCA-II-01'!F44,"ERROR!!!!! EL MONTO NO COINCIDE CON LO REPORTADO EN EL FORMATO ETCA-II-01 EN EL TOTAL DEVENGADO DEL ANALÍTICO DE INGRESOS","")</f>
        <v/>
      </c>
    </row>
    <row r="6" spans="1:5" s="223" customFormat="1" ht="9.75" customHeight="1" x14ac:dyDescent="0.25">
      <c r="A6" s="242"/>
      <c r="B6" s="221"/>
      <c r="C6" s="222"/>
      <c r="D6" s="244"/>
      <c r="E6" s="393"/>
    </row>
    <row r="7" spans="1:5" s="223" customFormat="1" ht="17.25" customHeight="1" thickBot="1" x14ac:dyDescent="0.3">
      <c r="A7" s="243"/>
      <c r="B7" s="224"/>
      <c r="C7" s="225"/>
      <c r="D7" s="245"/>
      <c r="E7" s="392"/>
    </row>
    <row r="8" spans="1:5" ht="20.100000000000001" customHeight="1" thickBot="1" x14ac:dyDescent="0.3">
      <c r="A8" s="231" t="s">
        <v>943</v>
      </c>
      <c r="B8" s="232"/>
      <c r="C8" s="233"/>
      <c r="D8" s="234">
        <f>SUM(C9:C14)</f>
        <v>132706</v>
      </c>
      <c r="E8" s="392"/>
    </row>
    <row r="9" spans="1:5" ht="20.100000000000001" customHeight="1" x14ac:dyDescent="0.2">
      <c r="A9" s="153"/>
      <c r="B9" s="251" t="s">
        <v>940</v>
      </c>
      <c r="C9" s="235"/>
      <c r="D9" s="394"/>
      <c r="E9" s="411" t="str">
        <f>IF(C9&lt;&gt;'ETCA-I-03'!C20,"ERROR!!!, NO COINCIDEN LOS MONTOS CON LO REPORTADO EN EL FORMATO ETCA-I-03","")</f>
        <v/>
      </c>
    </row>
    <row r="10" spans="1:5" ht="20.100000000000001" customHeight="1" x14ac:dyDescent="0.2">
      <c r="A10" s="153"/>
      <c r="B10" s="252" t="s">
        <v>205</v>
      </c>
      <c r="C10" s="235"/>
      <c r="D10" s="394"/>
      <c r="E10" s="411"/>
    </row>
    <row r="11" spans="1:5" ht="33" customHeight="1" x14ac:dyDescent="0.2">
      <c r="A11" s="153"/>
      <c r="B11" s="252" t="s">
        <v>206</v>
      </c>
      <c r="C11" s="235"/>
      <c r="D11" s="394"/>
      <c r="E11" s="411" t="str">
        <f>IF(C11&lt;&gt;'ETCA-I-03'!C21,"ERROR!!!, NO COINCIDEN LOS MONTOS CON LO REPORTADO EN EL FORMATO ETCA-I-03","")</f>
        <v/>
      </c>
    </row>
    <row r="12" spans="1:5" ht="20.100000000000001" customHeight="1" x14ac:dyDescent="0.2">
      <c r="A12" s="154"/>
      <c r="B12" s="252" t="s">
        <v>207</v>
      </c>
      <c r="C12" s="235"/>
      <c r="D12" s="394"/>
      <c r="E12" s="411" t="str">
        <f>IF(C12&lt;&gt;'ETCA-I-03'!C22,"ERROR!!!, NO COINCIDEN LOS MONTOS CON LO REPORTADO EN EL FORMATO ETCA-I-03","")</f>
        <v/>
      </c>
    </row>
    <row r="13" spans="1:5" ht="20.100000000000001" customHeight="1" x14ac:dyDescent="0.2">
      <c r="A13" s="154"/>
      <c r="B13" s="252" t="s">
        <v>208</v>
      </c>
      <c r="C13" s="235">
        <v>132706</v>
      </c>
      <c r="D13" s="394"/>
      <c r="E13" s="411"/>
    </row>
    <row r="14" spans="1:5" ht="24.75" customHeight="1" thickBot="1" x14ac:dyDescent="0.3">
      <c r="A14" s="226" t="s">
        <v>977</v>
      </c>
      <c r="B14" s="255"/>
      <c r="C14" s="236"/>
      <c r="D14" s="395"/>
      <c r="E14" s="392"/>
    </row>
    <row r="15" spans="1:5" ht="7.5" customHeight="1" x14ac:dyDescent="0.25">
      <c r="A15" s="256"/>
      <c r="B15" s="246"/>
      <c r="C15" s="247"/>
      <c r="D15" s="248"/>
      <c r="E15" s="392"/>
    </row>
    <row r="16" spans="1:5" ht="20.100000000000001" customHeight="1" thickBot="1" x14ac:dyDescent="0.3">
      <c r="A16" s="257"/>
      <c r="B16" s="249"/>
      <c r="C16" s="250"/>
      <c r="D16" s="227"/>
      <c r="E16" s="392"/>
    </row>
    <row r="17" spans="1:5" ht="20.100000000000001" customHeight="1" thickBot="1" x14ac:dyDescent="0.3">
      <c r="A17" s="231" t="s">
        <v>944</v>
      </c>
      <c r="B17" s="232"/>
      <c r="C17" s="233"/>
      <c r="D17" s="234">
        <f>SUM(C18:C21)</f>
        <v>0</v>
      </c>
      <c r="E17" s="392"/>
    </row>
    <row r="18" spans="1:5" ht="20.100000000000001" customHeight="1" x14ac:dyDescent="0.25">
      <c r="A18" s="154"/>
      <c r="B18" s="251" t="s">
        <v>941</v>
      </c>
      <c r="C18" s="237"/>
      <c r="D18" s="394"/>
      <c r="E18" s="392"/>
    </row>
    <row r="19" spans="1:5" ht="20.100000000000001" customHeight="1" x14ac:dyDescent="0.25">
      <c r="A19" s="154"/>
      <c r="B19" s="252" t="s">
        <v>421</v>
      </c>
      <c r="C19" s="237"/>
      <c r="D19" s="394"/>
      <c r="E19" s="392"/>
    </row>
    <row r="20" spans="1:5" ht="20.100000000000001" customHeight="1" x14ac:dyDescent="0.25">
      <c r="A20" s="228" t="s">
        <v>978</v>
      </c>
      <c r="B20" s="253"/>
      <c r="C20" s="1087">
        <v>0</v>
      </c>
      <c r="D20" s="394"/>
      <c r="E20" s="392"/>
    </row>
    <row r="21" spans="1:5" ht="20.100000000000001" customHeight="1" thickBot="1" x14ac:dyDescent="0.3">
      <c r="A21" s="154"/>
      <c r="B21" s="254"/>
      <c r="C21" s="238"/>
      <c r="D21" s="394"/>
      <c r="E21" s="392"/>
    </row>
    <row r="22" spans="1:5" ht="26.25" customHeight="1" thickBot="1" x14ac:dyDescent="0.3">
      <c r="A22" s="239" t="s">
        <v>945</v>
      </c>
      <c r="B22" s="240"/>
      <c r="C22" s="241"/>
      <c r="D22" s="947">
        <f>D5+D8-D17+1</f>
        <v>18236210.583000001</v>
      </c>
      <c r="E22" s="392" t="s">
        <v>244</v>
      </c>
    </row>
    <row r="25" spans="1:5" s="839" customFormat="1" ht="13.5" x14ac:dyDescent="0.25">
      <c r="B25" s="846" t="s">
        <v>985</v>
      </c>
      <c r="C25" s="846"/>
      <c r="D25" s="846"/>
      <c r="E25" s="840"/>
    </row>
    <row r="26" spans="1:5" s="839" customFormat="1" ht="13.5" x14ac:dyDescent="0.25">
      <c r="B26" s="846" t="s">
        <v>986</v>
      </c>
      <c r="C26" s="846"/>
      <c r="D26" s="846"/>
      <c r="E26" s="840"/>
    </row>
  </sheetData>
  <sheetProtection insertHyperlinks="0"/>
  <mergeCells count="5">
    <mergeCell ref="A5:B5"/>
    <mergeCell ref="A1:D1"/>
    <mergeCell ref="A2:D2"/>
    <mergeCell ref="A3:D3"/>
    <mergeCell ref="B4:C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7"/>
  <sheetViews>
    <sheetView view="pageBreakPreview" zoomScale="98" zoomScaleNormal="100" zoomScaleSheetLayoutView="98" workbookViewId="0">
      <selection activeCell="C80" sqref="C80"/>
    </sheetView>
  </sheetViews>
  <sheetFormatPr baseColWidth="10" defaultRowHeight="15" x14ac:dyDescent="0.25"/>
  <cols>
    <col min="1" max="1" width="49.85546875" customWidth="1"/>
    <col min="2" max="2" width="13.7109375" customWidth="1"/>
    <col min="3" max="3" width="15.42578125" customWidth="1"/>
    <col min="4" max="7" width="13.7109375" customWidth="1"/>
  </cols>
  <sheetData>
    <row r="1" spans="1:7" ht="15.75" x14ac:dyDescent="0.25">
      <c r="A1" s="1171" t="str">
        <f>'ETCA-I-01'!A1:G1</f>
        <v>TELEVISORA DE HERMOSILLO, S.A. DE C.V.</v>
      </c>
      <c r="B1" s="1171"/>
      <c r="C1" s="1171"/>
      <c r="D1" s="1171"/>
      <c r="E1" s="1171"/>
      <c r="F1" s="1171"/>
      <c r="G1" s="1171"/>
    </row>
    <row r="2" spans="1:7" ht="15.75" x14ac:dyDescent="0.25">
      <c r="A2" s="1171" t="s">
        <v>499</v>
      </c>
      <c r="B2" s="1171"/>
      <c r="C2" s="1171"/>
      <c r="D2" s="1171"/>
      <c r="E2" s="1171"/>
      <c r="F2" s="1171"/>
      <c r="G2" s="1171"/>
    </row>
    <row r="3" spans="1:7" ht="15.75" x14ac:dyDescent="0.25">
      <c r="A3" s="1171" t="s">
        <v>500</v>
      </c>
      <c r="B3" s="1171"/>
      <c r="C3" s="1171"/>
      <c r="D3" s="1171"/>
      <c r="E3" s="1171"/>
      <c r="F3" s="1171"/>
      <c r="G3" s="1171"/>
    </row>
    <row r="4" spans="1:7" ht="16.5" x14ac:dyDescent="0.25">
      <c r="A4" s="1172" t="str">
        <f>'ETCA-I-03'!A3:D3</f>
        <v>Del 01 de Enero al 30 de Septiembre de 2021</v>
      </c>
      <c r="B4" s="1172"/>
      <c r="C4" s="1172"/>
      <c r="D4" s="1172"/>
      <c r="E4" s="1172"/>
      <c r="F4" s="1172"/>
      <c r="G4" s="1172"/>
    </row>
    <row r="5" spans="1:7" ht="17.25" thickBot="1" x14ac:dyDescent="0.3">
      <c r="A5" s="1304" t="s">
        <v>1035</v>
      </c>
      <c r="B5" s="1304"/>
      <c r="C5" s="1304"/>
      <c r="D5" s="1304"/>
      <c r="E5" s="1304"/>
      <c r="F5" s="220"/>
      <c r="G5" s="151"/>
    </row>
    <row r="6" spans="1:7" ht="38.25" x14ac:dyDescent="0.25">
      <c r="A6" s="1302" t="s">
        <v>501</v>
      </c>
      <c r="B6" s="182" t="s">
        <v>502</v>
      </c>
      <c r="C6" s="182" t="s">
        <v>432</v>
      </c>
      <c r="D6" s="438" t="s">
        <v>503</v>
      </c>
      <c r="E6" s="183" t="s">
        <v>504</v>
      </c>
      <c r="F6" s="183" t="s">
        <v>505</v>
      </c>
      <c r="G6" s="439" t="s">
        <v>506</v>
      </c>
    </row>
    <row r="7" spans="1:7" ht="15.75" thickBot="1" x14ac:dyDescent="0.3">
      <c r="A7" s="1303"/>
      <c r="B7" s="186" t="s">
        <v>412</v>
      </c>
      <c r="C7" s="186" t="s">
        <v>413</v>
      </c>
      <c r="D7" s="440" t="s">
        <v>507</v>
      </c>
      <c r="E7" s="187" t="s">
        <v>415</v>
      </c>
      <c r="F7" s="187" t="s">
        <v>416</v>
      </c>
      <c r="G7" s="441" t="s">
        <v>508</v>
      </c>
    </row>
    <row r="8" spans="1:7" x14ac:dyDescent="0.25">
      <c r="A8" s="442" t="s">
        <v>212</v>
      </c>
      <c r="B8" s="899">
        <f>SUM(B9:B15)</f>
        <v>73011857</v>
      </c>
      <c r="C8" s="899">
        <v>0</v>
      </c>
      <c r="D8" s="899">
        <f>B8+C8</f>
        <v>73011857</v>
      </c>
      <c r="E8" s="899">
        <f>SUM(E9:E15)+1</f>
        <v>50644779</v>
      </c>
      <c r="F8" s="899">
        <f>SUM(F9:F15)+2</f>
        <v>42380893</v>
      </c>
      <c r="G8" s="900">
        <f>D8-E8</f>
        <v>22367078</v>
      </c>
    </row>
    <row r="9" spans="1:7" x14ac:dyDescent="0.25">
      <c r="A9" s="443" t="s">
        <v>509</v>
      </c>
      <c r="B9" s="449">
        <f>+'ETCA-II-13'!C12+'ETCA-II-13'!C13+'ETCA-II-13'!C16</f>
        <v>42749171</v>
      </c>
      <c r="C9" s="449">
        <f>+'ETCA-II-13'!D12+'ETCA-II-13'!D13+'ETCA-II-13'!D16</f>
        <v>-930987</v>
      </c>
      <c r="D9" s="447">
        <f t="shared" ref="D9:D71" si="0">B9+C9</f>
        <v>41818184</v>
      </c>
      <c r="E9" s="449">
        <f>+'ETCA-II-13'!F12+'ETCA-II-13'!F13+'ETCA-II-13'!F16</f>
        <v>29359642</v>
      </c>
      <c r="F9" s="449">
        <f>+'ETCA-II-13'!G12+'ETCA-II-13'!G13+'ETCA-II-13'!G16</f>
        <v>29279642</v>
      </c>
      <c r="G9" s="448">
        <f t="shared" ref="G9:G72" si="1">D9-E9</f>
        <v>12458542</v>
      </c>
    </row>
    <row r="10" spans="1:7" x14ac:dyDescent="0.25">
      <c r="A10" s="443" t="s">
        <v>510</v>
      </c>
      <c r="B10" s="449">
        <f>+'ETCA-II-13'!C20</f>
        <v>985777</v>
      </c>
      <c r="C10" s="449">
        <f>+'ETCA-II-13'!D20</f>
        <v>-33022</v>
      </c>
      <c r="D10" s="447">
        <f t="shared" si="0"/>
        <v>952755</v>
      </c>
      <c r="E10" s="449">
        <f>+'ETCA-II-13'!F20</f>
        <v>819068</v>
      </c>
      <c r="F10" s="449">
        <f>+'ETCA-II-13'!G20</f>
        <v>819068</v>
      </c>
      <c r="G10" s="448">
        <f t="shared" si="1"/>
        <v>133687</v>
      </c>
    </row>
    <row r="11" spans="1:7" x14ac:dyDescent="0.25">
      <c r="A11" s="443" t="s">
        <v>511</v>
      </c>
      <c r="B11" s="449">
        <f>+'ETCA-II-13'!C27+'ETCA-II-13'!C28+'ETCA-II-13'!C31</f>
        <v>11486063</v>
      </c>
      <c r="C11" s="449">
        <f>+'ETCA-II-13'!D27+'ETCA-II-13'!D28+'ETCA-II-13'!D31</f>
        <v>2870</v>
      </c>
      <c r="D11" s="447">
        <f t="shared" si="0"/>
        <v>11488933</v>
      </c>
      <c r="E11" s="449">
        <f>+'ETCA-II-13'!F27+'ETCA-II-13'!F28+'ETCA-II-13'!F31</f>
        <v>6918687</v>
      </c>
      <c r="F11" s="449">
        <f>+'ETCA-II-13'!G27+'ETCA-II-13'!G28+'ETCA-II-13'!G31</f>
        <v>2600910</v>
      </c>
      <c r="G11" s="448">
        <f t="shared" si="1"/>
        <v>4570246</v>
      </c>
    </row>
    <row r="12" spans="1:7" x14ac:dyDescent="0.25">
      <c r="A12" s="443" t="s">
        <v>512</v>
      </c>
      <c r="B12" s="449">
        <f>+'ETCA-II-13'!C35+'ETCA-II-13'!C36+'ETCA-II-13'!C37</f>
        <v>9765917</v>
      </c>
      <c r="C12" s="449">
        <f>+'ETCA-II-13'!D35+'ETCA-II-13'!D36+'ETCA-II-13'!D37</f>
        <v>0</v>
      </c>
      <c r="D12" s="447">
        <f t="shared" si="0"/>
        <v>9765917</v>
      </c>
      <c r="E12" s="449">
        <f>+'ETCA-II-13'!F35+'ETCA-II-13'!F36+'ETCA-II-13'!F37</f>
        <v>6738130</v>
      </c>
      <c r="F12" s="449">
        <f>+'ETCA-II-13'!G35+'ETCA-II-13'!G36+'ETCA-II-13'!G37</f>
        <v>5987694</v>
      </c>
      <c r="G12" s="448">
        <f t="shared" si="1"/>
        <v>3027787</v>
      </c>
    </row>
    <row r="13" spans="1:7" x14ac:dyDescent="0.25">
      <c r="A13" s="443" t="s">
        <v>513</v>
      </c>
      <c r="B13" s="449">
        <f>+'ETCA-II-13'!C39+'ETCA-II-13'!C40+'ETCA-II-13'!C41+'ETCA-II-13'!C42+'ETCA-II-13'!C43+'ETCA-II-13'!C44</f>
        <v>6043894</v>
      </c>
      <c r="C13" s="449">
        <f>+'ETCA-II-13'!D39+'ETCA-II-13'!D40+'ETCA-II-13'!D41+'ETCA-II-13'!D42+'ETCA-II-13'!D43+'ETCA-II-13'!D44</f>
        <v>577669</v>
      </c>
      <c r="D13" s="447">
        <f t="shared" si="0"/>
        <v>6621563</v>
      </c>
      <c r="E13" s="449">
        <f>+'ETCA-II-13'!F39+'ETCA-II-13'!F40+'ETCA-II-13'!F41+'ETCA-II-13'!F42+'ETCA-II-13'!F43+'ETCA-II-13'!F44</f>
        <v>4598192</v>
      </c>
      <c r="F13" s="449">
        <f>+'ETCA-II-13'!G39+'ETCA-II-13'!G40+'ETCA-II-13'!G41+'ETCA-II-13'!G42+'ETCA-II-13'!G43+'ETCA-II-13'!G44</f>
        <v>1482518</v>
      </c>
      <c r="G13" s="448">
        <f t="shared" si="1"/>
        <v>2023371</v>
      </c>
    </row>
    <row r="14" spans="1:7" x14ac:dyDescent="0.25">
      <c r="A14" s="443" t="s">
        <v>514</v>
      </c>
      <c r="B14" s="449">
        <v>0</v>
      </c>
      <c r="C14" s="449">
        <v>0</v>
      </c>
      <c r="D14" s="447">
        <f t="shared" si="0"/>
        <v>0</v>
      </c>
      <c r="E14" s="449">
        <v>0</v>
      </c>
      <c r="F14" s="449">
        <v>0</v>
      </c>
      <c r="G14" s="448">
        <f t="shared" si="1"/>
        <v>0</v>
      </c>
    </row>
    <row r="15" spans="1:7" x14ac:dyDescent="0.25">
      <c r="A15" s="443" t="s">
        <v>515</v>
      </c>
      <c r="B15" s="449">
        <f>+'ETCA-II-13'!C46</f>
        <v>1981035</v>
      </c>
      <c r="C15" s="449">
        <f>+'ETCA-II-13'!D46</f>
        <v>383471</v>
      </c>
      <c r="D15" s="447">
        <f t="shared" si="0"/>
        <v>2364506</v>
      </c>
      <c r="E15" s="449">
        <f>+'ETCA-II-13'!F46</f>
        <v>2211059</v>
      </c>
      <c r="F15" s="449">
        <f>+'ETCA-II-13'!G46</f>
        <v>2211059</v>
      </c>
      <c r="G15" s="448">
        <f t="shared" si="1"/>
        <v>153447</v>
      </c>
    </row>
    <row r="16" spans="1:7" x14ac:dyDescent="0.25">
      <c r="A16" s="444" t="s">
        <v>213</v>
      </c>
      <c r="B16" s="899">
        <f>SUM(B17:B25)</f>
        <v>976480</v>
      </c>
      <c r="C16" s="899">
        <f>SUM(C17:C25)</f>
        <v>0</v>
      </c>
      <c r="D16" s="899">
        <f>B16+C16</f>
        <v>976480</v>
      </c>
      <c r="E16" s="899">
        <f>SUM(E17:E25)+1</f>
        <v>682153</v>
      </c>
      <c r="F16" s="899">
        <f>SUM(F17:F25)+1</f>
        <v>682153</v>
      </c>
      <c r="G16" s="900">
        <f t="shared" si="1"/>
        <v>294327</v>
      </c>
    </row>
    <row r="17" spans="1:7" ht="25.5" x14ac:dyDescent="0.25">
      <c r="A17" s="443" t="s">
        <v>516</v>
      </c>
      <c r="B17" s="449">
        <f>+'ETCA-II-13'!C50+'ETCA-II-13'!C53</f>
        <v>260142</v>
      </c>
      <c r="C17" s="449">
        <f>+'ETCA-II-13'!D50+'ETCA-II-13'!D53</f>
        <v>-127238</v>
      </c>
      <c r="D17" s="447">
        <f t="shared" si="0"/>
        <v>132904</v>
      </c>
      <c r="E17" s="449">
        <f>+'ETCA-II-13'!F50+'ETCA-II-13'!F53</f>
        <v>70061</v>
      </c>
      <c r="F17" s="449">
        <f>+'ETCA-II-13'!G50+'ETCA-II-13'!G53</f>
        <v>70061</v>
      </c>
      <c r="G17" s="448">
        <f t="shared" si="1"/>
        <v>62843</v>
      </c>
    </row>
    <row r="18" spans="1:7" x14ac:dyDescent="0.25">
      <c r="A18" s="443" t="s">
        <v>517</v>
      </c>
      <c r="B18" s="449">
        <f>+'ETCA-II-13'!C55</f>
        <v>90363</v>
      </c>
      <c r="C18" s="449">
        <f>+'ETCA-II-13'!D55</f>
        <v>1469</v>
      </c>
      <c r="D18" s="447">
        <f t="shared" si="0"/>
        <v>91832</v>
      </c>
      <c r="E18" s="449">
        <f>+'ETCA-II-13'!F55</f>
        <v>50126</v>
      </c>
      <c r="F18" s="449">
        <f>+'ETCA-II-13'!G55</f>
        <v>50126</v>
      </c>
      <c r="G18" s="448">
        <f t="shared" si="1"/>
        <v>41706</v>
      </c>
    </row>
    <row r="19" spans="1:7" x14ac:dyDescent="0.25">
      <c r="A19" s="443" t="s">
        <v>518</v>
      </c>
      <c r="B19" s="449">
        <f>+'ETCA-II-13'!C57+'ETCA-II-13'!C58</f>
        <v>2570</v>
      </c>
      <c r="C19" s="449">
        <f>+'ETCA-II-13'!D57+'ETCA-II-13'!D58</f>
        <v>0</v>
      </c>
      <c r="D19" s="447">
        <f t="shared" si="0"/>
        <v>2570</v>
      </c>
      <c r="E19" s="449">
        <f>+'ETCA-II-13'!F57+'ETCA-II-13'!F58</f>
        <v>0</v>
      </c>
      <c r="F19" s="449">
        <f>+'ETCA-II-13'!G57+'ETCA-II-13'!G58</f>
        <v>0</v>
      </c>
      <c r="G19" s="448">
        <f t="shared" si="1"/>
        <v>2570</v>
      </c>
    </row>
    <row r="20" spans="1:7" x14ac:dyDescent="0.25">
      <c r="A20" s="443" t="s">
        <v>519</v>
      </c>
      <c r="B20" s="449">
        <v>0</v>
      </c>
      <c r="C20" s="449">
        <v>0</v>
      </c>
      <c r="D20" s="447">
        <v>0</v>
      </c>
      <c r="E20" s="449">
        <v>0</v>
      </c>
      <c r="F20" s="449">
        <v>0</v>
      </c>
      <c r="G20" s="448">
        <f t="shared" si="1"/>
        <v>0</v>
      </c>
    </row>
    <row r="21" spans="1:7" x14ac:dyDescent="0.25">
      <c r="A21" s="443" t="s">
        <v>520</v>
      </c>
      <c r="B21" s="449">
        <f>+'ETCA-II-13'!C60</f>
        <v>90</v>
      </c>
      <c r="C21" s="449">
        <f>+'ETCA-II-13'!D60</f>
        <v>0</v>
      </c>
      <c r="D21" s="447">
        <f t="shared" si="0"/>
        <v>90</v>
      </c>
      <c r="E21" s="449">
        <f>+'ETCA-II-13'!F60</f>
        <v>0</v>
      </c>
      <c r="F21" s="449">
        <f>+'ETCA-II-13'!G60</f>
        <v>0</v>
      </c>
      <c r="G21" s="448">
        <f t="shared" si="1"/>
        <v>90</v>
      </c>
    </row>
    <row r="22" spans="1:7" x14ac:dyDescent="0.25">
      <c r="A22" s="443" t="s">
        <v>521</v>
      </c>
      <c r="B22" s="449">
        <f>+'ETCA-II-13'!C62</f>
        <v>548978</v>
      </c>
      <c r="C22" s="449">
        <f>+'ETCA-II-13'!D62</f>
        <v>-3466</v>
      </c>
      <c r="D22" s="447">
        <f t="shared" si="0"/>
        <v>545512</v>
      </c>
      <c r="E22" s="449">
        <f>+'ETCA-II-13'!F62</f>
        <v>395774</v>
      </c>
      <c r="F22" s="449">
        <f>+'ETCA-II-13'!G62</f>
        <v>395774</v>
      </c>
      <c r="G22" s="448">
        <f t="shared" si="1"/>
        <v>149738</v>
      </c>
    </row>
    <row r="23" spans="1:7" x14ac:dyDescent="0.25">
      <c r="A23" s="443" t="s">
        <v>522</v>
      </c>
      <c r="B23" s="449">
        <f>+'ETCA-II-13'!C64</f>
        <v>13966</v>
      </c>
      <c r="C23" s="449">
        <f>+'ETCA-II-13'!D64</f>
        <v>58034</v>
      </c>
      <c r="D23" s="447">
        <f t="shared" si="0"/>
        <v>72000</v>
      </c>
      <c r="E23" s="449">
        <f>+'ETCA-II-13'!F64</f>
        <v>72000</v>
      </c>
      <c r="F23" s="449">
        <f>+'ETCA-II-13'!G64</f>
        <v>72000</v>
      </c>
      <c r="G23" s="448">
        <f t="shared" si="1"/>
        <v>0</v>
      </c>
    </row>
    <row r="24" spans="1:7" x14ac:dyDescent="0.25">
      <c r="A24" s="443" t="s">
        <v>523</v>
      </c>
      <c r="B24" s="449">
        <v>0</v>
      </c>
      <c r="C24" s="449">
        <v>0</v>
      </c>
      <c r="D24" s="447">
        <f t="shared" si="0"/>
        <v>0</v>
      </c>
      <c r="E24" s="449">
        <v>0</v>
      </c>
      <c r="F24" s="449">
        <v>0</v>
      </c>
      <c r="G24" s="448">
        <f t="shared" si="1"/>
        <v>0</v>
      </c>
    </row>
    <row r="25" spans="1:7" x14ac:dyDescent="0.25">
      <c r="A25" s="443" t="s">
        <v>524</v>
      </c>
      <c r="B25" s="449">
        <f>+'ETCA-II-13'!C66+'ETCA-II-13'!C67-1</f>
        <v>60371</v>
      </c>
      <c r="C25" s="449">
        <f>+'ETCA-II-13'!D66+'ETCA-II-13'!D67</f>
        <v>71201</v>
      </c>
      <c r="D25" s="447">
        <f t="shared" si="0"/>
        <v>131572</v>
      </c>
      <c r="E25" s="449">
        <f>+'ETCA-II-13'!F66+'ETCA-II-13'!F67</f>
        <v>94191</v>
      </c>
      <c r="F25" s="449">
        <f>+'ETCA-II-13'!G66+'ETCA-II-13'!G67</f>
        <v>94191</v>
      </c>
      <c r="G25" s="448">
        <f t="shared" si="1"/>
        <v>37381</v>
      </c>
    </row>
    <row r="26" spans="1:7" x14ac:dyDescent="0.25">
      <c r="A26" s="444" t="s">
        <v>214</v>
      </c>
      <c r="B26" s="899">
        <f>SUM(B27:B35)</f>
        <v>15055399</v>
      </c>
      <c r="C26" s="899">
        <f>SUM(C27:C35)</f>
        <v>0</v>
      </c>
      <c r="D26" s="899">
        <f>B26+C26</f>
        <v>15055399</v>
      </c>
      <c r="E26" s="899">
        <f>SUM(E27:E35)-4</f>
        <v>8087765</v>
      </c>
      <c r="F26" s="899">
        <f>SUM(F27:F35)-2</f>
        <v>7950194</v>
      </c>
      <c r="G26" s="900">
        <f t="shared" si="1"/>
        <v>6967634</v>
      </c>
    </row>
    <row r="27" spans="1:7" x14ac:dyDescent="0.25">
      <c r="A27" s="443" t="s">
        <v>525</v>
      </c>
      <c r="B27" s="449">
        <f>+'ETCA-II-13'!C71+'ETCA-II-13'!C72+'ETCA-II-13'!C73+'ETCA-II-13'!C74+'ETCA-II-13'!C75+'ETCA-II-13'!C76+'ETCA-II-13'!C77</f>
        <v>2469950</v>
      </c>
      <c r="C27" s="449">
        <f>+'ETCA-II-13'!D71+'ETCA-II-13'!D72+'ETCA-II-13'!D73+'ETCA-II-13'!D74+'ETCA-II-13'!D75+'ETCA-II-13'!D76+'ETCA-II-13'!D77</f>
        <v>-2563</v>
      </c>
      <c r="D27" s="447">
        <f t="shared" si="0"/>
        <v>2467387</v>
      </c>
      <c r="E27" s="449">
        <f>+'ETCA-II-13'!F71+'ETCA-II-13'!F72+'ETCA-II-13'!F73+'ETCA-II-13'!F74+'ETCA-II-13'!F75+'ETCA-II-13'!F76+'ETCA-II-13'!F77</f>
        <v>1579936</v>
      </c>
      <c r="F27" s="449">
        <f>+'ETCA-II-13'!G71+'ETCA-II-13'!G72+'ETCA-II-13'!G73+'ETCA-II-13'!G74+'ETCA-II-13'!G75+'ETCA-II-13'!G76+'ETCA-II-13'!G77</f>
        <v>1579936</v>
      </c>
      <c r="G27" s="448">
        <f t="shared" si="1"/>
        <v>887451</v>
      </c>
    </row>
    <row r="28" spans="1:7" x14ac:dyDescent="0.25">
      <c r="A28" s="443" t="s">
        <v>526</v>
      </c>
      <c r="B28" s="449">
        <f>+'ETCA-II-13'!C79+'ETCA-II-13'!C80+'ETCA-II-13'!C81+'ETCA-II-13'!C82</f>
        <v>245785</v>
      </c>
      <c r="C28" s="449">
        <f>+'ETCA-II-13'!D79+'ETCA-II-13'!D80+'ETCA-II-13'!D81+'ETCA-II-13'!D82</f>
        <v>25043</v>
      </c>
      <c r="D28" s="447">
        <f t="shared" si="0"/>
        <v>270828</v>
      </c>
      <c r="E28" s="449">
        <f>+'ETCA-II-13'!F79+'ETCA-II-13'!F80+'ETCA-II-13'!F81+'ETCA-II-13'!F82+1</f>
        <v>195629</v>
      </c>
      <c r="F28" s="449">
        <f>+'ETCA-II-13'!G79+'ETCA-II-13'!G80+'ETCA-II-13'!G81+'ETCA-II-13'!G82</f>
        <v>185231</v>
      </c>
      <c r="G28" s="448">
        <f t="shared" si="1"/>
        <v>75199</v>
      </c>
    </row>
    <row r="29" spans="1:7" x14ac:dyDescent="0.25">
      <c r="A29" s="443" t="s">
        <v>527</v>
      </c>
      <c r="B29" s="449">
        <f>+'ETCA-II-13'!C86+'ETCA-II-13'!C87+'ETCA-II-13'!C88+'ETCA-II-13'!C90</f>
        <v>3550263</v>
      </c>
      <c r="C29" s="449">
        <f>+'ETCA-II-13'!D86+'ETCA-II-13'!D87+'ETCA-II-13'!D88+'ETCA-II-13'!D90</f>
        <v>-88586</v>
      </c>
      <c r="D29" s="447">
        <f t="shared" si="0"/>
        <v>3461677</v>
      </c>
      <c r="E29" s="449">
        <f>+'ETCA-II-13'!F86+'ETCA-II-13'!F87+'ETCA-II-13'!F88+'ETCA-II-13'!F90+1</f>
        <v>1073596</v>
      </c>
      <c r="F29" s="449">
        <f>+'ETCA-II-13'!G86+'ETCA-II-13'!G87+'ETCA-II-13'!G88+'ETCA-II-13'!G90</f>
        <v>1072135</v>
      </c>
      <c r="G29" s="448">
        <f t="shared" si="1"/>
        <v>2388081</v>
      </c>
    </row>
    <row r="30" spans="1:7" x14ac:dyDescent="0.25">
      <c r="A30" s="443" t="s">
        <v>528</v>
      </c>
      <c r="B30" s="449">
        <f>+'ETCA-II-13'!C92+'ETCA-II-13'!C94+'ETCA-II-13'!C95+'ETCA-II-13'!C96</f>
        <v>1107341</v>
      </c>
      <c r="C30" s="449">
        <f>+'ETCA-II-13'!D92+'ETCA-II-13'!D94+'ETCA-II-13'!D95+'ETCA-II-13'!D96</f>
        <v>-1604</v>
      </c>
      <c r="D30" s="447">
        <f t="shared" si="0"/>
        <v>1105737</v>
      </c>
      <c r="E30" s="449">
        <f>+'ETCA-II-13'!F92+'ETCA-II-13'!F94+'ETCA-II-13'!F95+'ETCA-II-13'!F96-1</f>
        <v>819428</v>
      </c>
      <c r="F30" s="449">
        <f>+'ETCA-II-13'!G92+'ETCA-II-13'!G94+'ETCA-II-13'!G95+'ETCA-II-13'!G96</f>
        <v>819429</v>
      </c>
      <c r="G30" s="448">
        <f t="shared" si="1"/>
        <v>286309</v>
      </c>
    </row>
    <row r="31" spans="1:7" ht="25.5" x14ac:dyDescent="0.25">
      <c r="A31" s="443" t="s">
        <v>529</v>
      </c>
      <c r="B31" s="449">
        <f>+'ETCA-II-13'!C98+'ETCA-II-13'!C99+'ETCA-II-13'!C100+'ETCA-II-13'!C101+'ETCA-II-13'!C102+'ETCA-II-13'!C103</f>
        <v>1286313</v>
      </c>
      <c r="C31" s="449">
        <f>+'ETCA-II-13'!D98+'ETCA-II-13'!D99+'ETCA-II-13'!D100+'ETCA-II-13'!D101+'ETCA-II-13'!D102+'ETCA-II-13'!D103</f>
        <v>-752</v>
      </c>
      <c r="D31" s="447">
        <f t="shared" si="0"/>
        <v>1285561</v>
      </c>
      <c r="E31" s="449">
        <f>+'ETCA-II-13'!F98+'ETCA-II-13'!F99+'ETCA-II-13'!F100+'ETCA-II-13'!F101+'ETCA-II-13'!F102+'ETCA-II-13'!F103+2</f>
        <v>477587</v>
      </c>
      <c r="F31" s="449">
        <f>+'ETCA-II-13'!G98+'ETCA-II-13'!G99+'ETCA-II-13'!G100+'ETCA-II-13'!G101+'ETCA-II-13'!G102+'ETCA-II-13'!G103</f>
        <v>455505</v>
      </c>
      <c r="G31" s="448">
        <f t="shared" si="1"/>
        <v>807974</v>
      </c>
    </row>
    <row r="32" spans="1:7" x14ac:dyDescent="0.25">
      <c r="A32" s="443" t="s">
        <v>530</v>
      </c>
      <c r="B32" s="449">
        <f>+'ETCA-II-13'!C105+'ETCA-II-13'!C106+'ETCA-II-13'!C107</f>
        <v>276570</v>
      </c>
      <c r="C32" s="449">
        <f>+'ETCA-II-13'!D105+'ETCA-II-13'!D106+'ETCA-II-13'!D107</f>
        <v>-27284</v>
      </c>
      <c r="D32" s="447">
        <f t="shared" si="0"/>
        <v>249286</v>
      </c>
      <c r="E32" s="449">
        <f>+'ETCA-II-13'!F105+'ETCA-II-13'!F106+'ETCA-II-13'!F107</f>
        <v>142969</v>
      </c>
      <c r="F32" s="449">
        <f>+'ETCA-II-13'!G105+'ETCA-II-13'!G106+'ETCA-II-13'!G107</f>
        <v>142969</v>
      </c>
      <c r="G32" s="448">
        <f t="shared" si="1"/>
        <v>106317</v>
      </c>
    </row>
    <row r="33" spans="1:7" x14ac:dyDescent="0.25">
      <c r="A33" s="443" t="s">
        <v>531</v>
      </c>
      <c r="B33" s="449">
        <f>+'ETCA-II-13'!C109+'ETCA-II-13'!C110</f>
        <v>115672</v>
      </c>
      <c r="C33" s="449">
        <f>+'ETCA-II-13'!D109+'ETCA-II-13'!D110</f>
        <v>22285</v>
      </c>
      <c r="D33" s="447">
        <f t="shared" si="0"/>
        <v>137957</v>
      </c>
      <c r="E33" s="449">
        <f>+'ETCA-II-13'!F109+'ETCA-II-13'!F110-1</f>
        <v>92557</v>
      </c>
      <c r="F33" s="449">
        <f>+'ETCA-II-13'!G109+'ETCA-II-13'!G110</f>
        <v>92558</v>
      </c>
      <c r="G33" s="448">
        <f t="shared" si="1"/>
        <v>45400</v>
      </c>
    </row>
    <row r="34" spans="1:7" ht="15.75" thickBot="1" x14ac:dyDescent="0.3">
      <c r="A34" s="445" t="s">
        <v>532</v>
      </c>
      <c r="B34" s="450">
        <f>+'ETCA-II-13'!C113+'ETCA-II-13'!C114</f>
        <v>133168</v>
      </c>
      <c r="C34" s="450">
        <f>+'ETCA-II-13'!D113+'ETCA-II-13'!D114</f>
        <v>55163</v>
      </c>
      <c r="D34" s="451">
        <f t="shared" si="0"/>
        <v>188331</v>
      </c>
      <c r="E34" s="450">
        <f>+'ETCA-II-13'!F113+'ETCA-II-13'!F114</f>
        <v>74989</v>
      </c>
      <c r="F34" s="450">
        <f>+'ETCA-II-13'!G113+'ETCA-II-13'!G114</f>
        <v>74989</v>
      </c>
      <c r="G34" s="452">
        <f t="shared" si="1"/>
        <v>113342</v>
      </c>
    </row>
    <row r="35" spans="1:7" x14ac:dyDescent="0.25">
      <c r="A35" s="443" t="s">
        <v>533</v>
      </c>
      <c r="B35" s="449">
        <f>+'ETCA-II-13'!C116+'ETCA-II-13'!C117+'ETCA-II-13'!C118</f>
        <v>5870337</v>
      </c>
      <c r="C35" s="449">
        <f>+'ETCA-II-13'!D116+'ETCA-II-13'!D117+'ETCA-II-13'!D118</f>
        <v>18298</v>
      </c>
      <c r="D35" s="447">
        <f t="shared" si="0"/>
        <v>5888635</v>
      </c>
      <c r="E35" s="449">
        <f>+'ETCA-II-13'!F116+'ETCA-II-13'!F117+'ETCA-II-13'!F118</f>
        <v>3631078</v>
      </c>
      <c r="F35" s="449">
        <f>+'ETCA-II-13'!G116+'ETCA-II-13'!G117+'ETCA-II-13'!G118</f>
        <v>3527444</v>
      </c>
      <c r="G35" s="448">
        <f t="shared" si="1"/>
        <v>2257557</v>
      </c>
    </row>
    <row r="36" spans="1:7" x14ac:dyDescent="0.25">
      <c r="A36" s="444" t="s">
        <v>424</v>
      </c>
      <c r="B36" s="447">
        <f>SUM(B37:B45)</f>
        <v>0</v>
      </c>
      <c r="C36" s="447">
        <f>SUM(C37:C45)</f>
        <v>0</v>
      </c>
      <c r="D36" s="447">
        <f>B36+C36</f>
        <v>0</v>
      </c>
      <c r="E36" s="447">
        <f>SUM(E37:E45)</f>
        <v>0</v>
      </c>
      <c r="F36" s="447">
        <f>SUM(F37:F45)</f>
        <v>0</v>
      </c>
      <c r="G36" s="448">
        <f t="shared" si="1"/>
        <v>0</v>
      </c>
    </row>
    <row r="37" spans="1:7" x14ac:dyDescent="0.25">
      <c r="A37" s="443" t="s">
        <v>215</v>
      </c>
      <c r="B37" s="449"/>
      <c r="C37" s="449"/>
      <c r="D37" s="447">
        <f t="shared" si="0"/>
        <v>0</v>
      </c>
      <c r="E37" s="449"/>
      <c r="F37" s="449"/>
      <c r="G37" s="448">
        <f t="shared" si="1"/>
        <v>0</v>
      </c>
    </row>
    <row r="38" spans="1:7" x14ac:dyDescent="0.25">
      <c r="A38" s="443" t="s">
        <v>216</v>
      </c>
      <c r="B38" s="449"/>
      <c r="C38" s="449"/>
      <c r="D38" s="447">
        <f t="shared" si="0"/>
        <v>0</v>
      </c>
      <c r="E38" s="449"/>
      <c r="F38" s="449"/>
      <c r="G38" s="448">
        <f t="shared" si="1"/>
        <v>0</v>
      </c>
    </row>
    <row r="39" spans="1:7" x14ac:dyDescent="0.25">
      <c r="A39" s="443" t="s">
        <v>217</v>
      </c>
      <c r="B39" s="449"/>
      <c r="C39" s="449"/>
      <c r="D39" s="447">
        <f t="shared" si="0"/>
        <v>0</v>
      </c>
      <c r="E39" s="449"/>
      <c r="F39" s="449"/>
      <c r="G39" s="448">
        <f t="shared" si="1"/>
        <v>0</v>
      </c>
    </row>
    <row r="40" spans="1:7" x14ac:dyDescent="0.25">
      <c r="A40" s="443" t="s">
        <v>218</v>
      </c>
      <c r="B40" s="449"/>
      <c r="C40" s="449"/>
      <c r="D40" s="447">
        <f t="shared" si="0"/>
        <v>0</v>
      </c>
      <c r="E40" s="449"/>
      <c r="F40" s="449"/>
      <c r="G40" s="448">
        <f t="shared" si="1"/>
        <v>0</v>
      </c>
    </row>
    <row r="41" spans="1:7" x14ac:dyDescent="0.25">
      <c r="A41" s="443" t="s">
        <v>219</v>
      </c>
      <c r="B41" s="449"/>
      <c r="C41" s="449"/>
      <c r="D41" s="447">
        <f t="shared" si="0"/>
        <v>0</v>
      </c>
      <c r="E41" s="449"/>
      <c r="F41" s="449"/>
      <c r="G41" s="448">
        <f t="shared" si="1"/>
        <v>0</v>
      </c>
    </row>
    <row r="42" spans="1:7" x14ac:dyDescent="0.25">
      <c r="A42" s="443" t="s">
        <v>534</v>
      </c>
      <c r="B42" s="449"/>
      <c r="C42" s="449"/>
      <c r="D42" s="447">
        <f t="shared" si="0"/>
        <v>0</v>
      </c>
      <c r="E42" s="449"/>
      <c r="F42" s="449"/>
      <c r="G42" s="448">
        <f t="shared" si="1"/>
        <v>0</v>
      </c>
    </row>
    <row r="43" spans="1:7" x14ac:dyDescent="0.25">
      <c r="A43" s="443" t="s">
        <v>221</v>
      </c>
      <c r="B43" s="449"/>
      <c r="C43" s="449"/>
      <c r="D43" s="447">
        <f t="shared" si="0"/>
        <v>0</v>
      </c>
      <c r="E43" s="449"/>
      <c r="F43" s="449"/>
      <c r="G43" s="448">
        <f t="shared" si="1"/>
        <v>0</v>
      </c>
    </row>
    <row r="44" spans="1:7" x14ac:dyDescent="0.25">
      <c r="A44" s="443" t="s">
        <v>222</v>
      </c>
      <c r="B44" s="449"/>
      <c r="C44" s="449"/>
      <c r="D44" s="447">
        <f t="shared" si="0"/>
        <v>0</v>
      </c>
      <c r="E44" s="449"/>
      <c r="F44" s="449"/>
      <c r="G44" s="448">
        <f t="shared" si="1"/>
        <v>0</v>
      </c>
    </row>
    <row r="45" spans="1:7" x14ac:dyDescent="0.25">
      <c r="A45" s="443" t="s">
        <v>223</v>
      </c>
      <c r="B45" s="449"/>
      <c r="C45" s="449"/>
      <c r="D45" s="447">
        <f t="shared" si="0"/>
        <v>0</v>
      </c>
      <c r="E45" s="449"/>
      <c r="F45" s="449"/>
      <c r="G45" s="448">
        <f t="shared" si="1"/>
        <v>0</v>
      </c>
    </row>
    <row r="46" spans="1:7" x14ac:dyDescent="0.25">
      <c r="A46" s="444" t="s">
        <v>535</v>
      </c>
      <c r="B46" s="899">
        <f>SUM(B47:B55)</f>
        <v>0</v>
      </c>
      <c r="C46" s="899">
        <f>SUM(C47:C55)</f>
        <v>0</v>
      </c>
      <c r="D46" s="899">
        <f>B46+C46</f>
        <v>0</v>
      </c>
      <c r="E46" s="899">
        <f>SUM(E47:E55)</f>
        <v>0</v>
      </c>
      <c r="F46" s="899">
        <f>SUM(F47:F55)</f>
        <v>0</v>
      </c>
      <c r="G46" s="448">
        <f t="shared" si="1"/>
        <v>0</v>
      </c>
    </row>
    <row r="47" spans="1:7" x14ac:dyDescent="0.25">
      <c r="A47" s="443" t="s">
        <v>536</v>
      </c>
      <c r="B47" s="449">
        <f>+'ETCA-II-13'!C123</f>
        <v>0</v>
      </c>
      <c r="C47" s="449">
        <f>+'ETCA-II-13'!D123</f>
        <v>0</v>
      </c>
      <c r="D47" s="447">
        <f t="shared" si="0"/>
        <v>0</v>
      </c>
      <c r="E47" s="449">
        <f>+'ETCA-II-13'!F123</f>
        <v>0</v>
      </c>
      <c r="F47" s="449">
        <f>+'ETCA-II-13'!G123</f>
        <v>0</v>
      </c>
      <c r="G47" s="448">
        <f>D47-E47</f>
        <v>0</v>
      </c>
    </row>
    <row r="48" spans="1:7" x14ac:dyDescent="0.25">
      <c r="A48" s="443" t="s">
        <v>537</v>
      </c>
      <c r="B48" s="449"/>
      <c r="C48" s="449"/>
      <c r="D48" s="447">
        <f t="shared" si="0"/>
        <v>0</v>
      </c>
      <c r="E48" s="449"/>
      <c r="F48" s="449"/>
      <c r="G48" s="448">
        <f t="shared" si="1"/>
        <v>0</v>
      </c>
    </row>
    <row r="49" spans="1:7" x14ac:dyDescent="0.25">
      <c r="A49" s="443" t="s">
        <v>538</v>
      </c>
      <c r="B49" s="449"/>
      <c r="C49" s="449"/>
      <c r="D49" s="447">
        <f t="shared" si="0"/>
        <v>0</v>
      </c>
      <c r="E49" s="449"/>
      <c r="F49" s="449"/>
      <c r="G49" s="448">
        <f t="shared" si="1"/>
        <v>0</v>
      </c>
    </row>
    <row r="50" spans="1:7" x14ac:dyDescent="0.25">
      <c r="A50" s="443" t="s">
        <v>539</v>
      </c>
      <c r="B50" s="449"/>
      <c r="C50" s="449"/>
      <c r="D50" s="447">
        <f t="shared" si="0"/>
        <v>0</v>
      </c>
      <c r="E50" s="449"/>
      <c r="F50" s="449"/>
      <c r="G50" s="448">
        <f t="shared" si="1"/>
        <v>0</v>
      </c>
    </row>
    <row r="51" spans="1:7" x14ac:dyDescent="0.25">
      <c r="A51" s="443" t="s">
        <v>540</v>
      </c>
      <c r="B51" s="449">
        <f>+'ETCA-II-13'!C127</f>
        <v>0</v>
      </c>
      <c r="C51" s="449">
        <f>+'ETCA-II-13'!D127</f>
        <v>0</v>
      </c>
      <c r="D51" s="447">
        <f t="shared" si="0"/>
        <v>0</v>
      </c>
      <c r="E51" s="449">
        <f>+'ETCA-II-13'!F127</f>
        <v>0</v>
      </c>
      <c r="F51" s="449">
        <f>+'ETCA-II-13'!G127</f>
        <v>0</v>
      </c>
      <c r="G51" s="448">
        <f t="shared" si="1"/>
        <v>0</v>
      </c>
    </row>
    <row r="52" spans="1:7" x14ac:dyDescent="0.25">
      <c r="A52" s="443" t="s">
        <v>541</v>
      </c>
      <c r="B52" s="449"/>
      <c r="C52" s="449"/>
      <c r="D52" s="447"/>
      <c r="E52" s="449"/>
      <c r="F52" s="449"/>
      <c r="G52" s="448">
        <f t="shared" si="1"/>
        <v>0</v>
      </c>
    </row>
    <row r="53" spans="1:7" x14ac:dyDescent="0.25">
      <c r="A53" s="443" t="s">
        <v>542</v>
      </c>
      <c r="B53" s="449"/>
      <c r="C53" s="449"/>
      <c r="D53" s="447"/>
      <c r="E53" s="449"/>
      <c r="F53" s="449"/>
      <c r="G53" s="448">
        <f t="shared" si="1"/>
        <v>0</v>
      </c>
    </row>
    <row r="54" spans="1:7" x14ac:dyDescent="0.25">
      <c r="A54" s="443" t="s">
        <v>543</v>
      </c>
      <c r="B54" s="449"/>
      <c r="C54" s="449"/>
      <c r="D54" s="447">
        <f t="shared" si="0"/>
        <v>0</v>
      </c>
      <c r="E54" s="449"/>
      <c r="F54" s="449"/>
      <c r="G54" s="448">
        <f t="shared" si="1"/>
        <v>0</v>
      </c>
    </row>
    <row r="55" spans="1:7" x14ac:dyDescent="0.25">
      <c r="A55" s="443" t="s">
        <v>54</v>
      </c>
      <c r="B55" s="449"/>
      <c r="C55" s="449"/>
      <c r="D55" s="447">
        <f t="shared" si="0"/>
        <v>0</v>
      </c>
      <c r="E55" s="449"/>
      <c r="F55" s="449"/>
      <c r="G55" s="448">
        <f t="shared" si="1"/>
        <v>0</v>
      </c>
    </row>
    <row r="56" spans="1:7" x14ac:dyDescent="0.25">
      <c r="A56" s="444" t="s">
        <v>239</v>
      </c>
      <c r="B56" s="447">
        <f>SUM(B57:B59)</f>
        <v>0</v>
      </c>
      <c r="C56" s="447">
        <f>SUM(C57:C59)</f>
        <v>0</v>
      </c>
      <c r="D56" s="447">
        <f>B56+C56</f>
        <v>0</v>
      </c>
      <c r="E56" s="447">
        <f>SUM(E57:E59)</f>
        <v>0</v>
      </c>
      <c r="F56" s="447">
        <f>SUM(F57:F59)</f>
        <v>0</v>
      </c>
      <c r="G56" s="448">
        <f t="shared" si="1"/>
        <v>0</v>
      </c>
    </row>
    <row r="57" spans="1:7" x14ac:dyDescent="0.25">
      <c r="A57" s="443" t="s">
        <v>544</v>
      </c>
      <c r="B57" s="449"/>
      <c r="C57" s="449"/>
      <c r="D57" s="447">
        <f t="shared" si="0"/>
        <v>0</v>
      </c>
      <c r="E57" s="449"/>
      <c r="F57" s="449"/>
      <c r="G57" s="448">
        <f t="shared" si="1"/>
        <v>0</v>
      </c>
    </row>
    <row r="58" spans="1:7" x14ac:dyDescent="0.25">
      <c r="A58" s="443" t="s">
        <v>545</v>
      </c>
      <c r="B58" s="449"/>
      <c r="C58" s="449"/>
      <c r="D58" s="447">
        <f t="shared" si="0"/>
        <v>0</v>
      </c>
      <c r="E58" s="449"/>
      <c r="F58" s="449"/>
      <c r="G58" s="448">
        <f t="shared" si="1"/>
        <v>0</v>
      </c>
    </row>
    <row r="59" spans="1:7" x14ac:dyDescent="0.25">
      <c r="A59" s="443" t="s">
        <v>546</v>
      </c>
      <c r="B59" s="449"/>
      <c r="C59" s="449"/>
      <c r="D59" s="447">
        <f t="shared" si="0"/>
        <v>0</v>
      </c>
      <c r="E59" s="449"/>
      <c r="F59" s="449"/>
      <c r="G59" s="448">
        <f t="shared" si="1"/>
        <v>0</v>
      </c>
    </row>
    <row r="60" spans="1:7" x14ac:dyDescent="0.25">
      <c r="A60" s="444" t="s">
        <v>547</v>
      </c>
      <c r="B60" s="447">
        <f>SUM(B61:B67)</f>
        <v>0</v>
      </c>
      <c r="C60" s="447">
        <f>SUM(C61:C67)</f>
        <v>0</v>
      </c>
      <c r="D60" s="447">
        <f>B60+C60</f>
        <v>0</v>
      </c>
      <c r="E60" s="447">
        <f>SUM(E61:E67)</f>
        <v>0</v>
      </c>
      <c r="F60" s="447">
        <f>SUM(F61:F67)</f>
        <v>0</v>
      </c>
      <c r="G60" s="448">
        <f t="shared" si="1"/>
        <v>0</v>
      </c>
    </row>
    <row r="61" spans="1:7" x14ac:dyDescent="0.25">
      <c r="A61" s="443" t="s">
        <v>548</v>
      </c>
      <c r="B61" s="449"/>
      <c r="C61" s="449"/>
      <c r="D61" s="447">
        <f t="shared" si="0"/>
        <v>0</v>
      </c>
      <c r="E61" s="449"/>
      <c r="F61" s="449"/>
      <c r="G61" s="448">
        <f t="shared" si="1"/>
        <v>0</v>
      </c>
    </row>
    <row r="62" spans="1:7" ht="15.75" thickBot="1" x14ac:dyDescent="0.3">
      <c r="A62" s="445" t="s">
        <v>549</v>
      </c>
      <c r="B62" s="450"/>
      <c r="C62" s="450"/>
      <c r="D62" s="451">
        <f t="shared" si="0"/>
        <v>0</v>
      </c>
      <c r="E62" s="450"/>
      <c r="F62" s="450"/>
      <c r="G62" s="452">
        <f t="shared" si="1"/>
        <v>0</v>
      </c>
    </row>
    <row r="63" spans="1:7" x14ac:dyDescent="0.25">
      <c r="A63" s="443" t="s">
        <v>550</v>
      </c>
      <c r="B63" s="449"/>
      <c r="C63" s="449"/>
      <c r="D63" s="447">
        <f t="shared" si="0"/>
        <v>0</v>
      </c>
      <c r="E63" s="449"/>
      <c r="F63" s="449"/>
      <c r="G63" s="448">
        <f t="shared" si="1"/>
        <v>0</v>
      </c>
    </row>
    <row r="64" spans="1:7" x14ac:dyDescent="0.25">
      <c r="A64" s="443" t="s">
        <v>551</v>
      </c>
      <c r="B64" s="449"/>
      <c r="C64" s="449"/>
      <c r="D64" s="447">
        <f t="shared" si="0"/>
        <v>0</v>
      </c>
      <c r="E64" s="449"/>
      <c r="F64" s="449"/>
      <c r="G64" s="448">
        <f t="shared" si="1"/>
        <v>0</v>
      </c>
    </row>
    <row r="65" spans="1:7" x14ac:dyDescent="0.25">
      <c r="A65" s="443" t="s">
        <v>552</v>
      </c>
      <c r="B65" s="449"/>
      <c r="C65" s="449"/>
      <c r="D65" s="447">
        <f t="shared" si="0"/>
        <v>0</v>
      </c>
      <c r="E65" s="449"/>
      <c r="F65" s="449"/>
      <c r="G65" s="448">
        <f t="shared" si="1"/>
        <v>0</v>
      </c>
    </row>
    <row r="66" spans="1:7" x14ac:dyDescent="0.25">
      <c r="A66" s="443" t="s">
        <v>553</v>
      </c>
      <c r="B66" s="449"/>
      <c r="C66" s="449"/>
      <c r="D66" s="447">
        <f t="shared" si="0"/>
        <v>0</v>
      </c>
      <c r="E66" s="449"/>
      <c r="F66" s="449"/>
      <c r="G66" s="448">
        <f t="shared" si="1"/>
        <v>0</v>
      </c>
    </row>
    <row r="67" spans="1:7" x14ac:dyDescent="0.25">
      <c r="A67" s="443" t="s">
        <v>554</v>
      </c>
      <c r="B67" s="449"/>
      <c r="C67" s="449"/>
      <c r="D67" s="447">
        <f t="shared" si="0"/>
        <v>0</v>
      </c>
      <c r="E67" s="449"/>
      <c r="F67" s="449"/>
      <c r="G67" s="448">
        <f t="shared" si="1"/>
        <v>0</v>
      </c>
    </row>
    <row r="68" spans="1:7" x14ac:dyDescent="0.25">
      <c r="A68" s="444" t="s">
        <v>202</v>
      </c>
      <c r="B68" s="447">
        <f>SUM(B69:B71)</f>
        <v>0</v>
      </c>
      <c r="C68" s="447">
        <f>SUM(C69:C71)</f>
        <v>0</v>
      </c>
      <c r="D68" s="447">
        <f>B68+C68</f>
        <v>0</v>
      </c>
      <c r="E68" s="447">
        <f>SUM(E69:E71)</f>
        <v>0</v>
      </c>
      <c r="F68" s="447">
        <f>SUM(F69:F71)</f>
        <v>0</v>
      </c>
      <c r="G68" s="448">
        <f t="shared" si="1"/>
        <v>0</v>
      </c>
    </row>
    <row r="69" spans="1:7" x14ac:dyDescent="0.25">
      <c r="A69" s="443" t="s">
        <v>225</v>
      </c>
      <c r="B69" s="449"/>
      <c r="C69" s="449"/>
      <c r="D69" s="447">
        <f t="shared" si="0"/>
        <v>0</v>
      </c>
      <c r="E69" s="449"/>
      <c r="F69" s="449"/>
      <c r="G69" s="448">
        <f t="shared" si="1"/>
        <v>0</v>
      </c>
    </row>
    <row r="70" spans="1:7" x14ac:dyDescent="0.25">
      <c r="A70" s="443" t="s">
        <v>67</v>
      </c>
      <c r="B70" s="449"/>
      <c r="C70" s="449"/>
      <c r="D70" s="447">
        <f t="shared" si="0"/>
        <v>0</v>
      </c>
      <c r="E70" s="449"/>
      <c r="F70" s="449"/>
      <c r="G70" s="448">
        <f t="shared" si="1"/>
        <v>0</v>
      </c>
    </row>
    <row r="71" spans="1:7" x14ac:dyDescent="0.25">
      <c r="A71" s="443" t="s">
        <v>226</v>
      </c>
      <c r="B71" s="449"/>
      <c r="C71" s="449"/>
      <c r="D71" s="447">
        <f t="shared" si="0"/>
        <v>0</v>
      </c>
      <c r="E71" s="449"/>
      <c r="F71" s="449"/>
      <c r="G71" s="448">
        <f t="shared" si="1"/>
        <v>0</v>
      </c>
    </row>
    <row r="72" spans="1:7" x14ac:dyDescent="0.25">
      <c r="A72" s="444" t="s">
        <v>555</v>
      </c>
      <c r="B72" s="899">
        <f>SUM(B73:B79)</f>
        <v>14500000</v>
      </c>
      <c r="C72" s="899">
        <f>SUM(C73:C79)</f>
        <v>0</v>
      </c>
      <c r="D72" s="899">
        <f>B72+C72</f>
        <v>14500000</v>
      </c>
      <c r="E72" s="899">
        <f>SUM(E73:E79)</f>
        <v>9499193</v>
      </c>
      <c r="F72" s="899">
        <f>SUM(F73:F79)</f>
        <v>9499193</v>
      </c>
      <c r="G72" s="900">
        <f t="shared" si="1"/>
        <v>5000807</v>
      </c>
    </row>
    <row r="73" spans="1:7" x14ac:dyDescent="0.25">
      <c r="A73" s="443" t="s">
        <v>556</v>
      </c>
      <c r="B73" s="449">
        <f>+'ETCA-II-13'!C131</f>
        <v>10000000</v>
      </c>
      <c r="C73" s="449">
        <f>+'ETCA-II-13'!D131</f>
        <v>0</v>
      </c>
      <c r="D73" s="447">
        <f t="shared" ref="D73:D79" si="2">B73+C73</f>
        <v>10000000</v>
      </c>
      <c r="E73" s="449">
        <f>+'ETCA-II-13'!F131</f>
        <v>7499988</v>
      </c>
      <c r="F73" s="449">
        <f>+'ETCA-II-13'!G131</f>
        <v>7499988</v>
      </c>
      <c r="G73" s="448">
        <f t="shared" ref="G73:G79" si="3">D73-E73</f>
        <v>2500012</v>
      </c>
    </row>
    <row r="74" spans="1:7" x14ac:dyDescent="0.25">
      <c r="A74" s="443" t="s">
        <v>228</v>
      </c>
      <c r="B74" s="449">
        <f>+'ETCA-II-13'!C132</f>
        <v>4500000</v>
      </c>
      <c r="C74" s="449">
        <f>+'ETCA-II-13'!D132</f>
        <v>0</v>
      </c>
      <c r="D74" s="447">
        <f t="shared" si="2"/>
        <v>4500000</v>
      </c>
      <c r="E74" s="449">
        <f>+'ETCA-II-13'!F132</f>
        <v>1999205</v>
      </c>
      <c r="F74" s="449">
        <f>+'ETCA-II-13'!G132</f>
        <v>1999205</v>
      </c>
      <c r="G74" s="448">
        <f t="shared" si="3"/>
        <v>2500795</v>
      </c>
    </row>
    <row r="75" spans="1:7" x14ac:dyDescent="0.25">
      <c r="A75" s="443" t="s">
        <v>229</v>
      </c>
      <c r="B75" s="449"/>
      <c r="C75" s="449"/>
      <c r="D75" s="447">
        <f t="shared" si="2"/>
        <v>0</v>
      </c>
      <c r="E75" s="449"/>
      <c r="F75" s="449"/>
      <c r="G75" s="448">
        <f t="shared" si="3"/>
        <v>0</v>
      </c>
    </row>
    <row r="76" spans="1:7" x14ac:dyDescent="0.25">
      <c r="A76" s="443" t="s">
        <v>230</v>
      </c>
      <c r="B76" s="449"/>
      <c r="C76" s="449"/>
      <c r="D76" s="447">
        <f t="shared" si="2"/>
        <v>0</v>
      </c>
      <c r="E76" s="449"/>
      <c r="F76" s="449"/>
      <c r="G76" s="448">
        <f t="shared" si="3"/>
        <v>0</v>
      </c>
    </row>
    <row r="77" spans="1:7" x14ac:dyDescent="0.25">
      <c r="A77" s="443" t="s">
        <v>231</v>
      </c>
      <c r="B77" s="449"/>
      <c r="C77" s="449"/>
      <c r="D77" s="447">
        <f t="shared" si="2"/>
        <v>0</v>
      </c>
      <c r="E77" s="449"/>
      <c r="F77" s="449"/>
      <c r="G77" s="448">
        <f t="shared" si="3"/>
        <v>0</v>
      </c>
    </row>
    <row r="78" spans="1:7" x14ac:dyDescent="0.25">
      <c r="A78" s="443" t="s">
        <v>232</v>
      </c>
      <c r="B78" s="449"/>
      <c r="C78" s="449"/>
      <c r="D78" s="447">
        <f t="shared" si="2"/>
        <v>0</v>
      </c>
      <c r="E78" s="449"/>
      <c r="F78" s="449"/>
      <c r="G78" s="448">
        <f t="shared" si="3"/>
        <v>0</v>
      </c>
    </row>
    <row r="79" spans="1:7" ht="15.75" thickBot="1" x14ac:dyDescent="0.3">
      <c r="A79" s="445" t="s">
        <v>557</v>
      </c>
      <c r="B79" s="450"/>
      <c r="C79" s="450"/>
      <c r="D79" s="451">
        <f t="shared" si="2"/>
        <v>0</v>
      </c>
      <c r="E79" s="450"/>
      <c r="F79" s="450"/>
      <c r="G79" s="452">
        <f t="shared" si="3"/>
        <v>0</v>
      </c>
    </row>
    <row r="80" spans="1:7" ht="15.75" thickBot="1" x14ac:dyDescent="0.3">
      <c r="A80" s="446" t="s">
        <v>558</v>
      </c>
      <c r="B80" s="419">
        <f>B72+B68+B60+B56+B46+B36+B26+B16+B8</f>
        <v>103543736</v>
      </c>
      <c r="C80" s="419">
        <f>C72+C68+C60+C56+C46+C36+C26+C16+C8</f>
        <v>0</v>
      </c>
      <c r="D80" s="419">
        <f>B80+C80</f>
        <v>103543736</v>
      </c>
      <c r="E80" s="419">
        <f>E72+E68+E60+E56+E46+E36+E26+E16+E8+1-1</f>
        <v>68913890</v>
      </c>
      <c r="F80" s="419">
        <f>F72+F68+F60+F56+F46+F36+F26+F16+F8</f>
        <v>60512433</v>
      </c>
      <c r="G80" s="453">
        <f>D80-E80+1</f>
        <v>34629847</v>
      </c>
    </row>
    <row r="81" spans="1:7" x14ac:dyDescent="0.25">
      <c r="A81" s="559"/>
      <c r="B81" s="560"/>
      <c r="C81" s="560"/>
      <c r="D81" s="560"/>
      <c r="E81" s="560"/>
      <c r="F81" s="560"/>
      <c r="G81" s="560"/>
    </row>
    <row r="82" spans="1:7" x14ac:dyDescent="0.25">
      <c r="A82" s="559"/>
      <c r="B82" s="560"/>
      <c r="C82" s="560"/>
      <c r="D82" s="560"/>
      <c r="E82" s="560"/>
      <c r="F82" s="560"/>
      <c r="G82" s="560"/>
    </row>
    <row r="83" spans="1:7" x14ac:dyDescent="0.25">
      <c r="A83" s="559"/>
      <c r="B83" s="560"/>
      <c r="C83" s="560"/>
      <c r="D83" s="560"/>
      <c r="E83" s="560"/>
      <c r="F83" s="560"/>
      <c r="G83" s="560"/>
    </row>
    <row r="84" spans="1:7" ht="16.5" x14ac:dyDescent="0.25">
      <c r="A84" s="117"/>
      <c r="B84" s="117"/>
      <c r="C84" s="117"/>
      <c r="D84" s="117"/>
      <c r="E84" s="117"/>
      <c r="F84" s="117"/>
      <c r="G84" s="117"/>
    </row>
    <row r="85" spans="1:7" ht="16.5" x14ac:dyDescent="0.25">
      <c r="A85" s="117"/>
      <c r="B85" s="117"/>
      <c r="C85" s="117"/>
      <c r="D85" s="117"/>
      <c r="E85" s="117"/>
      <c r="F85" s="117"/>
      <c r="G85" s="117"/>
    </row>
    <row r="86" spans="1:7" ht="16.5" x14ac:dyDescent="0.25">
      <c r="A86" s="117"/>
      <c r="B86" s="117"/>
      <c r="C86" s="117"/>
      <c r="D86" s="117"/>
      <c r="E86" s="117"/>
      <c r="F86" s="117"/>
      <c r="G86" s="117"/>
    </row>
    <row r="87" spans="1:7" ht="16.5" x14ac:dyDescent="0.25">
      <c r="A87" s="117"/>
      <c r="B87" s="117"/>
      <c r="C87" s="117"/>
      <c r="D87" s="117"/>
      <c r="E87" s="117"/>
      <c r="F87" s="117"/>
      <c r="G87" s="117"/>
    </row>
  </sheetData>
  <sheetProtection formatColumns="0" formatRows="0"/>
  <mergeCells count="6">
    <mergeCell ref="A6:A7"/>
    <mergeCell ref="A1:G1"/>
    <mergeCell ref="A2:G2"/>
    <mergeCell ref="A3:G3"/>
    <mergeCell ref="A4:G4"/>
    <mergeCell ref="A5:E5"/>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59"/>
  <sheetViews>
    <sheetView view="pageBreakPreview" zoomScaleNormal="100" zoomScaleSheetLayoutView="100" workbookViewId="0">
      <selection activeCell="D159" sqref="D159"/>
    </sheetView>
  </sheetViews>
  <sheetFormatPr baseColWidth="10" defaultRowHeight="15" x14ac:dyDescent="0.25"/>
  <cols>
    <col min="1" max="1" width="6.140625" customWidth="1"/>
    <col min="2" max="2" width="42" customWidth="1"/>
    <col min="3" max="3" width="12.7109375" customWidth="1"/>
    <col min="5" max="5" width="13" customWidth="1"/>
    <col min="6" max="6" width="12.85546875" customWidth="1"/>
    <col min="7" max="7" width="12.42578125" customWidth="1"/>
    <col min="8" max="8" width="13" customWidth="1"/>
  </cols>
  <sheetData>
    <row r="1" spans="1:8" ht="15.75" x14ac:dyDescent="0.25">
      <c r="A1" s="1320" t="str">
        <f>'ETCA-I-01'!A1:G1</f>
        <v>TELEVISORA DE HERMOSILLO, S.A. DE C.V.</v>
      </c>
      <c r="B1" s="1321"/>
      <c r="C1" s="1321"/>
      <c r="D1" s="1321"/>
      <c r="E1" s="1321"/>
      <c r="F1" s="1321"/>
      <c r="G1" s="1321"/>
      <c r="H1" s="1322"/>
    </row>
    <row r="2" spans="1:8" x14ac:dyDescent="0.25">
      <c r="A2" s="1323" t="s">
        <v>559</v>
      </c>
      <c r="B2" s="1324"/>
      <c r="C2" s="1324"/>
      <c r="D2" s="1324"/>
      <c r="E2" s="1324"/>
      <c r="F2" s="1324"/>
      <c r="G2" s="1324"/>
      <c r="H2" s="1325"/>
    </row>
    <row r="3" spans="1:8" x14ac:dyDescent="0.25">
      <c r="A3" s="1323" t="s">
        <v>560</v>
      </c>
      <c r="B3" s="1324"/>
      <c r="C3" s="1324"/>
      <c r="D3" s="1324"/>
      <c r="E3" s="1324"/>
      <c r="F3" s="1324"/>
      <c r="G3" s="1324"/>
      <c r="H3" s="1325"/>
    </row>
    <row r="4" spans="1:8" x14ac:dyDescent="0.25">
      <c r="A4" s="1323" t="str">
        <f>'ETCA-II-02'!A3:I3</f>
        <v>Del 01 de Enero al 30 de Septiembre de 2021</v>
      </c>
      <c r="B4" s="1324"/>
      <c r="C4" s="1324"/>
      <c r="D4" s="1324"/>
      <c r="E4" s="1324"/>
      <c r="F4" s="1324"/>
      <c r="G4" s="1324"/>
      <c r="H4" s="1325"/>
    </row>
    <row r="5" spans="1:8" ht="15.75" thickBot="1" x14ac:dyDescent="0.3">
      <c r="A5" s="1311" t="s">
        <v>84</v>
      </c>
      <c r="B5" s="1318"/>
      <c r="C5" s="1318"/>
      <c r="D5" s="1318"/>
      <c r="E5" s="1318"/>
      <c r="F5" s="1318"/>
      <c r="G5" s="1318"/>
      <c r="H5" s="1319"/>
    </row>
    <row r="6" spans="1:8" ht="15.75" thickBot="1" x14ac:dyDescent="0.3">
      <c r="A6" s="1309" t="s">
        <v>85</v>
      </c>
      <c r="B6" s="1310"/>
      <c r="C6" s="1313" t="s">
        <v>561</v>
      </c>
      <c r="D6" s="1314"/>
      <c r="E6" s="1314"/>
      <c r="F6" s="1314"/>
      <c r="G6" s="1315"/>
      <c r="H6" s="1316" t="s">
        <v>562</v>
      </c>
    </row>
    <row r="7" spans="1:8" ht="36.75" thickBot="1" x14ac:dyDescent="0.3">
      <c r="A7" s="1311"/>
      <c r="B7" s="1312"/>
      <c r="C7" s="785" t="s">
        <v>563</v>
      </c>
      <c r="D7" s="670" t="s">
        <v>564</v>
      </c>
      <c r="E7" s="785" t="s">
        <v>565</v>
      </c>
      <c r="F7" s="785" t="s">
        <v>434</v>
      </c>
      <c r="G7" s="785" t="s">
        <v>566</v>
      </c>
      <c r="H7" s="1317"/>
    </row>
    <row r="8" spans="1:8" x14ac:dyDescent="0.25">
      <c r="A8" s="786"/>
      <c r="B8" s="714"/>
      <c r="C8" s="714"/>
      <c r="D8" s="715"/>
      <c r="E8" s="714"/>
      <c r="F8" s="714"/>
      <c r="G8" s="714"/>
      <c r="H8" s="716"/>
    </row>
    <row r="9" spans="1:8" x14ac:dyDescent="0.25">
      <c r="A9" s="1305" t="s">
        <v>567</v>
      </c>
      <c r="B9" s="1306"/>
      <c r="C9" s="664">
        <f>+C10+C18+C28+C38+C48+C58+C62+C71+C75-1</f>
        <v>103543736</v>
      </c>
      <c r="D9" s="664">
        <f>+D10+D18+D28+D38+D48+D58+D62+D71+D75+1</f>
        <v>1</v>
      </c>
      <c r="E9" s="664">
        <f>+E10+E18+E28+E38+E48+E58+E62+E71+E75-2</f>
        <v>103543736</v>
      </c>
      <c r="F9" s="664">
        <f>+F10+F18+F28+F38+F48+F58+F62+F71+F75</f>
        <v>68913890</v>
      </c>
      <c r="G9" s="664">
        <f>+G10+G18+G28+G38+G48+G58+G62+G71+G75</f>
        <v>60512433</v>
      </c>
      <c r="H9" s="664">
        <f>+H10+H18+H28+H38+H48+H58+H62+H71+H75-1</f>
        <v>34629847</v>
      </c>
    </row>
    <row r="10" spans="1:8" x14ac:dyDescent="0.25">
      <c r="A10" s="1307" t="s">
        <v>568</v>
      </c>
      <c r="B10" s="1308"/>
      <c r="C10" s="665">
        <f>SUM(C11:C17)</f>
        <v>73011857</v>
      </c>
      <c r="D10" s="665">
        <f>SUM(D11:D17)-1</f>
        <v>0</v>
      </c>
      <c r="E10" s="668">
        <f>SUM(E11:E17)</f>
        <v>73011858</v>
      </c>
      <c r="F10" s="665">
        <f>SUM(F11:F17)+1</f>
        <v>50644779</v>
      </c>
      <c r="G10" s="665">
        <f>SUM(G11:G17)+2</f>
        <v>42380893</v>
      </c>
      <c r="H10" s="665">
        <f>SUM(H11:H17)+1</f>
        <v>22367081</v>
      </c>
    </row>
    <row r="11" spans="1:8" x14ac:dyDescent="0.25">
      <c r="A11" s="784"/>
      <c r="B11" s="699" t="s">
        <v>569</v>
      </c>
      <c r="C11" s="667">
        <f>+'ETCA II-04'!B9</f>
        <v>42749171</v>
      </c>
      <c r="D11" s="667">
        <f>+'ETCA II-04'!C9</f>
        <v>-930987</v>
      </c>
      <c r="E11" s="668">
        <f>C11+D11</f>
        <v>41818184</v>
      </c>
      <c r="F11" s="667">
        <f>+'ETCA II-04'!E9</f>
        <v>29359642</v>
      </c>
      <c r="G11" s="667">
        <f>+'ETCA II-04'!F9</f>
        <v>29279642</v>
      </c>
      <c r="H11" s="666">
        <f t="shared" ref="H11:H17" si="0">+E11-F11</f>
        <v>12458542</v>
      </c>
    </row>
    <row r="12" spans="1:8" x14ac:dyDescent="0.25">
      <c r="A12" s="784"/>
      <c r="B12" s="699" t="s">
        <v>570</v>
      </c>
      <c r="C12" s="667">
        <f>+'ETCA II-04'!B10</f>
        <v>985777</v>
      </c>
      <c r="D12" s="667">
        <f>+'ETCA II-04'!C10</f>
        <v>-33022</v>
      </c>
      <c r="E12" s="668">
        <f t="shared" ref="E12:E76" si="1">C12+D12</f>
        <v>952755</v>
      </c>
      <c r="F12" s="667">
        <f>+'ETCA II-04'!E10</f>
        <v>819068</v>
      </c>
      <c r="G12" s="667">
        <f>+'ETCA II-04'!F10</f>
        <v>819068</v>
      </c>
      <c r="H12" s="666">
        <f t="shared" si="0"/>
        <v>133687</v>
      </c>
    </row>
    <row r="13" spans="1:8" x14ac:dyDescent="0.25">
      <c r="A13" s="784"/>
      <c r="B13" s="699" t="s">
        <v>571</v>
      </c>
      <c r="C13" s="667">
        <f>+'ETCA II-04'!B11</f>
        <v>11486063</v>
      </c>
      <c r="D13" s="667">
        <f>+'ETCA II-04'!C11</f>
        <v>2870</v>
      </c>
      <c r="E13" s="668">
        <f t="shared" si="1"/>
        <v>11488933</v>
      </c>
      <c r="F13" s="667">
        <f>+'ETCA II-04'!E11</f>
        <v>6918687</v>
      </c>
      <c r="G13" s="667">
        <f>+'ETCA II-04'!F11</f>
        <v>2600910</v>
      </c>
      <c r="H13" s="666">
        <f t="shared" si="0"/>
        <v>4570246</v>
      </c>
    </row>
    <row r="14" spans="1:8" x14ac:dyDescent="0.25">
      <c r="A14" s="784"/>
      <c r="B14" s="699" t="s">
        <v>572</v>
      </c>
      <c r="C14" s="667">
        <f>+'ETCA II-04'!B12</f>
        <v>9765917</v>
      </c>
      <c r="D14" s="667">
        <f>+'ETCA II-04'!C12</f>
        <v>0</v>
      </c>
      <c r="E14" s="668">
        <f t="shared" si="1"/>
        <v>9765917</v>
      </c>
      <c r="F14" s="667">
        <f>+'ETCA II-04'!E12</f>
        <v>6738130</v>
      </c>
      <c r="G14" s="667">
        <f>+'ETCA II-04'!F12</f>
        <v>5987694</v>
      </c>
      <c r="H14" s="666">
        <f t="shared" si="0"/>
        <v>3027787</v>
      </c>
    </row>
    <row r="15" spans="1:8" x14ac:dyDescent="0.25">
      <c r="A15" s="784"/>
      <c r="B15" s="699" t="s">
        <v>573</v>
      </c>
      <c r="C15" s="667">
        <f>+'ETCA II-04'!B13</f>
        <v>6043894</v>
      </c>
      <c r="D15" s="667">
        <f>+'ETCA II-04'!C13</f>
        <v>577669</v>
      </c>
      <c r="E15" s="668">
        <f t="shared" si="1"/>
        <v>6621563</v>
      </c>
      <c r="F15" s="667">
        <f>+'ETCA II-04'!E13</f>
        <v>4598192</v>
      </c>
      <c r="G15" s="667">
        <f>+'ETCA II-04'!F13</f>
        <v>1482518</v>
      </c>
      <c r="H15" s="666">
        <f t="shared" si="0"/>
        <v>2023371</v>
      </c>
    </row>
    <row r="16" spans="1:8" x14ac:dyDescent="0.25">
      <c r="A16" s="784"/>
      <c r="B16" s="699" t="s">
        <v>574</v>
      </c>
      <c r="C16" s="667">
        <f>+'ETCA II-04'!B14</f>
        <v>0</v>
      </c>
      <c r="D16" s="667">
        <f>+'ETCA II-04'!C14</f>
        <v>0</v>
      </c>
      <c r="E16" s="668">
        <f t="shared" si="1"/>
        <v>0</v>
      </c>
      <c r="F16" s="667">
        <f>+'ETCA II-04'!E14</f>
        <v>0</v>
      </c>
      <c r="G16" s="667">
        <f>+'ETCA II-04'!F14</f>
        <v>0</v>
      </c>
      <c r="H16" s="666">
        <f t="shared" si="0"/>
        <v>0</v>
      </c>
    </row>
    <row r="17" spans="1:8" x14ac:dyDescent="0.25">
      <c r="A17" s="784"/>
      <c r="B17" s="699" t="s">
        <v>575</v>
      </c>
      <c r="C17" s="667">
        <f>+'ETCA II-04'!B15</f>
        <v>1981035</v>
      </c>
      <c r="D17" s="667">
        <f>+'ETCA II-04'!C15</f>
        <v>383471</v>
      </c>
      <c r="E17" s="668">
        <f t="shared" si="1"/>
        <v>2364506</v>
      </c>
      <c r="F17" s="667">
        <f>+'ETCA II-04'!E15</f>
        <v>2211059</v>
      </c>
      <c r="G17" s="667">
        <f>+'ETCA II-04'!F15</f>
        <v>2211059</v>
      </c>
      <c r="H17" s="666">
        <f t="shared" si="0"/>
        <v>153447</v>
      </c>
    </row>
    <row r="18" spans="1:8" x14ac:dyDescent="0.25">
      <c r="A18" s="1307" t="s">
        <v>576</v>
      </c>
      <c r="B18" s="1308"/>
      <c r="C18" s="664">
        <f>SUM(C19:C27)+1</f>
        <v>976481</v>
      </c>
      <c r="D18" s="664">
        <f t="shared" ref="D18" si="2">SUM(D19:D27)</f>
        <v>0</v>
      </c>
      <c r="E18" s="669">
        <f>SUM(E19:E27)+1</f>
        <v>976481</v>
      </c>
      <c r="F18" s="664">
        <f>SUM(F19:F27)+1</f>
        <v>682153</v>
      </c>
      <c r="G18" s="664">
        <f>SUM(G19:G27)+1</f>
        <v>682153</v>
      </c>
      <c r="H18" s="664">
        <f>SUM(H19:H27)</f>
        <v>294328</v>
      </c>
    </row>
    <row r="19" spans="1:8" x14ac:dyDescent="0.25">
      <c r="A19" s="784"/>
      <c r="B19" s="699" t="s">
        <v>577</v>
      </c>
      <c r="C19" s="667">
        <f>+'ETCA II-04'!B17</f>
        <v>260142</v>
      </c>
      <c r="D19" s="667">
        <f>+'ETCA II-04'!C17</f>
        <v>-127238</v>
      </c>
      <c r="E19" s="668">
        <f t="shared" si="1"/>
        <v>132904</v>
      </c>
      <c r="F19" s="667">
        <f>+'ETCA II-04'!E17</f>
        <v>70061</v>
      </c>
      <c r="G19" s="667">
        <f>+'ETCA II-04'!F17</f>
        <v>70061</v>
      </c>
      <c r="H19" s="666">
        <f t="shared" ref="H19:H82" si="3">+E19-F19</f>
        <v>62843</v>
      </c>
    </row>
    <row r="20" spans="1:8" x14ac:dyDescent="0.25">
      <c r="A20" s="784"/>
      <c r="B20" s="699" t="s">
        <v>578</v>
      </c>
      <c r="C20" s="667">
        <f>+'ETCA II-04'!B18</f>
        <v>90363</v>
      </c>
      <c r="D20" s="667">
        <f>+'ETCA II-04'!C18</f>
        <v>1469</v>
      </c>
      <c r="E20" s="668">
        <f t="shared" si="1"/>
        <v>91832</v>
      </c>
      <c r="F20" s="667">
        <f>+'ETCA II-04'!E18</f>
        <v>50126</v>
      </c>
      <c r="G20" s="667">
        <f>+'ETCA II-04'!F18</f>
        <v>50126</v>
      </c>
      <c r="H20" s="666">
        <f t="shared" si="3"/>
        <v>41706</v>
      </c>
    </row>
    <row r="21" spans="1:8" x14ac:dyDescent="0.25">
      <c r="A21" s="784"/>
      <c r="B21" s="699" t="s">
        <v>579</v>
      </c>
      <c r="C21" s="667">
        <f>+'ETCA II-04'!B19</f>
        <v>2570</v>
      </c>
      <c r="D21" s="667">
        <f>+'ETCA II-04'!C19</f>
        <v>0</v>
      </c>
      <c r="E21" s="668">
        <f t="shared" si="1"/>
        <v>2570</v>
      </c>
      <c r="F21" s="667">
        <f>+'ETCA II-04'!E19</f>
        <v>0</v>
      </c>
      <c r="G21" s="667">
        <f>+'ETCA II-04'!F19</f>
        <v>0</v>
      </c>
      <c r="H21" s="666">
        <f t="shared" si="3"/>
        <v>2570</v>
      </c>
    </row>
    <row r="22" spans="1:8" x14ac:dyDescent="0.25">
      <c r="A22" s="784"/>
      <c r="B22" s="699" t="s">
        <v>580</v>
      </c>
      <c r="C22" s="667">
        <f>+'ETCA II-04'!B20</f>
        <v>0</v>
      </c>
      <c r="D22" s="667">
        <f>+'ETCA II-04'!C20</f>
        <v>0</v>
      </c>
      <c r="E22" s="668">
        <f t="shared" si="1"/>
        <v>0</v>
      </c>
      <c r="F22" s="667">
        <f>+'ETCA II-04'!E20</f>
        <v>0</v>
      </c>
      <c r="G22" s="667">
        <f>+'ETCA II-04'!F20</f>
        <v>0</v>
      </c>
      <c r="H22" s="666">
        <f t="shared" si="3"/>
        <v>0</v>
      </c>
    </row>
    <row r="23" spans="1:8" x14ac:dyDescent="0.25">
      <c r="A23" s="784"/>
      <c r="B23" s="699" t="s">
        <v>581</v>
      </c>
      <c r="C23" s="667">
        <f>+'ETCA II-04'!B21</f>
        <v>90</v>
      </c>
      <c r="D23" s="667">
        <f>+'ETCA II-04'!C21</f>
        <v>0</v>
      </c>
      <c r="E23" s="668">
        <f t="shared" si="1"/>
        <v>90</v>
      </c>
      <c r="F23" s="667">
        <f>+'ETCA II-04'!E21</f>
        <v>0</v>
      </c>
      <c r="G23" s="667">
        <f>+'ETCA II-04'!F21</f>
        <v>0</v>
      </c>
      <c r="H23" s="666">
        <f t="shared" si="3"/>
        <v>90</v>
      </c>
    </row>
    <row r="24" spans="1:8" x14ac:dyDescent="0.25">
      <c r="A24" s="784"/>
      <c r="B24" s="699" t="s">
        <v>582</v>
      </c>
      <c r="C24" s="667">
        <f>+'ETCA II-04'!B22</f>
        <v>548978</v>
      </c>
      <c r="D24" s="667">
        <f>+'ETCA II-04'!C22</f>
        <v>-3466</v>
      </c>
      <c r="E24" s="668">
        <f t="shared" si="1"/>
        <v>545512</v>
      </c>
      <c r="F24" s="667">
        <f>+'ETCA II-04'!E22</f>
        <v>395774</v>
      </c>
      <c r="G24" s="667">
        <f>+'ETCA II-04'!F22</f>
        <v>395774</v>
      </c>
      <c r="H24" s="666">
        <f t="shared" si="3"/>
        <v>149738</v>
      </c>
    </row>
    <row r="25" spans="1:8" x14ac:dyDescent="0.25">
      <c r="A25" s="784"/>
      <c r="B25" s="699" t="s">
        <v>583</v>
      </c>
      <c r="C25" s="667">
        <f>+'ETCA II-04'!B23</f>
        <v>13966</v>
      </c>
      <c r="D25" s="667">
        <f>+'ETCA II-04'!C23</f>
        <v>58034</v>
      </c>
      <c r="E25" s="668">
        <f t="shared" si="1"/>
        <v>72000</v>
      </c>
      <c r="F25" s="667">
        <f>+'ETCA II-04'!E23</f>
        <v>72000</v>
      </c>
      <c r="G25" s="667">
        <f>+'ETCA II-04'!F23</f>
        <v>72000</v>
      </c>
      <c r="H25" s="666">
        <f t="shared" si="3"/>
        <v>0</v>
      </c>
    </row>
    <row r="26" spans="1:8" x14ac:dyDescent="0.25">
      <c r="A26" s="784"/>
      <c r="B26" s="699" t="s">
        <v>584</v>
      </c>
      <c r="C26" s="667">
        <f>+'ETCA II-04'!B24</f>
        <v>0</v>
      </c>
      <c r="D26" s="667">
        <f>+'ETCA II-04'!C24</f>
        <v>0</v>
      </c>
      <c r="E26" s="668">
        <f t="shared" si="1"/>
        <v>0</v>
      </c>
      <c r="F26" s="667">
        <f>+'ETCA II-04'!E24</f>
        <v>0</v>
      </c>
      <c r="G26" s="667">
        <f>+'ETCA II-04'!F24</f>
        <v>0</v>
      </c>
      <c r="H26" s="666">
        <f t="shared" si="3"/>
        <v>0</v>
      </c>
    </row>
    <row r="27" spans="1:8" x14ac:dyDescent="0.25">
      <c r="A27" s="784"/>
      <c r="B27" s="699" t="s">
        <v>585</v>
      </c>
      <c r="C27" s="667">
        <f>+'ETCA II-04'!B25</f>
        <v>60371</v>
      </c>
      <c r="D27" s="667">
        <f>+'ETCA II-04'!C25</f>
        <v>71201</v>
      </c>
      <c r="E27" s="668">
        <f t="shared" si="1"/>
        <v>131572</v>
      </c>
      <c r="F27" s="667">
        <f>+'ETCA II-04'!E25</f>
        <v>94191</v>
      </c>
      <c r="G27" s="667">
        <f>+'ETCA II-04'!F25</f>
        <v>94191</v>
      </c>
      <c r="H27" s="666">
        <f t="shared" si="3"/>
        <v>37381</v>
      </c>
    </row>
    <row r="28" spans="1:8" x14ac:dyDescent="0.25">
      <c r="A28" s="1307" t="s">
        <v>586</v>
      </c>
      <c r="B28" s="1308"/>
      <c r="C28" s="664">
        <f>SUM(C29:C37)</f>
        <v>15055399</v>
      </c>
      <c r="D28" s="664">
        <f>SUM(D29:D37)</f>
        <v>0</v>
      </c>
      <c r="E28" s="669">
        <f>SUM(E29:E37)</f>
        <v>15055399</v>
      </c>
      <c r="F28" s="664">
        <f>SUM(F29:F37)-4</f>
        <v>8087765</v>
      </c>
      <c r="G28" s="664">
        <f>SUM(G29:G37)-2</f>
        <v>7950194</v>
      </c>
      <c r="H28" s="664">
        <f>SUM(H29:H37)+2</f>
        <v>6967632</v>
      </c>
    </row>
    <row r="29" spans="1:8" x14ac:dyDescent="0.25">
      <c r="A29" s="784"/>
      <c r="B29" s="699" t="s">
        <v>587</v>
      </c>
      <c r="C29" s="667">
        <f>+'ETCA II-04'!B27</f>
        <v>2469950</v>
      </c>
      <c r="D29" s="667">
        <f>+'ETCA II-04'!C27</f>
        <v>-2563</v>
      </c>
      <c r="E29" s="668">
        <f t="shared" si="1"/>
        <v>2467387</v>
      </c>
      <c r="F29" s="667">
        <f>+'ETCA II-04'!E27</f>
        <v>1579936</v>
      </c>
      <c r="G29" s="667">
        <f>+'ETCA II-04'!F27</f>
        <v>1579936</v>
      </c>
      <c r="H29" s="666">
        <f t="shared" si="3"/>
        <v>887451</v>
      </c>
    </row>
    <row r="30" spans="1:8" x14ac:dyDescent="0.25">
      <c r="A30" s="784"/>
      <c r="B30" s="699" t="s">
        <v>588</v>
      </c>
      <c r="C30" s="667">
        <f>+'ETCA II-04'!B28</f>
        <v>245785</v>
      </c>
      <c r="D30" s="667">
        <f>+'ETCA II-04'!C28</f>
        <v>25043</v>
      </c>
      <c r="E30" s="668">
        <f t="shared" si="1"/>
        <v>270828</v>
      </c>
      <c r="F30" s="667">
        <f>+'ETCA II-04'!E28</f>
        <v>195629</v>
      </c>
      <c r="G30" s="667">
        <f>+'ETCA II-04'!F28</f>
        <v>185231</v>
      </c>
      <c r="H30" s="666">
        <f t="shared" si="3"/>
        <v>75199</v>
      </c>
    </row>
    <row r="31" spans="1:8" x14ac:dyDescent="0.25">
      <c r="A31" s="784"/>
      <c r="B31" s="699" t="s">
        <v>589</v>
      </c>
      <c r="C31" s="667">
        <f>+'ETCA II-04'!B29</f>
        <v>3550263</v>
      </c>
      <c r="D31" s="667">
        <f>+'ETCA II-04'!C29</f>
        <v>-88586</v>
      </c>
      <c r="E31" s="668">
        <f t="shared" si="1"/>
        <v>3461677</v>
      </c>
      <c r="F31" s="667">
        <f>+'ETCA II-04'!E29</f>
        <v>1073596</v>
      </c>
      <c r="G31" s="667">
        <f>+'ETCA II-04'!F29</f>
        <v>1072135</v>
      </c>
      <c r="H31" s="666">
        <f t="shared" si="3"/>
        <v>2388081</v>
      </c>
    </row>
    <row r="32" spans="1:8" x14ac:dyDescent="0.25">
      <c r="A32" s="784"/>
      <c r="B32" s="699" t="s">
        <v>590</v>
      </c>
      <c r="C32" s="667">
        <f>+'ETCA II-04'!B30</f>
        <v>1107341</v>
      </c>
      <c r="D32" s="667">
        <f>+'ETCA II-04'!C30</f>
        <v>-1604</v>
      </c>
      <c r="E32" s="668">
        <f t="shared" si="1"/>
        <v>1105737</v>
      </c>
      <c r="F32" s="667">
        <f>+'ETCA II-04'!E30</f>
        <v>819428</v>
      </c>
      <c r="G32" s="667">
        <f>+'ETCA II-04'!F30</f>
        <v>819429</v>
      </c>
      <c r="H32" s="666">
        <f t="shared" si="3"/>
        <v>286309</v>
      </c>
    </row>
    <row r="33" spans="1:8" x14ac:dyDescent="0.25">
      <c r="A33" s="784"/>
      <c r="B33" s="699" t="s">
        <v>591</v>
      </c>
      <c r="C33" s="667">
        <f>+'ETCA II-04'!B31</f>
        <v>1286313</v>
      </c>
      <c r="D33" s="667">
        <f>+'ETCA II-04'!C31</f>
        <v>-752</v>
      </c>
      <c r="E33" s="668">
        <f t="shared" si="1"/>
        <v>1285561</v>
      </c>
      <c r="F33" s="667">
        <f>+'ETCA II-04'!E31</f>
        <v>477587</v>
      </c>
      <c r="G33" s="667">
        <f>+'ETCA II-04'!F31</f>
        <v>455505</v>
      </c>
      <c r="H33" s="666">
        <f t="shared" si="3"/>
        <v>807974</v>
      </c>
    </row>
    <row r="34" spans="1:8" x14ac:dyDescent="0.25">
      <c r="A34" s="784"/>
      <c r="B34" s="699" t="s">
        <v>592</v>
      </c>
      <c r="C34" s="667">
        <f>+'ETCA II-04'!B32</f>
        <v>276570</v>
      </c>
      <c r="D34" s="667">
        <f>+'ETCA II-04'!C32</f>
        <v>-27284</v>
      </c>
      <c r="E34" s="668">
        <f t="shared" si="1"/>
        <v>249286</v>
      </c>
      <c r="F34" s="667">
        <f>+'ETCA II-04'!E32</f>
        <v>142969</v>
      </c>
      <c r="G34" s="667">
        <f>+'ETCA II-04'!F32</f>
        <v>142969</v>
      </c>
      <c r="H34" s="666">
        <f t="shared" si="3"/>
        <v>106317</v>
      </c>
    </row>
    <row r="35" spans="1:8" x14ac:dyDescent="0.25">
      <c r="A35" s="784"/>
      <c r="B35" s="699" t="s">
        <v>593</v>
      </c>
      <c r="C35" s="667">
        <f>+'ETCA II-04'!B33</f>
        <v>115672</v>
      </c>
      <c r="D35" s="667">
        <f>+'ETCA II-04'!C33</f>
        <v>22285</v>
      </c>
      <c r="E35" s="668">
        <f t="shared" si="1"/>
        <v>137957</v>
      </c>
      <c r="F35" s="667">
        <f>+'ETCA II-04'!E33</f>
        <v>92557</v>
      </c>
      <c r="G35" s="667">
        <f>+'ETCA II-04'!F33</f>
        <v>92558</v>
      </c>
      <c r="H35" s="666">
        <f t="shared" si="3"/>
        <v>45400</v>
      </c>
    </row>
    <row r="36" spans="1:8" x14ac:dyDescent="0.25">
      <c r="A36" s="784"/>
      <c r="B36" s="699" t="s">
        <v>594</v>
      </c>
      <c r="C36" s="667">
        <f>+'ETCA II-04'!B34</f>
        <v>133168</v>
      </c>
      <c r="D36" s="667">
        <f>+'ETCA II-04'!C34</f>
        <v>55163</v>
      </c>
      <c r="E36" s="668">
        <f t="shared" si="1"/>
        <v>188331</v>
      </c>
      <c r="F36" s="667">
        <f>+'ETCA II-04'!E34</f>
        <v>74989</v>
      </c>
      <c r="G36" s="667">
        <f>+'ETCA II-04'!F34</f>
        <v>74989</v>
      </c>
      <c r="H36" s="666">
        <f t="shared" si="3"/>
        <v>113342</v>
      </c>
    </row>
    <row r="37" spans="1:8" x14ac:dyDescent="0.25">
      <c r="A37" s="914"/>
      <c r="B37" s="699" t="s">
        <v>595</v>
      </c>
      <c r="C37" s="667">
        <f>+'ETCA II-04'!B35</f>
        <v>5870337</v>
      </c>
      <c r="D37" s="667">
        <f>+'ETCA II-04'!C35</f>
        <v>18298</v>
      </c>
      <c r="E37" s="668">
        <f t="shared" si="1"/>
        <v>5888635</v>
      </c>
      <c r="F37" s="667">
        <f>+'ETCA II-04'!E35</f>
        <v>3631078</v>
      </c>
      <c r="G37" s="667">
        <f>+'ETCA II-04'!F35</f>
        <v>3527444</v>
      </c>
      <c r="H37" s="666">
        <f t="shared" si="3"/>
        <v>2257557</v>
      </c>
    </row>
    <row r="38" spans="1:8" x14ac:dyDescent="0.25">
      <c r="A38" s="1307" t="s">
        <v>596</v>
      </c>
      <c r="B38" s="1308"/>
      <c r="C38" s="665">
        <f t="shared" ref="C38:H38" si="4">SUM(C39:C47)</f>
        <v>0</v>
      </c>
      <c r="D38" s="665">
        <f t="shared" si="4"/>
        <v>0</v>
      </c>
      <c r="E38" s="665">
        <f t="shared" si="4"/>
        <v>0</v>
      </c>
      <c r="F38" s="665">
        <f t="shared" si="4"/>
        <v>0</v>
      </c>
      <c r="G38" s="665">
        <f t="shared" si="4"/>
        <v>0</v>
      </c>
      <c r="H38" s="665">
        <f t="shared" si="4"/>
        <v>0</v>
      </c>
    </row>
    <row r="39" spans="1:8" x14ac:dyDescent="0.25">
      <c r="A39" s="784"/>
      <c r="B39" s="699" t="s">
        <v>597</v>
      </c>
      <c r="C39" s="667"/>
      <c r="D39" s="667"/>
      <c r="E39" s="668">
        <f t="shared" si="1"/>
        <v>0</v>
      </c>
      <c r="F39" s="667"/>
      <c r="G39" s="667"/>
      <c r="H39" s="666">
        <f t="shared" si="3"/>
        <v>0</v>
      </c>
    </row>
    <row r="40" spans="1:8" x14ac:dyDescent="0.25">
      <c r="A40" s="784"/>
      <c r="B40" s="699" t="s">
        <v>598</v>
      </c>
      <c r="C40" s="667"/>
      <c r="D40" s="667"/>
      <c r="E40" s="668">
        <f t="shared" si="1"/>
        <v>0</v>
      </c>
      <c r="F40" s="667"/>
      <c r="G40" s="667"/>
      <c r="H40" s="666">
        <f t="shared" si="3"/>
        <v>0</v>
      </c>
    </row>
    <row r="41" spans="1:8" x14ac:dyDescent="0.25">
      <c r="A41" s="784"/>
      <c r="B41" s="699" t="s">
        <v>599</v>
      </c>
      <c r="C41" s="667"/>
      <c r="D41" s="667"/>
      <c r="E41" s="668">
        <f t="shared" si="1"/>
        <v>0</v>
      </c>
      <c r="F41" s="667"/>
      <c r="G41" s="667"/>
      <c r="H41" s="666">
        <f t="shared" si="3"/>
        <v>0</v>
      </c>
    </row>
    <row r="42" spans="1:8" x14ac:dyDescent="0.25">
      <c r="A42" s="784"/>
      <c r="B42" s="699" t="s">
        <v>600</v>
      </c>
      <c r="C42" s="667"/>
      <c r="D42" s="667"/>
      <c r="E42" s="668">
        <f t="shared" si="1"/>
        <v>0</v>
      </c>
      <c r="F42" s="667"/>
      <c r="G42" s="667"/>
      <c r="H42" s="666">
        <f t="shared" si="3"/>
        <v>0</v>
      </c>
    </row>
    <row r="43" spans="1:8" x14ac:dyDescent="0.25">
      <c r="A43" s="784"/>
      <c r="B43" s="699" t="s">
        <v>601</v>
      </c>
      <c r="C43" s="667"/>
      <c r="D43" s="667"/>
      <c r="E43" s="668">
        <f t="shared" si="1"/>
        <v>0</v>
      </c>
      <c r="F43" s="667"/>
      <c r="G43" s="667"/>
      <c r="H43" s="666">
        <f t="shared" si="3"/>
        <v>0</v>
      </c>
    </row>
    <row r="44" spans="1:8" x14ac:dyDescent="0.25">
      <c r="A44" s="784"/>
      <c r="B44" s="699" t="s">
        <v>602</v>
      </c>
      <c r="C44" s="667"/>
      <c r="D44" s="667"/>
      <c r="E44" s="668">
        <f t="shared" si="1"/>
        <v>0</v>
      </c>
      <c r="F44" s="667"/>
      <c r="G44" s="667"/>
      <c r="H44" s="666">
        <f t="shared" si="3"/>
        <v>0</v>
      </c>
    </row>
    <row r="45" spans="1:8" x14ac:dyDescent="0.25">
      <c r="A45" s="784"/>
      <c r="B45" s="699" t="s">
        <v>603</v>
      </c>
      <c r="C45" s="667"/>
      <c r="D45" s="667"/>
      <c r="E45" s="668">
        <f t="shared" si="1"/>
        <v>0</v>
      </c>
      <c r="F45" s="667"/>
      <c r="G45" s="667"/>
      <c r="H45" s="666">
        <f t="shared" si="3"/>
        <v>0</v>
      </c>
    </row>
    <row r="46" spans="1:8" x14ac:dyDescent="0.25">
      <c r="A46" s="784"/>
      <c r="B46" s="699" t="s">
        <v>604</v>
      </c>
      <c r="C46" s="667"/>
      <c r="D46" s="667"/>
      <c r="E46" s="668">
        <f t="shared" si="1"/>
        <v>0</v>
      </c>
      <c r="F46" s="667"/>
      <c r="G46" s="667"/>
      <c r="H46" s="666">
        <f t="shared" si="3"/>
        <v>0</v>
      </c>
    </row>
    <row r="47" spans="1:8" x14ac:dyDescent="0.25">
      <c r="A47" s="784"/>
      <c r="B47" s="699" t="s">
        <v>605</v>
      </c>
      <c r="C47" s="667"/>
      <c r="D47" s="667"/>
      <c r="E47" s="668">
        <f t="shared" si="1"/>
        <v>0</v>
      </c>
      <c r="F47" s="667"/>
      <c r="G47" s="667"/>
      <c r="H47" s="666">
        <f t="shared" si="3"/>
        <v>0</v>
      </c>
    </row>
    <row r="48" spans="1:8" x14ac:dyDescent="0.25">
      <c r="A48" s="1307" t="s">
        <v>606</v>
      </c>
      <c r="B48" s="1308"/>
      <c r="C48" s="665">
        <f>SUM(C49:C57)</f>
        <v>0</v>
      </c>
      <c r="D48" s="665">
        <f t="shared" ref="D48:H48" si="5">SUM(D49:D57)</f>
        <v>0</v>
      </c>
      <c r="E48" s="668">
        <f t="shared" si="5"/>
        <v>0</v>
      </c>
      <c r="F48" s="665">
        <f t="shared" si="5"/>
        <v>0</v>
      </c>
      <c r="G48" s="665">
        <f t="shared" si="5"/>
        <v>0</v>
      </c>
      <c r="H48" s="665">
        <f t="shared" si="5"/>
        <v>0</v>
      </c>
    </row>
    <row r="49" spans="1:8" x14ac:dyDescent="0.25">
      <c r="A49" s="784"/>
      <c r="B49" s="699" t="s">
        <v>607</v>
      </c>
      <c r="C49" s="667">
        <f>+'ETCA-II-13'!C123</f>
        <v>0</v>
      </c>
      <c r="D49" s="667">
        <f>+'ETCA-II-13'!D123</f>
        <v>0</v>
      </c>
      <c r="E49" s="668">
        <f t="shared" si="1"/>
        <v>0</v>
      </c>
      <c r="F49" s="667">
        <f>+'ETCA-II-13'!F123</f>
        <v>0</v>
      </c>
      <c r="G49" s="667">
        <f>+'ETCA-II-13'!G123</f>
        <v>0</v>
      </c>
      <c r="H49" s="666">
        <f t="shared" si="3"/>
        <v>0</v>
      </c>
    </row>
    <row r="50" spans="1:8" x14ac:dyDescent="0.25">
      <c r="A50" s="784"/>
      <c r="B50" s="699" t="s">
        <v>608</v>
      </c>
      <c r="C50" s="667">
        <v>0</v>
      </c>
      <c r="D50" s="667">
        <f>+'ETCA-II-13'!D124</f>
        <v>0</v>
      </c>
      <c r="E50" s="668">
        <f t="shared" si="1"/>
        <v>0</v>
      </c>
      <c r="F50" s="667"/>
      <c r="G50" s="667"/>
      <c r="H50" s="666">
        <f t="shared" si="3"/>
        <v>0</v>
      </c>
    </row>
    <row r="51" spans="1:8" x14ac:dyDescent="0.25">
      <c r="A51" s="784"/>
      <c r="B51" s="699" t="s">
        <v>609</v>
      </c>
      <c r="C51" s="667"/>
      <c r="D51" s="667">
        <f>+'ETCA-II-13'!D125</f>
        <v>0</v>
      </c>
      <c r="E51" s="668">
        <f t="shared" si="1"/>
        <v>0</v>
      </c>
      <c r="F51" s="667"/>
      <c r="G51" s="667"/>
      <c r="H51" s="666">
        <f t="shared" si="3"/>
        <v>0</v>
      </c>
    </row>
    <row r="52" spans="1:8" x14ac:dyDescent="0.25">
      <c r="A52" s="784"/>
      <c r="B52" s="699" t="s">
        <v>610</v>
      </c>
      <c r="C52" s="667"/>
      <c r="D52" s="667"/>
      <c r="E52" s="668">
        <f t="shared" si="1"/>
        <v>0</v>
      </c>
      <c r="F52" s="667"/>
      <c r="G52" s="667"/>
      <c r="H52" s="666">
        <f t="shared" si="3"/>
        <v>0</v>
      </c>
    </row>
    <row r="53" spans="1:8" x14ac:dyDescent="0.25">
      <c r="A53" s="784"/>
      <c r="B53" s="699" t="s">
        <v>611</v>
      </c>
      <c r="C53" s="667"/>
      <c r="D53" s="667">
        <f>+'ETCA-II-13'!D127</f>
        <v>0</v>
      </c>
      <c r="E53" s="668">
        <f t="shared" si="1"/>
        <v>0</v>
      </c>
      <c r="F53" s="667">
        <f>+'ETCA-II-13'!F127</f>
        <v>0</v>
      </c>
      <c r="G53" s="667">
        <f>+'ETCA-II-13'!G127</f>
        <v>0</v>
      </c>
      <c r="H53" s="666">
        <f t="shared" si="3"/>
        <v>0</v>
      </c>
    </row>
    <row r="54" spans="1:8" x14ac:dyDescent="0.25">
      <c r="A54" s="784"/>
      <c r="B54" s="699" t="s">
        <v>612</v>
      </c>
      <c r="C54" s="667"/>
      <c r="D54" s="667">
        <f>+'ETCA-II-13'!D128</f>
        <v>0</v>
      </c>
      <c r="E54" s="668">
        <f t="shared" si="1"/>
        <v>0</v>
      </c>
      <c r="F54" s="667"/>
      <c r="G54" s="667"/>
      <c r="H54" s="666">
        <f t="shared" si="3"/>
        <v>0</v>
      </c>
    </row>
    <row r="55" spans="1:8" x14ac:dyDescent="0.25">
      <c r="A55" s="784"/>
      <c r="B55" s="699" t="s">
        <v>613</v>
      </c>
      <c r="C55" s="667"/>
      <c r="D55" s="667"/>
      <c r="E55" s="668">
        <f t="shared" si="1"/>
        <v>0</v>
      </c>
      <c r="F55" s="667"/>
      <c r="G55" s="667"/>
      <c r="H55" s="666">
        <f t="shared" si="3"/>
        <v>0</v>
      </c>
    </row>
    <row r="56" spans="1:8" x14ac:dyDescent="0.25">
      <c r="A56" s="784"/>
      <c r="B56" s="699" t="s">
        <v>614</v>
      </c>
      <c r="C56" s="667"/>
      <c r="D56" s="667"/>
      <c r="E56" s="668">
        <f t="shared" si="1"/>
        <v>0</v>
      </c>
      <c r="F56" s="667"/>
      <c r="G56" s="667"/>
      <c r="H56" s="666">
        <f t="shared" si="3"/>
        <v>0</v>
      </c>
    </row>
    <row r="57" spans="1:8" x14ac:dyDescent="0.25">
      <c r="A57" s="784"/>
      <c r="B57" s="699" t="s">
        <v>615</v>
      </c>
      <c r="C57" s="667"/>
      <c r="D57" s="667"/>
      <c r="E57" s="668">
        <f t="shared" si="1"/>
        <v>0</v>
      </c>
      <c r="F57" s="667"/>
      <c r="G57" s="667"/>
      <c r="H57" s="666">
        <f t="shared" si="3"/>
        <v>0</v>
      </c>
    </row>
    <row r="58" spans="1:8" x14ac:dyDescent="0.25">
      <c r="A58" s="1307" t="s">
        <v>616</v>
      </c>
      <c r="B58" s="1308"/>
      <c r="C58" s="665">
        <f>SUM(C59:C61)</f>
        <v>0</v>
      </c>
      <c r="D58" s="665">
        <f t="shared" ref="D58:H58" si="6">SUM(D59:D61)</f>
        <v>0</v>
      </c>
      <c r="E58" s="668">
        <f t="shared" si="6"/>
        <v>0</v>
      </c>
      <c r="F58" s="665">
        <f t="shared" si="6"/>
        <v>0</v>
      </c>
      <c r="G58" s="665">
        <f t="shared" si="6"/>
        <v>0</v>
      </c>
      <c r="H58" s="665">
        <f t="shared" si="6"/>
        <v>0</v>
      </c>
    </row>
    <row r="59" spans="1:8" x14ac:dyDescent="0.25">
      <c r="A59" s="784"/>
      <c r="B59" s="699" t="s">
        <v>617</v>
      </c>
      <c r="C59" s="667"/>
      <c r="D59" s="667"/>
      <c r="E59" s="668">
        <f t="shared" si="1"/>
        <v>0</v>
      </c>
      <c r="F59" s="667"/>
      <c r="G59" s="667"/>
      <c r="H59" s="666">
        <f t="shared" si="3"/>
        <v>0</v>
      </c>
    </row>
    <row r="60" spans="1:8" x14ac:dyDescent="0.25">
      <c r="A60" s="784"/>
      <c r="B60" s="699" t="s">
        <v>618</v>
      </c>
      <c r="C60" s="667"/>
      <c r="D60" s="667"/>
      <c r="E60" s="668">
        <f t="shared" si="1"/>
        <v>0</v>
      </c>
      <c r="F60" s="667"/>
      <c r="G60" s="667"/>
      <c r="H60" s="666">
        <f t="shared" si="3"/>
        <v>0</v>
      </c>
    </row>
    <row r="61" spans="1:8" x14ac:dyDescent="0.25">
      <c r="A61" s="784"/>
      <c r="B61" s="699" t="s">
        <v>619</v>
      </c>
      <c r="C61" s="667"/>
      <c r="D61" s="667"/>
      <c r="E61" s="668">
        <f t="shared" si="1"/>
        <v>0</v>
      </c>
      <c r="F61" s="667"/>
      <c r="G61" s="667"/>
      <c r="H61" s="666">
        <f t="shared" si="3"/>
        <v>0</v>
      </c>
    </row>
    <row r="62" spans="1:8" x14ac:dyDescent="0.25">
      <c r="A62" s="1307" t="s">
        <v>620</v>
      </c>
      <c r="B62" s="1308"/>
      <c r="C62" s="665">
        <f t="shared" ref="C62:H62" si="7">SUM(C63:C70)</f>
        <v>0</v>
      </c>
      <c r="D62" s="665">
        <f t="shared" si="7"/>
        <v>0</v>
      </c>
      <c r="E62" s="665">
        <f t="shared" si="7"/>
        <v>0</v>
      </c>
      <c r="F62" s="665">
        <f t="shared" si="7"/>
        <v>0</v>
      </c>
      <c r="G62" s="665">
        <f t="shared" si="7"/>
        <v>0</v>
      </c>
      <c r="H62" s="665">
        <f t="shared" si="7"/>
        <v>0</v>
      </c>
    </row>
    <row r="63" spans="1:8" x14ac:dyDescent="0.25">
      <c r="A63" s="919"/>
      <c r="B63" s="920" t="s">
        <v>621</v>
      </c>
      <c r="C63" s="921"/>
      <c r="D63" s="921"/>
      <c r="E63" s="922">
        <f t="shared" si="1"/>
        <v>0</v>
      </c>
      <c r="F63" s="921"/>
      <c r="G63" s="921"/>
      <c r="H63" s="923">
        <f t="shared" si="3"/>
        <v>0</v>
      </c>
    </row>
    <row r="64" spans="1:8" x14ac:dyDescent="0.25">
      <c r="A64" s="784"/>
      <c r="B64" s="699" t="s">
        <v>622</v>
      </c>
      <c r="C64" s="667"/>
      <c r="D64" s="667"/>
      <c r="E64" s="668">
        <f t="shared" si="1"/>
        <v>0</v>
      </c>
      <c r="F64" s="667"/>
      <c r="G64" s="667"/>
      <c r="H64" s="666">
        <f t="shared" si="3"/>
        <v>0</v>
      </c>
    </row>
    <row r="65" spans="1:8" x14ac:dyDescent="0.25">
      <c r="A65" s="784"/>
      <c r="B65" s="699" t="s">
        <v>623</v>
      </c>
      <c r="C65" s="667"/>
      <c r="D65" s="667"/>
      <c r="E65" s="668">
        <f t="shared" si="1"/>
        <v>0</v>
      </c>
      <c r="F65" s="667"/>
      <c r="G65" s="667"/>
      <c r="H65" s="666">
        <f t="shared" si="3"/>
        <v>0</v>
      </c>
    </row>
    <row r="66" spans="1:8" x14ac:dyDescent="0.25">
      <c r="A66" s="784"/>
      <c r="B66" s="699" t="s">
        <v>624</v>
      </c>
      <c r="C66" s="667"/>
      <c r="D66" s="667"/>
      <c r="E66" s="668">
        <f t="shared" si="1"/>
        <v>0</v>
      </c>
      <c r="F66" s="667"/>
      <c r="G66" s="667"/>
      <c r="H66" s="666">
        <f t="shared" si="3"/>
        <v>0</v>
      </c>
    </row>
    <row r="67" spans="1:8" x14ac:dyDescent="0.25">
      <c r="A67" s="784"/>
      <c r="B67" s="699" t="s">
        <v>625</v>
      </c>
      <c r="C67" s="667"/>
      <c r="D67" s="667"/>
      <c r="E67" s="668">
        <f t="shared" si="1"/>
        <v>0</v>
      </c>
      <c r="F67" s="667"/>
      <c r="G67" s="667"/>
      <c r="H67" s="666">
        <f t="shared" si="3"/>
        <v>0</v>
      </c>
    </row>
    <row r="68" spans="1:8" x14ac:dyDescent="0.25">
      <c r="A68" s="784"/>
      <c r="B68" s="699" t="s">
        <v>626</v>
      </c>
      <c r="C68" s="667"/>
      <c r="D68" s="667"/>
      <c r="E68" s="668">
        <f t="shared" si="1"/>
        <v>0</v>
      </c>
      <c r="F68" s="667"/>
      <c r="G68" s="667"/>
      <c r="H68" s="666">
        <f t="shared" si="3"/>
        <v>0</v>
      </c>
    </row>
    <row r="69" spans="1:8" x14ac:dyDescent="0.25">
      <c r="A69" s="784"/>
      <c r="B69" s="699" t="s">
        <v>627</v>
      </c>
      <c r="C69" s="667"/>
      <c r="D69" s="667"/>
      <c r="E69" s="668">
        <f t="shared" si="1"/>
        <v>0</v>
      </c>
      <c r="F69" s="667"/>
      <c r="G69" s="667"/>
      <c r="H69" s="666">
        <f t="shared" si="3"/>
        <v>0</v>
      </c>
    </row>
    <row r="70" spans="1:8" x14ac:dyDescent="0.25">
      <c r="A70" s="784"/>
      <c r="B70" s="699" t="s">
        <v>628</v>
      </c>
      <c r="C70" s="667"/>
      <c r="D70" s="667"/>
      <c r="E70" s="668">
        <f t="shared" si="1"/>
        <v>0</v>
      </c>
      <c r="F70" s="667"/>
      <c r="G70" s="667"/>
      <c r="H70" s="666">
        <f t="shared" si="3"/>
        <v>0</v>
      </c>
    </row>
    <row r="71" spans="1:8" x14ac:dyDescent="0.25">
      <c r="A71" s="1307" t="s">
        <v>629</v>
      </c>
      <c r="B71" s="1308"/>
      <c r="C71" s="665">
        <f>SUM(C72:C74)</f>
        <v>0</v>
      </c>
      <c r="D71" s="665">
        <f t="shared" ref="D71:H71" si="8">SUM(D72:D74)</f>
        <v>0</v>
      </c>
      <c r="E71" s="668">
        <f t="shared" si="8"/>
        <v>0</v>
      </c>
      <c r="F71" s="665">
        <f t="shared" si="8"/>
        <v>0</v>
      </c>
      <c r="G71" s="665">
        <f t="shared" si="8"/>
        <v>0</v>
      </c>
      <c r="H71" s="665">
        <f t="shared" si="8"/>
        <v>0</v>
      </c>
    </row>
    <row r="72" spans="1:8" x14ac:dyDescent="0.25">
      <c r="A72" s="914"/>
      <c r="B72" s="699" t="s">
        <v>630</v>
      </c>
      <c r="C72" s="667"/>
      <c r="D72" s="667"/>
      <c r="E72" s="668">
        <f t="shared" si="1"/>
        <v>0</v>
      </c>
      <c r="F72" s="667"/>
      <c r="G72" s="667"/>
      <c r="H72" s="666">
        <f t="shared" si="3"/>
        <v>0</v>
      </c>
    </row>
    <row r="73" spans="1:8" x14ac:dyDescent="0.25">
      <c r="A73" s="784"/>
      <c r="B73" s="699" t="s">
        <v>631</v>
      </c>
      <c r="C73" s="667"/>
      <c r="D73" s="667"/>
      <c r="E73" s="668">
        <f t="shared" si="1"/>
        <v>0</v>
      </c>
      <c r="F73" s="667"/>
      <c r="G73" s="667"/>
      <c r="H73" s="666">
        <f t="shared" si="3"/>
        <v>0</v>
      </c>
    </row>
    <row r="74" spans="1:8" x14ac:dyDescent="0.25">
      <c r="A74" s="784"/>
      <c r="B74" s="699" t="s">
        <v>632</v>
      </c>
      <c r="C74" s="667"/>
      <c r="D74" s="667"/>
      <c r="E74" s="668">
        <f t="shared" si="1"/>
        <v>0</v>
      </c>
      <c r="F74" s="667"/>
      <c r="G74" s="667"/>
      <c r="H74" s="666">
        <f t="shared" si="3"/>
        <v>0</v>
      </c>
    </row>
    <row r="75" spans="1:8" x14ac:dyDescent="0.25">
      <c r="A75" s="1307" t="s">
        <v>633</v>
      </c>
      <c r="B75" s="1308"/>
      <c r="C75" s="665">
        <f>SUM(C76:C82)</f>
        <v>14500000</v>
      </c>
      <c r="D75" s="665">
        <f t="shared" ref="D75:H75" si="9">SUM(D76:D82)</f>
        <v>0</v>
      </c>
      <c r="E75" s="668">
        <f t="shared" si="9"/>
        <v>14500000</v>
      </c>
      <c r="F75" s="665">
        <f t="shared" si="9"/>
        <v>9499193</v>
      </c>
      <c r="G75" s="665">
        <f t="shared" si="9"/>
        <v>9499193</v>
      </c>
      <c r="H75" s="665">
        <f t="shared" si="9"/>
        <v>5000807</v>
      </c>
    </row>
    <row r="76" spans="1:8" x14ac:dyDescent="0.25">
      <c r="A76" s="784"/>
      <c r="B76" s="699" t="s">
        <v>634</v>
      </c>
      <c r="C76" s="667">
        <f>+'ETCA-II-13'!C131</f>
        <v>10000000</v>
      </c>
      <c r="D76" s="667">
        <f>+'ETCA-II-13'!D131</f>
        <v>0</v>
      </c>
      <c r="E76" s="668">
        <f t="shared" si="1"/>
        <v>10000000</v>
      </c>
      <c r="F76" s="667">
        <f>+'ETCA-II-13'!F131</f>
        <v>7499988</v>
      </c>
      <c r="G76" s="667">
        <f>+'ETCA-II-13'!G131</f>
        <v>7499988</v>
      </c>
      <c r="H76" s="666">
        <f t="shared" si="3"/>
        <v>2500012</v>
      </c>
    </row>
    <row r="77" spans="1:8" x14ac:dyDescent="0.25">
      <c r="A77" s="784"/>
      <c r="B77" s="699" t="s">
        <v>635</v>
      </c>
      <c r="C77" s="667">
        <f>+'ETCA-II-13'!C132</f>
        <v>4500000</v>
      </c>
      <c r="D77" s="667">
        <f>+'ETCA-II-13'!D132</f>
        <v>0</v>
      </c>
      <c r="E77" s="668">
        <f t="shared" ref="E77:E82" si="10">C77+D77</f>
        <v>4500000</v>
      </c>
      <c r="F77" s="667">
        <f>+'ETCA-II-13'!F132</f>
        <v>1999205</v>
      </c>
      <c r="G77" s="667">
        <f>+'ETCA-II-13'!G132</f>
        <v>1999205</v>
      </c>
      <c r="H77" s="666">
        <f t="shared" si="3"/>
        <v>2500795</v>
      </c>
    </row>
    <row r="78" spans="1:8" x14ac:dyDescent="0.25">
      <c r="A78" s="784"/>
      <c r="B78" s="699" t="s">
        <v>636</v>
      </c>
      <c r="C78" s="667"/>
      <c r="D78" s="667"/>
      <c r="E78" s="668">
        <f t="shared" si="10"/>
        <v>0</v>
      </c>
      <c r="F78" s="667"/>
      <c r="G78" s="667"/>
      <c r="H78" s="666">
        <f t="shared" si="3"/>
        <v>0</v>
      </c>
    </row>
    <row r="79" spans="1:8" x14ac:dyDescent="0.25">
      <c r="A79" s="784"/>
      <c r="B79" s="699" t="s">
        <v>637</v>
      </c>
      <c r="C79" s="667"/>
      <c r="D79" s="667"/>
      <c r="E79" s="668">
        <f t="shared" si="10"/>
        <v>0</v>
      </c>
      <c r="F79" s="667"/>
      <c r="G79" s="667"/>
      <c r="H79" s="666">
        <f t="shared" si="3"/>
        <v>0</v>
      </c>
    </row>
    <row r="80" spans="1:8" x14ac:dyDescent="0.25">
      <c r="A80" s="784"/>
      <c r="B80" s="699" t="s">
        <v>638</v>
      </c>
      <c r="C80" s="667"/>
      <c r="D80" s="667"/>
      <c r="E80" s="668">
        <f t="shared" si="10"/>
        <v>0</v>
      </c>
      <c r="F80" s="667"/>
      <c r="G80" s="667"/>
      <c r="H80" s="666">
        <f t="shared" si="3"/>
        <v>0</v>
      </c>
    </row>
    <row r="81" spans="1:8" x14ac:dyDescent="0.25">
      <c r="A81" s="784"/>
      <c r="B81" s="699" t="s">
        <v>639</v>
      </c>
      <c r="C81" s="667"/>
      <c r="D81" s="667"/>
      <c r="E81" s="668">
        <f t="shared" si="10"/>
        <v>0</v>
      </c>
      <c r="F81" s="667"/>
      <c r="G81" s="667"/>
      <c r="H81" s="666">
        <f t="shared" si="3"/>
        <v>0</v>
      </c>
    </row>
    <row r="82" spans="1:8" x14ac:dyDescent="0.25">
      <c r="A82" s="784"/>
      <c r="B82" s="699" t="s">
        <v>640</v>
      </c>
      <c r="C82" s="667"/>
      <c r="D82" s="667"/>
      <c r="E82" s="668">
        <f t="shared" si="10"/>
        <v>0</v>
      </c>
      <c r="F82" s="667"/>
      <c r="G82" s="667"/>
      <c r="H82" s="666">
        <f t="shared" si="3"/>
        <v>0</v>
      </c>
    </row>
    <row r="83" spans="1:8" x14ac:dyDescent="0.25">
      <c r="A83" s="1305" t="s">
        <v>641</v>
      </c>
      <c r="B83" s="1306"/>
      <c r="C83" s="664">
        <f>+C84+C92+C102+C112+C122+C132+C136+C145+C149</f>
        <v>0</v>
      </c>
      <c r="D83" s="664">
        <f t="shared" ref="D83:H83" si="11">+D84+D92+D102+D112+D122+D132+D136+D145+D149</f>
        <v>0</v>
      </c>
      <c r="E83" s="669">
        <f t="shared" si="11"/>
        <v>0</v>
      </c>
      <c r="F83" s="664">
        <f t="shared" si="11"/>
        <v>0</v>
      </c>
      <c r="G83" s="664">
        <f t="shared" si="11"/>
        <v>0</v>
      </c>
      <c r="H83" s="664">
        <f t="shared" si="11"/>
        <v>0</v>
      </c>
    </row>
    <row r="84" spans="1:8" x14ac:dyDescent="0.25">
      <c r="A84" s="1307" t="s">
        <v>568</v>
      </c>
      <c r="B84" s="1308"/>
      <c r="C84" s="665">
        <f>SUM(C85:C91)</f>
        <v>0</v>
      </c>
      <c r="D84" s="665">
        <f t="shared" ref="D84:H84" si="12">SUM(D85:D91)</f>
        <v>0</v>
      </c>
      <c r="E84" s="668">
        <f t="shared" si="12"/>
        <v>0</v>
      </c>
      <c r="F84" s="665">
        <f t="shared" si="12"/>
        <v>0</v>
      </c>
      <c r="G84" s="665">
        <f t="shared" si="12"/>
        <v>0</v>
      </c>
      <c r="H84" s="665">
        <f t="shared" si="12"/>
        <v>0</v>
      </c>
    </row>
    <row r="85" spans="1:8" x14ac:dyDescent="0.25">
      <c r="A85" s="784"/>
      <c r="B85" s="699" t="s">
        <v>569</v>
      </c>
      <c r="C85" s="667"/>
      <c r="D85" s="667"/>
      <c r="E85" s="668">
        <f t="shared" ref="E85:E91" si="13">C85+D85</f>
        <v>0</v>
      </c>
      <c r="F85" s="667"/>
      <c r="G85" s="667"/>
      <c r="H85" s="666">
        <f t="shared" ref="H85:H148" si="14">+E85-F85</f>
        <v>0</v>
      </c>
    </row>
    <row r="86" spans="1:8" x14ac:dyDescent="0.25">
      <c r="A86" s="784"/>
      <c r="B86" s="699" t="s">
        <v>570</v>
      </c>
      <c r="C86" s="667"/>
      <c r="D86" s="667"/>
      <c r="E86" s="668">
        <f t="shared" si="13"/>
        <v>0</v>
      </c>
      <c r="F86" s="667"/>
      <c r="G86" s="667"/>
      <c r="H86" s="666">
        <f t="shared" si="14"/>
        <v>0</v>
      </c>
    </row>
    <row r="87" spans="1:8" x14ac:dyDescent="0.25">
      <c r="A87" s="784"/>
      <c r="B87" s="699" t="s">
        <v>571</v>
      </c>
      <c r="C87" s="667"/>
      <c r="D87" s="667"/>
      <c r="E87" s="668">
        <f t="shared" si="13"/>
        <v>0</v>
      </c>
      <c r="F87" s="667"/>
      <c r="G87" s="667"/>
      <c r="H87" s="666">
        <f t="shared" si="14"/>
        <v>0</v>
      </c>
    </row>
    <row r="88" spans="1:8" x14ac:dyDescent="0.25">
      <c r="A88" s="784"/>
      <c r="B88" s="699" t="s">
        <v>572</v>
      </c>
      <c r="C88" s="667"/>
      <c r="D88" s="667"/>
      <c r="E88" s="668">
        <f t="shared" si="13"/>
        <v>0</v>
      </c>
      <c r="F88" s="667"/>
      <c r="G88" s="667"/>
      <c r="H88" s="666">
        <f t="shared" si="14"/>
        <v>0</v>
      </c>
    </row>
    <row r="89" spans="1:8" x14ac:dyDescent="0.25">
      <c r="A89" s="784"/>
      <c r="B89" s="699" t="s">
        <v>573</v>
      </c>
      <c r="C89" s="667"/>
      <c r="D89" s="667"/>
      <c r="E89" s="668">
        <f t="shared" si="13"/>
        <v>0</v>
      </c>
      <c r="F89" s="667"/>
      <c r="G89" s="667"/>
      <c r="H89" s="666">
        <f t="shared" si="14"/>
        <v>0</v>
      </c>
    </row>
    <row r="90" spans="1:8" x14ac:dyDescent="0.25">
      <c r="A90" s="784"/>
      <c r="B90" s="699" t="s">
        <v>574</v>
      </c>
      <c r="C90" s="667"/>
      <c r="D90" s="667"/>
      <c r="E90" s="668">
        <f t="shared" si="13"/>
        <v>0</v>
      </c>
      <c r="F90" s="667"/>
      <c r="G90" s="667"/>
      <c r="H90" s="666">
        <f t="shared" si="14"/>
        <v>0</v>
      </c>
    </row>
    <row r="91" spans="1:8" x14ac:dyDescent="0.25">
      <c r="A91" s="784"/>
      <c r="B91" s="699" t="s">
        <v>575</v>
      </c>
      <c r="C91" s="667"/>
      <c r="D91" s="667"/>
      <c r="E91" s="668">
        <f t="shared" si="13"/>
        <v>0</v>
      </c>
      <c r="F91" s="667"/>
      <c r="G91" s="667"/>
      <c r="H91" s="666">
        <f t="shared" si="14"/>
        <v>0</v>
      </c>
    </row>
    <row r="92" spans="1:8" x14ac:dyDescent="0.25">
      <c r="A92" s="1307" t="s">
        <v>576</v>
      </c>
      <c r="B92" s="1308"/>
      <c r="C92" s="665">
        <f>SUM(C93:C101)</f>
        <v>0</v>
      </c>
      <c r="D92" s="665">
        <f t="shared" ref="D92:H92" si="15">SUM(D93:D101)</f>
        <v>0</v>
      </c>
      <c r="E92" s="668">
        <f t="shared" si="15"/>
        <v>0</v>
      </c>
      <c r="F92" s="665">
        <f t="shared" si="15"/>
        <v>0</v>
      </c>
      <c r="G92" s="665">
        <f t="shared" si="15"/>
        <v>0</v>
      </c>
      <c r="H92" s="665">
        <f t="shared" si="15"/>
        <v>0</v>
      </c>
    </row>
    <row r="93" spans="1:8" x14ac:dyDescent="0.25">
      <c r="A93" s="784"/>
      <c r="B93" s="699" t="s">
        <v>577</v>
      </c>
      <c r="C93" s="667"/>
      <c r="D93" s="667"/>
      <c r="E93" s="668">
        <f t="shared" ref="E93:E101" si="16">C93+D93</f>
        <v>0</v>
      </c>
      <c r="F93" s="667"/>
      <c r="G93" s="667"/>
      <c r="H93" s="666">
        <f t="shared" si="14"/>
        <v>0</v>
      </c>
    </row>
    <row r="94" spans="1:8" x14ac:dyDescent="0.25">
      <c r="A94" s="784"/>
      <c r="B94" s="699" t="s">
        <v>578</v>
      </c>
      <c r="C94" s="667"/>
      <c r="D94" s="667"/>
      <c r="E94" s="668">
        <f t="shared" si="16"/>
        <v>0</v>
      </c>
      <c r="F94" s="667"/>
      <c r="G94" s="667"/>
      <c r="H94" s="666">
        <f t="shared" si="14"/>
        <v>0</v>
      </c>
    </row>
    <row r="95" spans="1:8" x14ac:dyDescent="0.25">
      <c r="A95" s="784"/>
      <c r="B95" s="699" t="s">
        <v>579</v>
      </c>
      <c r="C95" s="667"/>
      <c r="D95" s="667"/>
      <c r="E95" s="668">
        <f t="shared" si="16"/>
        <v>0</v>
      </c>
      <c r="F95" s="667"/>
      <c r="G95" s="667"/>
      <c r="H95" s="666">
        <f t="shared" si="14"/>
        <v>0</v>
      </c>
    </row>
    <row r="96" spans="1:8" x14ac:dyDescent="0.25">
      <c r="A96" s="784"/>
      <c r="B96" s="699" t="s">
        <v>580</v>
      </c>
      <c r="C96" s="667"/>
      <c r="D96" s="667"/>
      <c r="E96" s="668">
        <f t="shared" si="16"/>
        <v>0</v>
      </c>
      <c r="F96" s="667"/>
      <c r="G96" s="667"/>
      <c r="H96" s="666">
        <f t="shared" si="14"/>
        <v>0</v>
      </c>
    </row>
    <row r="97" spans="1:8" x14ac:dyDescent="0.25">
      <c r="A97" s="784"/>
      <c r="B97" s="699" t="s">
        <v>581</v>
      </c>
      <c r="C97" s="667"/>
      <c r="D97" s="667"/>
      <c r="E97" s="668">
        <f t="shared" si="16"/>
        <v>0</v>
      </c>
      <c r="F97" s="667"/>
      <c r="G97" s="667"/>
      <c r="H97" s="666">
        <f t="shared" si="14"/>
        <v>0</v>
      </c>
    </row>
    <row r="98" spans="1:8" x14ac:dyDescent="0.25">
      <c r="A98" s="784"/>
      <c r="B98" s="699" t="s">
        <v>582</v>
      </c>
      <c r="C98" s="667"/>
      <c r="D98" s="667"/>
      <c r="E98" s="668">
        <f t="shared" si="16"/>
        <v>0</v>
      </c>
      <c r="F98" s="667"/>
      <c r="G98" s="667"/>
      <c r="H98" s="666">
        <f t="shared" si="14"/>
        <v>0</v>
      </c>
    </row>
    <row r="99" spans="1:8" x14ac:dyDescent="0.25">
      <c r="A99" s="784"/>
      <c r="B99" s="699" t="s">
        <v>583</v>
      </c>
      <c r="C99" s="667"/>
      <c r="D99" s="667"/>
      <c r="E99" s="668">
        <f t="shared" si="16"/>
        <v>0</v>
      </c>
      <c r="F99" s="667"/>
      <c r="G99" s="667"/>
      <c r="H99" s="666">
        <f t="shared" si="14"/>
        <v>0</v>
      </c>
    </row>
    <row r="100" spans="1:8" x14ac:dyDescent="0.25">
      <c r="A100" s="784"/>
      <c r="B100" s="699" t="s">
        <v>584</v>
      </c>
      <c r="C100" s="667"/>
      <c r="D100" s="667"/>
      <c r="E100" s="668">
        <f t="shared" si="16"/>
        <v>0</v>
      </c>
      <c r="F100" s="667"/>
      <c r="G100" s="667"/>
      <c r="H100" s="666">
        <f t="shared" si="14"/>
        <v>0</v>
      </c>
    </row>
    <row r="101" spans="1:8" x14ac:dyDescent="0.25">
      <c r="A101" s="784"/>
      <c r="B101" s="699" t="s">
        <v>585</v>
      </c>
      <c r="C101" s="667"/>
      <c r="D101" s="667"/>
      <c r="E101" s="668">
        <f t="shared" si="16"/>
        <v>0</v>
      </c>
      <c r="F101" s="667"/>
      <c r="G101" s="667"/>
      <c r="H101" s="666">
        <f t="shared" si="14"/>
        <v>0</v>
      </c>
    </row>
    <row r="102" spans="1:8" x14ac:dyDescent="0.25">
      <c r="A102" s="1307" t="s">
        <v>586</v>
      </c>
      <c r="B102" s="1308"/>
      <c r="C102" s="665">
        <f>SUM(C103:C111)</f>
        <v>0</v>
      </c>
      <c r="D102" s="665">
        <f t="shared" ref="D102:H102" si="17">SUM(D103:D111)</f>
        <v>0</v>
      </c>
      <c r="E102" s="668">
        <f t="shared" si="17"/>
        <v>0</v>
      </c>
      <c r="F102" s="665">
        <f t="shared" si="17"/>
        <v>0</v>
      </c>
      <c r="G102" s="665">
        <f t="shared" si="17"/>
        <v>0</v>
      </c>
      <c r="H102" s="665">
        <f t="shared" si="17"/>
        <v>0</v>
      </c>
    </row>
    <row r="103" spans="1:8" x14ac:dyDescent="0.25">
      <c r="A103" s="784"/>
      <c r="B103" s="699" t="s">
        <v>587</v>
      </c>
      <c r="C103" s="667"/>
      <c r="D103" s="667"/>
      <c r="E103" s="668">
        <f t="shared" ref="E103:E111" si="18">C103+D103</f>
        <v>0</v>
      </c>
      <c r="F103" s="667"/>
      <c r="G103" s="667"/>
      <c r="H103" s="666">
        <f t="shared" si="14"/>
        <v>0</v>
      </c>
    </row>
    <row r="104" spans="1:8" x14ac:dyDescent="0.25">
      <c r="A104" s="784"/>
      <c r="B104" s="699" t="s">
        <v>588</v>
      </c>
      <c r="C104" s="667"/>
      <c r="D104" s="667"/>
      <c r="E104" s="668">
        <f t="shared" si="18"/>
        <v>0</v>
      </c>
      <c r="F104" s="667"/>
      <c r="G104" s="667"/>
      <c r="H104" s="666">
        <f t="shared" si="14"/>
        <v>0</v>
      </c>
    </row>
    <row r="105" spans="1:8" x14ac:dyDescent="0.25">
      <c r="A105" s="784"/>
      <c r="B105" s="699" t="s">
        <v>589</v>
      </c>
      <c r="C105" s="667"/>
      <c r="D105" s="667"/>
      <c r="E105" s="668">
        <f t="shared" si="18"/>
        <v>0</v>
      </c>
      <c r="F105" s="667"/>
      <c r="G105" s="667"/>
      <c r="H105" s="666">
        <f t="shared" si="14"/>
        <v>0</v>
      </c>
    </row>
    <row r="106" spans="1:8" x14ac:dyDescent="0.25">
      <c r="A106" s="784"/>
      <c r="B106" s="699" t="s">
        <v>590</v>
      </c>
      <c r="C106" s="667"/>
      <c r="D106" s="667"/>
      <c r="E106" s="668">
        <f t="shared" si="18"/>
        <v>0</v>
      </c>
      <c r="F106" s="667"/>
      <c r="G106" s="667"/>
      <c r="H106" s="666">
        <f t="shared" si="14"/>
        <v>0</v>
      </c>
    </row>
    <row r="107" spans="1:8" x14ac:dyDescent="0.25">
      <c r="A107" s="914"/>
      <c r="B107" s="699" t="s">
        <v>591</v>
      </c>
      <c r="C107" s="667"/>
      <c r="D107" s="667"/>
      <c r="E107" s="668">
        <f t="shared" si="18"/>
        <v>0</v>
      </c>
      <c r="F107" s="667"/>
      <c r="G107" s="667"/>
      <c r="H107" s="666">
        <f t="shared" si="14"/>
        <v>0</v>
      </c>
    </row>
    <row r="108" spans="1:8" x14ac:dyDescent="0.25">
      <c r="A108" s="784"/>
      <c r="B108" s="699" t="s">
        <v>592</v>
      </c>
      <c r="C108" s="667"/>
      <c r="D108" s="667"/>
      <c r="E108" s="668">
        <f t="shared" si="18"/>
        <v>0</v>
      </c>
      <c r="F108" s="667"/>
      <c r="G108" s="667"/>
      <c r="H108" s="666">
        <f t="shared" si="14"/>
        <v>0</v>
      </c>
    </row>
    <row r="109" spans="1:8" x14ac:dyDescent="0.25">
      <c r="A109" s="784"/>
      <c r="B109" s="699" t="s">
        <v>593</v>
      </c>
      <c r="C109" s="667"/>
      <c r="D109" s="667"/>
      <c r="E109" s="668">
        <f t="shared" si="18"/>
        <v>0</v>
      </c>
      <c r="F109" s="667"/>
      <c r="G109" s="667"/>
      <c r="H109" s="666">
        <f t="shared" si="14"/>
        <v>0</v>
      </c>
    </row>
    <row r="110" spans="1:8" x14ac:dyDescent="0.25">
      <c r="A110" s="784"/>
      <c r="B110" s="699" t="s">
        <v>594</v>
      </c>
      <c r="C110" s="667"/>
      <c r="D110" s="667"/>
      <c r="E110" s="668">
        <f t="shared" si="18"/>
        <v>0</v>
      </c>
      <c r="F110" s="667"/>
      <c r="G110" s="667"/>
      <c r="H110" s="666">
        <f t="shared" si="14"/>
        <v>0</v>
      </c>
    </row>
    <row r="111" spans="1:8" x14ac:dyDescent="0.25">
      <c r="A111" s="784"/>
      <c r="B111" s="699" t="s">
        <v>595</v>
      </c>
      <c r="C111" s="667"/>
      <c r="D111" s="667"/>
      <c r="E111" s="668">
        <f t="shared" si="18"/>
        <v>0</v>
      </c>
      <c r="F111" s="667"/>
      <c r="G111" s="667"/>
      <c r="H111" s="666">
        <f t="shared" si="14"/>
        <v>0</v>
      </c>
    </row>
    <row r="112" spans="1:8" x14ac:dyDescent="0.25">
      <c r="A112" s="1307" t="s">
        <v>596</v>
      </c>
      <c r="B112" s="1308"/>
      <c r="C112" s="665">
        <f>SUM(C113:C121)</f>
        <v>0</v>
      </c>
      <c r="D112" s="665">
        <f t="shared" ref="D112:H112" si="19">SUM(D113:D121)</f>
        <v>0</v>
      </c>
      <c r="E112" s="668">
        <f t="shared" si="19"/>
        <v>0</v>
      </c>
      <c r="F112" s="665">
        <f t="shared" si="19"/>
        <v>0</v>
      </c>
      <c r="G112" s="665">
        <f t="shared" si="19"/>
        <v>0</v>
      </c>
      <c r="H112" s="665">
        <f t="shared" si="19"/>
        <v>0</v>
      </c>
    </row>
    <row r="113" spans="1:8" x14ac:dyDescent="0.25">
      <c r="A113" s="784"/>
      <c r="B113" s="699" t="s">
        <v>597</v>
      </c>
      <c r="C113" s="667"/>
      <c r="D113" s="667"/>
      <c r="E113" s="668">
        <f t="shared" ref="E113:E121" si="20">C113+D113</f>
        <v>0</v>
      </c>
      <c r="F113" s="667"/>
      <c r="G113" s="667"/>
      <c r="H113" s="666">
        <f t="shared" si="14"/>
        <v>0</v>
      </c>
    </row>
    <row r="114" spans="1:8" x14ac:dyDescent="0.25">
      <c r="A114" s="784"/>
      <c r="B114" s="699" t="s">
        <v>598</v>
      </c>
      <c r="C114" s="667"/>
      <c r="D114" s="667"/>
      <c r="E114" s="668">
        <f t="shared" si="20"/>
        <v>0</v>
      </c>
      <c r="F114" s="667"/>
      <c r="G114" s="667"/>
      <c r="H114" s="666">
        <f t="shared" si="14"/>
        <v>0</v>
      </c>
    </row>
    <row r="115" spans="1:8" x14ac:dyDescent="0.25">
      <c r="A115" s="784"/>
      <c r="B115" s="699" t="s">
        <v>599</v>
      </c>
      <c r="C115" s="667"/>
      <c r="D115" s="667"/>
      <c r="E115" s="668">
        <f t="shared" si="20"/>
        <v>0</v>
      </c>
      <c r="F115" s="667"/>
      <c r="G115" s="667"/>
      <c r="H115" s="666">
        <f t="shared" si="14"/>
        <v>0</v>
      </c>
    </row>
    <row r="116" spans="1:8" x14ac:dyDescent="0.25">
      <c r="A116" s="784"/>
      <c r="B116" s="699" t="s">
        <v>600</v>
      </c>
      <c r="C116" s="667"/>
      <c r="D116" s="667"/>
      <c r="E116" s="668">
        <f t="shared" si="20"/>
        <v>0</v>
      </c>
      <c r="F116" s="667"/>
      <c r="G116" s="667"/>
      <c r="H116" s="666">
        <f t="shared" si="14"/>
        <v>0</v>
      </c>
    </row>
    <row r="117" spans="1:8" x14ac:dyDescent="0.25">
      <c r="A117" s="784"/>
      <c r="B117" s="699" t="s">
        <v>601</v>
      </c>
      <c r="C117" s="667"/>
      <c r="D117" s="667"/>
      <c r="E117" s="668">
        <f t="shared" si="20"/>
        <v>0</v>
      </c>
      <c r="F117" s="667"/>
      <c r="G117" s="667"/>
      <c r="H117" s="666">
        <f t="shared" si="14"/>
        <v>0</v>
      </c>
    </row>
    <row r="118" spans="1:8" x14ac:dyDescent="0.25">
      <c r="A118" s="784"/>
      <c r="B118" s="699" t="s">
        <v>602</v>
      </c>
      <c r="C118" s="667"/>
      <c r="D118" s="667"/>
      <c r="E118" s="668">
        <f t="shared" si="20"/>
        <v>0</v>
      </c>
      <c r="F118" s="667"/>
      <c r="G118" s="667"/>
      <c r="H118" s="666">
        <f t="shared" si="14"/>
        <v>0</v>
      </c>
    </row>
    <row r="119" spans="1:8" x14ac:dyDescent="0.25">
      <c r="A119" s="919"/>
      <c r="B119" s="920" t="s">
        <v>603</v>
      </c>
      <c r="C119" s="921"/>
      <c r="D119" s="921"/>
      <c r="E119" s="922">
        <f t="shared" si="20"/>
        <v>0</v>
      </c>
      <c r="F119" s="921"/>
      <c r="G119" s="921"/>
      <c r="H119" s="923">
        <f t="shared" si="14"/>
        <v>0</v>
      </c>
    </row>
    <row r="120" spans="1:8" x14ac:dyDescent="0.25">
      <c r="A120" s="784"/>
      <c r="B120" s="699" t="s">
        <v>604</v>
      </c>
      <c r="C120" s="667"/>
      <c r="D120" s="667"/>
      <c r="E120" s="668">
        <f t="shared" si="20"/>
        <v>0</v>
      </c>
      <c r="F120" s="667"/>
      <c r="G120" s="667"/>
      <c r="H120" s="666">
        <f t="shared" si="14"/>
        <v>0</v>
      </c>
    </row>
    <row r="121" spans="1:8" x14ac:dyDescent="0.25">
      <c r="A121" s="784"/>
      <c r="B121" s="699" t="s">
        <v>605</v>
      </c>
      <c r="C121" s="667"/>
      <c r="D121" s="667"/>
      <c r="E121" s="668">
        <f t="shared" si="20"/>
        <v>0</v>
      </c>
      <c r="F121" s="667"/>
      <c r="G121" s="667"/>
      <c r="H121" s="666">
        <f t="shared" si="14"/>
        <v>0</v>
      </c>
    </row>
    <row r="122" spans="1:8" x14ac:dyDescent="0.25">
      <c r="A122" s="1307" t="s">
        <v>606</v>
      </c>
      <c r="B122" s="1308"/>
      <c r="C122" s="665">
        <f>SUM(C123:C131)</f>
        <v>0</v>
      </c>
      <c r="D122" s="665">
        <f t="shared" ref="D122:H122" si="21">SUM(D123:D131)</f>
        <v>0</v>
      </c>
      <c r="E122" s="668">
        <f t="shared" si="21"/>
        <v>0</v>
      </c>
      <c r="F122" s="665">
        <f t="shared" si="21"/>
        <v>0</v>
      </c>
      <c r="G122" s="665">
        <f t="shared" si="21"/>
        <v>0</v>
      </c>
      <c r="H122" s="665">
        <f t="shared" si="21"/>
        <v>0</v>
      </c>
    </row>
    <row r="123" spans="1:8" x14ac:dyDescent="0.25">
      <c r="A123" s="784"/>
      <c r="B123" s="699" t="s">
        <v>607</v>
      </c>
      <c r="C123" s="667">
        <v>0</v>
      </c>
      <c r="D123" s="667"/>
      <c r="E123" s="668">
        <f t="shared" ref="E123:E131" si="22">C123+D123</f>
        <v>0</v>
      </c>
      <c r="F123" s="667"/>
      <c r="G123" s="667"/>
      <c r="H123" s="666">
        <f t="shared" si="14"/>
        <v>0</v>
      </c>
    </row>
    <row r="124" spans="1:8" x14ac:dyDescent="0.25">
      <c r="A124" s="784"/>
      <c r="B124" s="699" t="s">
        <v>608</v>
      </c>
      <c r="C124" s="667"/>
      <c r="D124" s="667"/>
      <c r="E124" s="668">
        <f t="shared" si="22"/>
        <v>0</v>
      </c>
      <c r="F124" s="667"/>
      <c r="G124" s="667"/>
      <c r="H124" s="666">
        <f t="shared" si="14"/>
        <v>0</v>
      </c>
    </row>
    <row r="125" spans="1:8" x14ac:dyDescent="0.25">
      <c r="A125" s="784"/>
      <c r="B125" s="699" t="s">
        <v>609</v>
      </c>
      <c r="C125" s="667"/>
      <c r="D125" s="667"/>
      <c r="E125" s="668">
        <f t="shared" si="22"/>
        <v>0</v>
      </c>
      <c r="F125" s="667"/>
      <c r="G125" s="667"/>
      <c r="H125" s="666">
        <f t="shared" si="14"/>
        <v>0</v>
      </c>
    </row>
    <row r="126" spans="1:8" x14ac:dyDescent="0.25">
      <c r="A126" s="784"/>
      <c r="B126" s="699" t="s">
        <v>610</v>
      </c>
      <c r="C126" s="667"/>
      <c r="D126" s="667"/>
      <c r="E126" s="668">
        <f t="shared" si="22"/>
        <v>0</v>
      </c>
      <c r="F126" s="667"/>
      <c r="G126" s="667"/>
      <c r="H126" s="666">
        <f t="shared" si="14"/>
        <v>0</v>
      </c>
    </row>
    <row r="127" spans="1:8" x14ac:dyDescent="0.25">
      <c r="A127" s="784"/>
      <c r="B127" s="699" t="s">
        <v>611</v>
      </c>
      <c r="C127" s="667"/>
      <c r="D127" s="667"/>
      <c r="E127" s="668">
        <f t="shared" si="22"/>
        <v>0</v>
      </c>
      <c r="F127" s="667"/>
      <c r="G127" s="667"/>
      <c r="H127" s="666">
        <f t="shared" si="14"/>
        <v>0</v>
      </c>
    </row>
    <row r="128" spans="1:8" x14ac:dyDescent="0.25">
      <c r="A128" s="924"/>
      <c r="B128" s="924" t="s">
        <v>612</v>
      </c>
      <c r="C128" s="667"/>
      <c r="D128" s="667"/>
      <c r="E128" s="668">
        <f t="shared" si="22"/>
        <v>0</v>
      </c>
      <c r="F128" s="667"/>
      <c r="G128" s="667"/>
      <c r="H128" s="665">
        <f t="shared" si="14"/>
        <v>0</v>
      </c>
    </row>
    <row r="129" spans="1:8" x14ac:dyDescent="0.25">
      <c r="A129" s="784"/>
      <c r="B129" s="699" t="s">
        <v>613</v>
      </c>
      <c r="C129" s="667"/>
      <c r="D129" s="667"/>
      <c r="E129" s="668">
        <f t="shared" si="22"/>
        <v>0</v>
      </c>
      <c r="F129" s="667"/>
      <c r="G129" s="667"/>
      <c r="H129" s="666">
        <f t="shared" si="14"/>
        <v>0</v>
      </c>
    </row>
    <row r="130" spans="1:8" x14ac:dyDescent="0.25">
      <c r="A130" s="784"/>
      <c r="B130" s="699" t="s">
        <v>614</v>
      </c>
      <c r="C130" s="667"/>
      <c r="D130" s="667"/>
      <c r="E130" s="668">
        <f t="shared" si="22"/>
        <v>0</v>
      </c>
      <c r="F130" s="667"/>
      <c r="G130" s="667"/>
      <c r="H130" s="666">
        <f t="shared" si="14"/>
        <v>0</v>
      </c>
    </row>
    <row r="131" spans="1:8" x14ac:dyDescent="0.25">
      <c r="A131" s="784"/>
      <c r="B131" s="699" t="s">
        <v>615</v>
      </c>
      <c r="C131" s="667"/>
      <c r="D131" s="667"/>
      <c r="E131" s="668">
        <f t="shared" si="22"/>
        <v>0</v>
      </c>
      <c r="F131" s="667"/>
      <c r="G131" s="667"/>
      <c r="H131" s="666">
        <f t="shared" si="14"/>
        <v>0</v>
      </c>
    </row>
    <row r="132" spans="1:8" x14ac:dyDescent="0.25">
      <c r="A132" s="1307" t="s">
        <v>616</v>
      </c>
      <c r="B132" s="1308"/>
      <c r="C132" s="665">
        <f>SUM(C133:C135)</f>
        <v>0</v>
      </c>
      <c r="D132" s="665">
        <f t="shared" ref="D132:H132" si="23">SUM(D133:D135)</f>
        <v>0</v>
      </c>
      <c r="E132" s="668">
        <f t="shared" si="23"/>
        <v>0</v>
      </c>
      <c r="F132" s="665">
        <f t="shared" si="23"/>
        <v>0</v>
      </c>
      <c r="G132" s="665">
        <f t="shared" si="23"/>
        <v>0</v>
      </c>
      <c r="H132" s="665">
        <f t="shared" si="23"/>
        <v>0</v>
      </c>
    </row>
    <row r="133" spans="1:8" x14ac:dyDescent="0.25">
      <c r="A133" s="784"/>
      <c r="B133" s="699" t="s">
        <v>617</v>
      </c>
      <c r="C133" s="667"/>
      <c r="D133" s="667"/>
      <c r="E133" s="668">
        <f t="shared" ref="E133:E135" si="24">C133+D133</f>
        <v>0</v>
      </c>
      <c r="F133" s="667"/>
      <c r="G133" s="667"/>
      <c r="H133" s="666">
        <f t="shared" si="14"/>
        <v>0</v>
      </c>
    </row>
    <row r="134" spans="1:8" x14ac:dyDescent="0.25">
      <c r="A134" s="784"/>
      <c r="B134" s="699" t="s">
        <v>618</v>
      </c>
      <c r="C134" s="667"/>
      <c r="D134" s="667"/>
      <c r="E134" s="668">
        <f t="shared" si="24"/>
        <v>0</v>
      </c>
      <c r="F134" s="667"/>
      <c r="G134" s="667"/>
      <c r="H134" s="666">
        <f t="shared" si="14"/>
        <v>0</v>
      </c>
    </row>
    <row r="135" spans="1:8" x14ac:dyDescent="0.25">
      <c r="A135" s="784"/>
      <c r="B135" s="699" t="s">
        <v>619</v>
      </c>
      <c r="C135" s="667"/>
      <c r="D135" s="667"/>
      <c r="E135" s="668">
        <f t="shared" si="24"/>
        <v>0</v>
      </c>
      <c r="F135" s="667"/>
      <c r="G135" s="667"/>
      <c r="H135" s="666">
        <f t="shared" si="14"/>
        <v>0</v>
      </c>
    </row>
    <row r="136" spans="1:8" x14ac:dyDescent="0.25">
      <c r="A136" s="1307" t="s">
        <v>620</v>
      </c>
      <c r="B136" s="1308"/>
      <c r="C136" s="665">
        <f>SUM(C137:C144)</f>
        <v>0</v>
      </c>
      <c r="D136" s="665">
        <f t="shared" ref="D136:H136" si="25">SUM(D137:D144)</f>
        <v>0</v>
      </c>
      <c r="E136" s="668">
        <f t="shared" si="25"/>
        <v>0</v>
      </c>
      <c r="F136" s="665">
        <f t="shared" si="25"/>
        <v>0</v>
      </c>
      <c r="G136" s="665">
        <f t="shared" si="25"/>
        <v>0</v>
      </c>
      <c r="H136" s="665">
        <f t="shared" si="25"/>
        <v>0</v>
      </c>
    </row>
    <row r="137" spans="1:8" x14ac:dyDescent="0.25">
      <c r="A137" s="784"/>
      <c r="B137" s="699" t="s">
        <v>621</v>
      </c>
      <c r="C137" s="667"/>
      <c r="D137" s="667"/>
      <c r="E137" s="668">
        <f t="shared" ref="E137:E144" si="26">C137+D137</f>
        <v>0</v>
      </c>
      <c r="F137" s="667"/>
      <c r="G137" s="667"/>
      <c r="H137" s="666">
        <f t="shared" si="14"/>
        <v>0</v>
      </c>
    </row>
    <row r="138" spans="1:8" x14ac:dyDescent="0.25">
      <c r="A138" s="784"/>
      <c r="B138" s="699" t="s">
        <v>622</v>
      </c>
      <c r="C138" s="667"/>
      <c r="D138" s="667"/>
      <c r="E138" s="668">
        <f t="shared" si="26"/>
        <v>0</v>
      </c>
      <c r="F138" s="667"/>
      <c r="G138" s="667"/>
      <c r="H138" s="666">
        <f t="shared" si="14"/>
        <v>0</v>
      </c>
    </row>
    <row r="139" spans="1:8" x14ac:dyDescent="0.25">
      <c r="A139" s="784"/>
      <c r="B139" s="699" t="s">
        <v>623</v>
      </c>
      <c r="C139" s="667"/>
      <c r="D139" s="667"/>
      <c r="E139" s="668">
        <f t="shared" si="26"/>
        <v>0</v>
      </c>
      <c r="F139" s="667"/>
      <c r="G139" s="667"/>
      <c r="H139" s="666">
        <f t="shared" si="14"/>
        <v>0</v>
      </c>
    </row>
    <row r="140" spans="1:8" x14ac:dyDescent="0.25">
      <c r="A140" s="784"/>
      <c r="B140" s="699" t="s">
        <v>624</v>
      </c>
      <c r="C140" s="667"/>
      <c r="D140" s="667"/>
      <c r="E140" s="668">
        <f t="shared" si="26"/>
        <v>0</v>
      </c>
      <c r="F140" s="667"/>
      <c r="G140" s="667"/>
      <c r="H140" s="666">
        <f t="shared" si="14"/>
        <v>0</v>
      </c>
    </row>
    <row r="141" spans="1:8" x14ac:dyDescent="0.25">
      <c r="A141" s="784"/>
      <c r="B141" s="699" t="s">
        <v>625</v>
      </c>
      <c r="C141" s="667"/>
      <c r="D141" s="667"/>
      <c r="E141" s="668">
        <f t="shared" si="26"/>
        <v>0</v>
      </c>
      <c r="F141" s="667"/>
      <c r="G141" s="667"/>
      <c r="H141" s="666">
        <f t="shared" si="14"/>
        <v>0</v>
      </c>
    </row>
    <row r="142" spans="1:8" x14ac:dyDescent="0.25">
      <c r="A142" s="924"/>
      <c r="B142" s="924" t="s">
        <v>626</v>
      </c>
      <c r="C142" s="667"/>
      <c r="D142" s="667"/>
      <c r="E142" s="668">
        <f t="shared" si="26"/>
        <v>0</v>
      </c>
      <c r="F142" s="667"/>
      <c r="G142" s="667"/>
      <c r="H142" s="665">
        <f t="shared" si="14"/>
        <v>0</v>
      </c>
    </row>
    <row r="143" spans="1:8" x14ac:dyDescent="0.25">
      <c r="A143" s="784"/>
      <c r="B143" s="699" t="s">
        <v>627</v>
      </c>
      <c r="C143" s="667"/>
      <c r="D143" s="667"/>
      <c r="E143" s="668">
        <f t="shared" si="26"/>
        <v>0</v>
      </c>
      <c r="F143" s="667"/>
      <c r="G143" s="667"/>
      <c r="H143" s="666">
        <f t="shared" si="14"/>
        <v>0</v>
      </c>
    </row>
    <row r="144" spans="1:8" x14ac:dyDescent="0.25">
      <c r="A144" s="784"/>
      <c r="B144" s="699" t="s">
        <v>628</v>
      </c>
      <c r="C144" s="667"/>
      <c r="D144" s="667"/>
      <c r="E144" s="668">
        <f t="shared" si="26"/>
        <v>0</v>
      </c>
      <c r="F144" s="667"/>
      <c r="G144" s="667"/>
      <c r="H144" s="666">
        <f t="shared" si="14"/>
        <v>0</v>
      </c>
    </row>
    <row r="145" spans="1:9" x14ac:dyDescent="0.25">
      <c r="A145" s="1307" t="s">
        <v>629</v>
      </c>
      <c r="B145" s="1308"/>
      <c r="C145" s="665">
        <f>SUM(C146:C148)</f>
        <v>0</v>
      </c>
      <c r="D145" s="665">
        <f t="shared" ref="D145:H145" si="27">SUM(D146:D148)</f>
        <v>0</v>
      </c>
      <c r="E145" s="668">
        <f t="shared" si="27"/>
        <v>0</v>
      </c>
      <c r="F145" s="665">
        <f t="shared" si="27"/>
        <v>0</v>
      </c>
      <c r="G145" s="665">
        <f t="shared" si="27"/>
        <v>0</v>
      </c>
      <c r="H145" s="665">
        <f t="shared" si="27"/>
        <v>0</v>
      </c>
    </row>
    <row r="146" spans="1:9" x14ac:dyDescent="0.25">
      <c r="A146" s="784"/>
      <c r="B146" s="699" t="s">
        <v>630</v>
      </c>
      <c r="C146" s="667"/>
      <c r="D146" s="667"/>
      <c r="E146" s="668">
        <f t="shared" ref="E146:E148" si="28">C146+D146</f>
        <v>0</v>
      </c>
      <c r="F146" s="667"/>
      <c r="G146" s="667"/>
      <c r="H146" s="666">
        <f t="shared" si="14"/>
        <v>0</v>
      </c>
    </row>
    <row r="147" spans="1:9" x14ac:dyDescent="0.25">
      <c r="A147" s="784"/>
      <c r="B147" s="699" t="s">
        <v>631</v>
      </c>
      <c r="C147" s="667"/>
      <c r="D147" s="667"/>
      <c r="E147" s="668">
        <f t="shared" si="28"/>
        <v>0</v>
      </c>
      <c r="F147" s="667"/>
      <c r="G147" s="667"/>
      <c r="H147" s="666">
        <f t="shared" si="14"/>
        <v>0</v>
      </c>
    </row>
    <row r="148" spans="1:9" x14ac:dyDescent="0.25">
      <c r="A148" s="784"/>
      <c r="B148" s="699" t="s">
        <v>632</v>
      </c>
      <c r="C148" s="667"/>
      <c r="D148" s="667"/>
      <c r="E148" s="668">
        <f t="shared" si="28"/>
        <v>0</v>
      </c>
      <c r="F148" s="667"/>
      <c r="G148" s="667"/>
      <c r="H148" s="666">
        <f t="shared" si="14"/>
        <v>0</v>
      </c>
    </row>
    <row r="149" spans="1:9" x14ac:dyDescent="0.25">
      <c r="A149" s="1307" t="s">
        <v>633</v>
      </c>
      <c r="B149" s="1308"/>
      <c r="C149" s="665">
        <f>SUM(C150:C156)</f>
        <v>0</v>
      </c>
      <c r="D149" s="665"/>
      <c r="E149" s="668"/>
      <c r="F149" s="665">
        <f t="shared" ref="F149:G149" si="29">SUM(F150:F156)</f>
        <v>0</v>
      </c>
      <c r="G149" s="665">
        <f t="shared" si="29"/>
        <v>0</v>
      </c>
      <c r="H149" s="665"/>
    </row>
    <row r="150" spans="1:9" x14ac:dyDescent="0.25">
      <c r="A150" s="784"/>
      <c r="B150" s="699" t="s">
        <v>634</v>
      </c>
      <c r="C150" s="667">
        <v>0</v>
      </c>
      <c r="D150" s="667">
        <f>+'ETCA II-04'!C73</f>
        <v>0</v>
      </c>
      <c r="E150" s="668">
        <f t="shared" ref="E150:E157" si="30">C150+D150</f>
        <v>0</v>
      </c>
      <c r="F150" s="667">
        <v>0</v>
      </c>
      <c r="G150" s="667">
        <v>0</v>
      </c>
      <c r="H150" s="666">
        <f t="shared" ref="H150:H156" si="31">+E150-F150</f>
        <v>0</v>
      </c>
    </row>
    <row r="151" spans="1:9" x14ac:dyDescent="0.25">
      <c r="A151" s="784"/>
      <c r="B151" s="699" t="s">
        <v>635</v>
      </c>
      <c r="C151" s="667">
        <v>0</v>
      </c>
      <c r="D151" s="667">
        <f>+'ETCA II-04'!C74</f>
        <v>0</v>
      </c>
      <c r="E151" s="668">
        <f t="shared" si="30"/>
        <v>0</v>
      </c>
      <c r="F151" s="667">
        <v>0</v>
      </c>
      <c r="G151" s="667">
        <v>0</v>
      </c>
      <c r="H151" s="666">
        <f t="shared" si="31"/>
        <v>0</v>
      </c>
    </row>
    <row r="152" spans="1:9" x14ac:dyDescent="0.25">
      <c r="A152" s="784"/>
      <c r="B152" s="699" t="s">
        <v>636</v>
      </c>
      <c r="C152" s="667"/>
      <c r="D152" s="667"/>
      <c r="E152" s="668">
        <f t="shared" si="30"/>
        <v>0</v>
      </c>
      <c r="F152" s="667"/>
      <c r="G152" s="667"/>
      <c r="H152" s="666">
        <f t="shared" si="31"/>
        <v>0</v>
      </c>
    </row>
    <row r="153" spans="1:9" x14ac:dyDescent="0.25">
      <c r="A153" s="784"/>
      <c r="B153" s="699" t="s">
        <v>637</v>
      </c>
      <c r="C153" s="667"/>
      <c r="D153" s="667"/>
      <c r="E153" s="668">
        <f t="shared" si="30"/>
        <v>0</v>
      </c>
      <c r="F153" s="667"/>
      <c r="G153" s="667"/>
      <c r="H153" s="666">
        <f t="shared" si="31"/>
        <v>0</v>
      </c>
    </row>
    <row r="154" spans="1:9" x14ac:dyDescent="0.25">
      <c r="A154" s="784"/>
      <c r="B154" s="699" t="s">
        <v>638</v>
      </c>
      <c r="C154" s="667"/>
      <c r="D154" s="667"/>
      <c r="E154" s="668">
        <f t="shared" si="30"/>
        <v>0</v>
      </c>
      <c r="F154" s="667"/>
      <c r="G154" s="667"/>
      <c r="H154" s="666">
        <f t="shared" si="31"/>
        <v>0</v>
      </c>
      <c r="I154" s="485" t="str">
        <f>IF((C158-'ETCA II-04'!B80)&gt;0.9,"ERROR!!!!! EL MONTO NO COINCIDE CON LO REPORTADO EN EL FORMATO ETCA-II-04 EN EL TOTAL DEL GASTO","")</f>
        <v/>
      </c>
    </row>
    <row r="155" spans="1:9" x14ac:dyDescent="0.25">
      <c r="A155" s="784"/>
      <c r="B155" s="699" t="s">
        <v>639</v>
      </c>
      <c r="C155" s="667"/>
      <c r="D155" s="667"/>
      <c r="E155" s="668">
        <f t="shared" si="30"/>
        <v>0</v>
      </c>
      <c r="F155" s="667"/>
      <c r="G155" s="667"/>
      <c r="H155" s="666">
        <f t="shared" si="31"/>
        <v>0</v>
      </c>
      <c r="I155" s="485" t="str">
        <f>IF((D158-'ETCA II-04'!C80)&gt;0.9,"ERROR!!!!! EL MONTO NO COINCIDE CON LO REPORTADO EN EL FORMATO ETCA-II-04 EN EL TOTAL DEL GASTO","")</f>
        <v/>
      </c>
    </row>
    <row r="156" spans="1:9" x14ac:dyDescent="0.25">
      <c r="A156" s="784"/>
      <c r="B156" s="699" t="s">
        <v>640</v>
      </c>
      <c r="C156" s="667"/>
      <c r="D156" s="667"/>
      <c r="E156" s="668">
        <f t="shared" si="30"/>
        <v>0</v>
      </c>
      <c r="F156" s="667"/>
      <c r="G156" s="667"/>
      <c r="H156" s="666">
        <f t="shared" si="31"/>
        <v>0</v>
      </c>
      <c r="I156" s="485" t="str">
        <f>IF((E158-'ETCA II-04'!D80)&gt;0.9,"ERROR!!!!! EL MONTO NO COINCIDE CON LO REPORTADO EN EL FORMATO ETCA-II-04 EN EL TOTAL DEL GASTO","")</f>
        <v/>
      </c>
    </row>
    <row r="157" spans="1:9" x14ac:dyDescent="0.25">
      <c r="A157" s="784"/>
      <c r="B157" s="699"/>
      <c r="C157" s="665"/>
      <c r="D157" s="665"/>
      <c r="E157" s="668">
        <f t="shared" si="30"/>
        <v>0</v>
      </c>
      <c r="F157" s="665"/>
      <c r="G157" s="665"/>
      <c r="H157" s="666"/>
      <c r="I157" s="485" t="str">
        <f>IF((H158-'ETCA II-04'!G80)&gt;0.9,"ERROR!!!!! EL MONTO NO COINCIDE CON LO REPORTADO EN EL FORMATO ETCA-II-04 EN EL TOTAL DEL GASTO","")</f>
        <v/>
      </c>
    </row>
    <row r="158" spans="1:9" x14ac:dyDescent="0.25">
      <c r="A158" s="1305" t="s">
        <v>642</v>
      </c>
      <c r="B158" s="1306"/>
      <c r="C158" s="664">
        <f>+C9+C83</f>
        <v>103543736</v>
      </c>
      <c r="D158" s="664">
        <v>0</v>
      </c>
      <c r="E158" s="669">
        <f>+E9+E83</f>
        <v>103543736</v>
      </c>
      <c r="F158" s="664">
        <f t="shared" ref="F158:G158" si="32">+F9+F83</f>
        <v>68913890</v>
      </c>
      <c r="G158" s="664">
        <f t="shared" si="32"/>
        <v>60512433</v>
      </c>
      <c r="H158" s="664">
        <f>+H9+H83</f>
        <v>34629847</v>
      </c>
      <c r="I158" s="485" t="str">
        <f>IF((F158-'ETCA II-04'!E80)&gt;0.9,"ERROR!!!!! EL MONTO NO COINCIDE CON LO REPORTADO EN EL FORMATO ETCA-II-04 EN EL TOTAL DEL GASTO","")</f>
        <v/>
      </c>
    </row>
    <row r="159" spans="1:9" ht="15.75" thickBot="1" x14ac:dyDescent="0.3">
      <c r="A159" s="698"/>
      <c r="B159" s="638"/>
      <c r="C159" s="639"/>
      <c r="D159" s="639"/>
      <c r="E159" s="639"/>
      <c r="F159" s="639"/>
      <c r="G159" s="639"/>
      <c r="H159" s="640"/>
      <c r="I159" s="485" t="str">
        <f>IF((G158-'ETCA II-04'!F80)&gt;0.9,"ERROR!!!!! EL MONTO NO COINCIDE CON LO REPORTADO EN EL FORMATO ETCA-II-04 EN EL TOTAL DEL GASTO","")</f>
        <v/>
      </c>
    </row>
  </sheetData>
  <sheetProtection formatColumns="0" formatRows="0"/>
  <mergeCells count="29">
    <mergeCell ref="A5:H5"/>
    <mergeCell ref="A1:H1"/>
    <mergeCell ref="A2:H2"/>
    <mergeCell ref="A3:H3"/>
    <mergeCell ref="A4:H4"/>
    <mergeCell ref="A71:B71"/>
    <mergeCell ref="A6:B7"/>
    <mergeCell ref="C6:G6"/>
    <mergeCell ref="H6:H7"/>
    <mergeCell ref="A9:B9"/>
    <mergeCell ref="A10:B10"/>
    <mergeCell ref="A18:B18"/>
    <mergeCell ref="A28:B28"/>
    <mergeCell ref="A38:B38"/>
    <mergeCell ref="A48:B48"/>
    <mergeCell ref="A58:B58"/>
    <mergeCell ref="A62:B62"/>
    <mergeCell ref="A158:B158"/>
    <mergeCell ref="A75:B75"/>
    <mergeCell ref="A83:B83"/>
    <mergeCell ref="A84:B84"/>
    <mergeCell ref="A92:B92"/>
    <mergeCell ref="A102:B102"/>
    <mergeCell ref="A112:B112"/>
    <mergeCell ref="A122:B122"/>
    <mergeCell ref="A132:B132"/>
    <mergeCell ref="A136:B136"/>
    <mergeCell ref="A145:B145"/>
    <mergeCell ref="A149:B149"/>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9"/>
  <sheetViews>
    <sheetView view="pageBreakPreview" zoomScaleNormal="100" zoomScaleSheetLayoutView="100" workbookViewId="0">
      <selection activeCell="E17" sqref="E17"/>
    </sheetView>
  </sheetViews>
  <sheetFormatPr baseColWidth="10" defaultColWidth="11.28515625" defaultRowHeight="16.5" x14ac:dyDescent="0.25"/>
  <cols>
    <col min="1" max="1" width="36.7109375" style="258" customWidth="1"/>
    <col min="2" max="2" width="13.7109375" style="258" customWidth="1"/>
    <col min="3" max="3" width="12" style="258" customWidth="1"/>
    <col min="4" max="4" width="13" style="258" customWidth="1"/>
    <col min="5" max="5" width="13.7109375" style="258" customWidth="1"/>
    <col min="6" max="6" width="15.7109375" style="258" customWidth="1"/>
    <col min="7" max="7" width="12.140625" style="258" customWidth="1"/>
    <col min="8" max="16384" width="11.28515625" style="258"/>
  </cols>
  <sheetData>
    <row r="1" spans="1:8" x14ac:dyDescent="0.25">
      <c r="A1" s="1171" t="str">
        <f>'ETCA-I-01'!A1:G1</f>
        <v>TELEVISORA DE HERMOSILLO, S.A. DE C.V.</v>
      </c>
      <c r="B1" s="1171"/>
      <c r="C1" s="1171"/>
      <c r="D1" s="1171"/>
      <c r="E1" s="1171"/>
      <c r="F1" s="1171"/>
      <c r="G1" s="1171"/>
    </row>
    <row r="2" spans="1:8" s="259" customFormat="1" ht="15.75" x14ac:dyDescent="0.25">
      <c r="A2" s="1171" t="s">
        <v>499</v>
      </c>
      <c r="B2" s="1171"/>
      <c r="C2" s="1171"/>
      <c r="D2" s="1171"/>
      <c r="E2" s="1171"/>
      <c r="F2" s="1171"/>
      <c r="G2" s="1171"/>
    </row>
    <row r="3" spans="1:8" s="259" customFormat="1" ht="15.75" x14ac:dyDescent="0.25">
      <c r="A3" s="1171" t="s">
        <v>643</v>
      </c>
      <c r="B3" s="1171"/>
      <c r="C3" s="1171"/>
      <c r="D3" s="1171"/>
      <c r="E3" s="1171"/>
      <c r="F3" s="1171"/>
      <c r="G3" s="1171"/>
    </row>
    <row r="4" spans="1:8" s="259" customFormat="1" x14ac:dyDescent="0.25">
      <c r="A4" s="1172" t="str">
        <f>'ETCA-I-03'!A3:D3</f>
        <v>Del 01 de Enero al 30 de Septiembre de 2021</v>
      </c>
      <c r="B4" s="1172"/>
      <c r="C4" s="1172"/>
      <c r="D4" s="1172"/>
      <c r="E4" s="1172"/>
      <c r="F4" s="1172"/>
      <c r="G4" s="1172"/>
    </row>
    <row r="5" spans="1:8" s="260" customFormat="1" ht="17.25" thickBot="1" x14ac:dyDescent="0.3">
      <c r="A5" s="1304" t="s">
        <v>1036</v>
      </c>
      <c r="B5" s="1304"/>
      <c r="C5" s="1304"/>
      <c r="D5" s="1304"/>
      <c r="E5" s="1304"/>
      <c r="F5" s="150"/>
      <c r="G5" s="727"/>
    </row>
    <row r="6" spans="1:8" s="261" customFormat="1" ht="38.25" x14ac:dyDescent="0.25">
      <c r="A6" s="1236" t="s">
        <v>246</v>
      </c>
      <c r="B6" s="182" t="s">
        <v>502</v>
      </c>
      <c r="C6" s="182" t="s">
        <v>432</v>
      </c>
      <c r="D6" s="182" t="s">
        <v>503</v>
      </c>
      <c r="E6" s="183" t="s">
        <v>504</v>
      </c>
      <c r="F6" s="183" t="s">
        <v>505</v>
      </c>
      <c r="G6" s="184" t="s">
        <v>506</v>
      </c>
    </row>
    <row r="7" spans="1:8" s="262" customFormat="1" ht="15.75" customHeight="1" thickBot="1" x14ac:dyDescent="0.3">
      <c r="A7" s="1240"/>
      <c r="B7" s="186" t="s">
        <v>412</v>
      </c>
      <c r="C7" s="186" t="s">
        <v>413</v>
      </c>
      <c r="D7" s="186" t="s">
        <v>507</v>
      </c>
      <c r="E7" s="186" t="s">
        <v>415</v>
      </c>
      <c r="F7" s="186" t="s">
        <v>416</v>
      </c>
      <c r="G7" s="188" t="s">
        <v>508</v>
      </c>
    </row>
    <row r="8" spans="1:8" ht="21.75" customHeight="1" x14ac:dyDescent="0.25">
      <c r="A8" s="267" t="s">
        <v>644</v>
      </c>
      <c r="B8" s="435">
        <f>+'ETCA-II-13'!C9+'ETCA-II-13'!C48+'ETCA-II-13'!C69</f>
        <v>89043736</v>
      </c>
      <c r="C8" s="435">
        <f>+'ETCA-II-13'!D9+'ETCA-II-13'!D48+'ETCA-II-13'!D69+'ETCA-II-13'!D121</f>
        <v>0</v>
      </c>
      <c r="D8" s="436">
        <f>C8+B8</f>
        <v>89043736</v>
      </c>
      <c r="E8" s="435">
        <f>+'ETCA-II-13'!F9+'ETCA-II-13'!F48+'ETCA-II-13'!F69+'ETCA-II-13'!F121+1</f>
        <v>59414698</v>
      </c>
      <c r="F8" s="435">
        <f>+'ETCA-II-13'!G9+'ETCA-II-13'!G48+'ETCA-II-13'!G69+'ETCA-II-13'!G121</f>
        <v>51013240</v>
      </c>
      <c r="G8" s="437">
        <f>D8-E8</f>
        <v>29629038</v>
      </c>
    </row>
    <row r="9" spans="1:8" ht="22.5" customHeight="1" x14ac:dyDescent="0.25">
      <c r="A9" s="267" t="s">
        <v>645</v>
      </c>
      <c r="B9" s="435"/>
      <c r="C9" s="435"/>
      <c r="D9" s="436">
        <f>C9+B9</f>
        <v>0</v>
      </c>
      <c r="E9" s="435"/>
      <c r="F9" s="435"/>
      <c r="G9" s="437">
        <f>D9-E9</f>
        <v>0</v>
      </c>
    </row>
    <row r="10" spans="1:8" ht="22.5" customHeight="1" x14ac:dyDescent="0.25">
      <c r="A10" s="267" t="s">
        <v>646</v>
      </c>
      <c r="B10" s="435">
        <f>+'ETCA-II-13'!C130</f>
        <v>14500000</v>
      </c>
      <c r="C10" s="435">
        <f>+'ETCA-II-13'!D130</f>
        <v>0</v>
      </c>
      <c r="D10" s="436">
        <f>C10+B10</f>
        <v>14500000</v>
      </c>
      <c r="E10" s="435">
        <f>+'ETCA-II-13'!F130</f>
        <v>9499193</v>
      </c>
      <c r="F10" s="435">
        <f>+'ETCA-II-13'!G130</f>
        <v>9499193</v>
      </c>
      <c r="G10" s="437">
        <f>D10-E10</f>
        <v>5000807</v>
      </c>
    </row>
    <row r="11" spans="1:8" ht="23.25" customHeight="1" x14ac:dyDescent="0.25">
      <c r="A11" s="267" t="s">
        <v>219</v>
      </c>
      <c r="B11" s="435">
        <v>0</v>
      </c>
      <c r="C11" s="435">
        <v>0</v>
      </c>
      <c r="D11" s="436">
        <f>C11+B11</f>
        <v>0</v>
      </c>
      <c r="E11" s="435">
        <v>0</v>
      </c>
      <c r="F11" s="435">
        <v>0</v>
      </c>
      <c r="G11" s="437">
        <f>D11-E11</f>
        <v>0</v>
      </c>
    </row>
    <row r="12" spans="1:8" ht="22.5" customHeight="1" x14ac:dyDescent="0.25">
      <c r="A12" s="267" t="s">
        <v>225</v>
      </c>
      <c r="B12" s="435">
        <v>0</v>
      </c>
      <c r="C12" s="435">
        <v>0</v>
      </c>
      <c r="D12" s="436">
        <f>C12+B12</f>
        <v>0</v>
      </c>
      <c r="E12" s="435">
        <v>0</v>
      </c>
      <c r="F12" s="435">
        <v>0</v>
      </c>
      <c r="G12" s="437">
        <f>D12-E12</f>
        <v>0</v>
      </c>
    </row>
    <row r="13" spans="1:8" ht="10.5" customHeight="1" thickBot="1" x14ac:dyDescent="0.3">
      <c r="A13" s="268"/>
      <c r="B13" s="492"/>
      <c r="C13" s="492"/>
      <c r="D13" s="493"/>
      <c r="E13" s="492"/>
      <c r="F13" s="492"/>
      <c r="G13" s="494"/>
    </row>
    <row r="14" spans="1:8" ht="16.5" customHeight="1" thickBot="1" x14ac:dyDescent="0.3">
      <c r="A14" s="740" t="s">
        <v>558</v>
      </c>
      <c r="B14" s="495">
        <f>SUM(B8:B13)</f>
        <v>103543736</v>
      </c>
      <c r="C14" s="495">
        <f>SUM(C8:C13)</f>
        <v>0</v>
      </c>
      <c r="D14" s="496">
        <f>C14+B14</f>
        <v>103543736</v>
      </c>
      <c r="E14" s="495">
        <f>SUM(E8:E13)-1</f>
        <v>68913890</v>
      </c>
      <c r="F14" s="495">
        <f>SUM(F8:F13)</f>
        <v>60512433</v>
      </c>
      <c r="G14" s="498">
        <f>D14-E14+1</f>
        <v>34629847</v>
      </c>
      <c r="H14" s="485" t="str">
        <f>IF((B14-'ETCA II-04'!B80)&gt;0.9,"ERROR!!!!! EL MONTO NO COINCIDE CON LO REPORTADO EN EL FORMATO ETCA-II-04 EN EL TOTAL APROBADO ANUAL DEL ANALÍTICO DE EGRESOS","")</f>
        <v/>
      </c>
    </row>
    <row r="15" spans="1:8" ht="16.5" customHeight="1" x14ac:dyDescent="0.25">
      <c r="A15" s="467"/>
      <c r="B15" s="557"/>
      <c r="C15" s="557"/>
      <c r="D15" s="558"/>
      <c r="E15" s="557"/>
      <c r="F15" s="557"/>
      <c r="G15" s="557"/>
      <c r="H15" s="485" t="str">
        <f>IF((C14-'ETCA II-04'!C80)&gt;0.9,"ERROR!!!!! EL MONTO NO COINCIDE CON LO REPORTADO EN EL FORMATO ETCA-II-04 EN EL TOTAL DE AMPLIACIONES/REDUCCIONES ANUAL DEL ANALÍTICO DE EGRESOS","")</f>
        <v/>
      </c>
    </row>
    <row r="16" spans="1:8" ht="16.5" customHeight="1" x14ac:dyDescent="0.25">
      <c r="A16" s="467"/>
      <c r="B16" s="557"/>
      <c r="C16" s="557"/>
      <c r="D16" s="558"/>
      <c r="E16" s="557"/>
      <c r="F16" s="557"/>
      <c r="G16" s="557"/>
      <c r="H16" s="485" t="str">
        <f>IF((D14-'ETCA II-04'!D80)&gt;0.9,"ERROR!!!!! EL MONTO NO COINCIDE CON LO REPORTADO EN EL FORMATO ETCA-II-04 EN EL TOTAL MODIFICADO ANUAL DEL ANALÍTICO DE EGRESOS","")</f>
        <v/>
      </c>
    </row>
    <row r="17" spans="1:8" ht="16.5" customHeight="1" x14ac:dyDescent="0.25">
      <c r="A17" s="467"/>
      <c r="B17" s="557"/>
      <c r="C17" s="557"/>
      <c r="D17" s="558"/>
      <c r="E17" s="557"/>
      <c r="F17" s="557"/>
      <c r="G17" s="557"/>
      <c r="H17" s="485" t="str">
        <f>IF((E14-'ETCA II-04'!E80)&gt;0.9,"ERROR!!!!! EL MONTO NO COINCIDE CON LO REPORTADO EN EL FORMATO ETCA-II-04 EN EL TOTAL DEVENGADO ANUAL DEL ANALÍTICO DE EGRESOS","")</f>
        <v/>
      </c>
    </row>
    <row r="18" spans="1:8" ht="16.5" customHeight="1" x14ac:dyDescent="0.25">
      <c r="A18" s="467"/>
      <c r="B18" s="557"/>
      <c r="C18" s="557"/>
      <c r="D18" s="558"/>
      <c r="E18" s="557"/>
      <c r="F18" s="557"/>
      <c r="G18" s="557"/>
      <c r="H18" s="485" t="str">
        <f>IF((F14-'ETCA II-04'!F80)&gt;0.9,"ERROR!!!!! EL MONTO NO COINCIDE CON LO REPORTADO EN EL FORMATO ETCA-II-04 EN EL TOTAL PAGADO ANUAL DEL ANALÍTICO DE EGRESOS","")</f>
        <v/>
      </c>
    </row>
    <row r="19" spans="1:8" ht="16.5" customHeight="1" x14ac:dyDescent="0.25">
      <c r="A19" s="467"/>
      <c r="B19" s="557"/>
      <c r="C19" s="557"/>
      <c r="D19" s="558"/>
      <c r="E19" s="557"/>
      <c r="F19" s="557"/>
      <c r="G19" s="557"/>
      <c r="H19" s="485"/>
    </row>
    <row r="20" spans="1:8" ht="16.5" customHeight="1" x14ac:dyDescent="0.25">
      <c r="A20" s="467"/>
      <c r="B20" s="557"/>
      <c r="C20" s="557"/>
      <c r="D20" s="558"/>
      <c r="E20" s="557"/>
      <c r="F20" s="557"/>
      <c r="G20" s="557"/>
      <c r="H20" s="485"/>
    </row>
    <row r="21" spans="1:8" ht="16.5" customHeight="1" x14ac:dyDescent="0.25">
      <c r="A21" s="467"/>
      <c r="B21" s="557"/>
      <c r="C21" s="557"/>
      <c r="D21" s="558"/>
      <c r="E21" s="557"/>
      <c r="F21" s="557"/>
      <c r="G21" s="557"/>
      <c r="H21" s="485"/>
    </row>
    <row r="22" spans="1:8" ht="16.5" customHeight="1" x14ac:dyDescent="0.25">
      <c r="A22" s="467"/>
      <c r="B22" s="557"/>
      <c r="C22" s="557"/>
      <c r="D22" s="558"/>
      <c r="E22" s="557"/>
      <c r="F22" s="557"/>
      <c r="G22" s="557"/>
      <c r="H22" s="485"/>
    </row>
    <row r="23" spans="1:8" ht="16.5" customHeight="1" x14ac:dyDescent="0.25">
      <c r="A23" s="467"/>
      <c r="B23" s="557"/>
      <c r="C23" s="557"/>
      <c r="D23" s="558"/>
      <c r="E23" s="557"/>
      <c r="F23" s="557"/>
      <c r="G23" s="557"/>
      <c r="H23" s="485"/>
    </row>
    <row r="24" spans="1:8" ht="16.5" customHeight="1" x14ac:dyDescent="0.25">
      <c r="A24" s="467"/>
      <c r="B24" s="557"/>
      <c r="C24" s="557"/>
      <c r="D24" s="558"/>
      <c r="E24" s="557"/>
      <c r="F24" s="557"/>
      <c r="G24" s="557"/>
      <c r="H24" s="485"/>
    </row>
    <row r="25" spans="1:8" ht="18.75" customHeight="1" x14ac:dyDescent="0.25">
      <c r="H25" s="485" t="str">
        <f>IF(C14&lt;&gt;'ETCA II-04'!C80,"ERROR!!!!! EL MONTO NO COINCIDE CON LO REPORTADO EN EL FORMATO ETCA-II-11 EN EL TOTAL DE AMPLIACIONES/REDUCCIONES DEL ANALÍTICO DE EGRESOS","")</f>
        <v/>
      </c>
    </row>
    <row r="26" spans="1:8" s="264" customFormat="1" ht="15.75" x14ac:dyDescent="0.25">
      <c r="A26" s="1327" t="s">
        <v>647</v>
      </c>
      <c r="B26" s="1327"/>
      <c r="C26" s="1327"/>
      <c r="D26" s="1327"/>
      <c r="E26" s="1327"/>
      <c r="F26" s="1327"/>
      <c r="G26" s="263"/>
      <c r="H26" s="485" t="str">
        <f>IF(D14&lt;&gt;'ETCA II-04'!D80,"ERROR!!!!! EL MONTO NO COINCIDE CON LO REPORTADO EN EL FORMATO ETCA-II-11 EN EL TOTAL MODIFICADO ANUAL DEL ANALÍTICO DE EGRESOS","")</f>
        <v/>
      </c>
    </row>
    <row r="27" spans="1:8" s="264" customFormat="1" ht="13.5" x14ac:dyDescent="0.25">
      <c r="A27" s="265" t="s">
        <v>648</v>
      </c>
      <c r="B27" s="263"/>
      <c r="C27" s="263"/>
      <c r="D27" s="263"/>
      <c r="E27" s="263"/>
      <c r="F27" s="263"/>
      <c r="G27" s="263"/>
      <c r="H27" s="485"/>
    </row>
    <row r="28" spans="1:8" s="264" customFormat="1" ht="28.5" customHeight="1" x14ac:dyDescent="0.25">
      <c r="A28" s="1326" t="s">
        <v>649</v>
      </c>
      <c r="B28" s="1326"/>
      <c r="C28" s="1326"/>
      <c r="D28" s="1326"/>
      <c r="E28" s="1326"/>
      <c r="F28" s="1326"/>
      <c r="G28" s="1326"/>
      <c r="H28" s="485" t="str">
        <f>IF(F14&lt;&gt;'ETCA II-04'!F80,"ERROR!!!!! EL MONTO NO COINCIDE CON LO REPORTADO EN EL FORMATO ETCA-II-11 EN EL TOTAL PAGADO ANUAL DEL ANALÍTICO DE EGRESOS","")</f>
        <v/>
      </c>
    </row>
    <row r="29" spans="1:8" s="264" customFormat="1" ht="13.5" x14ac:dyDescent="0.25">
      <c r="A29" s="265" t="s">
        <v>650</v>
      </c>
      <c r="B29" s="263"/>
      <c r="C29" s="263"/>
      <c r="D29" s="263"/>
      <c r="E29" s="263"/>
      <c r="F29" s="263"/>
      <c r="G29" s="263"/>
      <c r="H29" s="485" t="str">
        <f>IF(G14&lt;&gt;'ETCA II-04'!G80,"ERROR!!!!! EL MONTO NO COINCIDE CON LO REPORTADO EN EL FORMATO ETCA-II-11 EN EL TOTAL DEL SUBEJERCICIO DEL ANALÍTICO DE EGRESOS","")</f>
        <v/>
      </c>
    </row>
    <row r="30" spans="1:8" s="264" customFormat="1" ht="25.5" customHeight="1" x14ac:dyDescent="0.25">
      <c r="A30" s="1326" t="s">
        <v>651</v>
      </c>
      <c r="B30" s="1326"/>
      <c r="C30" s="1326"/>
      <c r="D30" s="1326"/>
      <c r="E30" s="1326"/>
      <c r="F30" s="1326"/>
      <c r="G30" s="1326"/>
    </row>
    <row r="31" spans="1:8" s="264" customFormat="1" ht="13.5" x14ac:dyDescent="0.25">
      <c r="A31" s="1328" t="s">
        <v>652</v>
      </c>
      <c r="B31" s="1328"/>
      <c r="C31" s="1328"/>
      <c r="D31" s="1328"/>
      <c r="E31" s="263"/>
      <c r="F31" s="263"/>
      <c r="G31" s="263"/>
    </row>
    <row r="32" spans="1:8" s="264" customFormat="1" ht="13.5" customHeight="1" x14ac:dyDescent="0.25">
      <c r="A32" s="1326" t="s">
        <v>653</v>
      </c>
      <c r="B32" s="1326"/>
      <c r="C32" s="1326"/>
      <c r="D32" s="1326"/>
      <c r="E32" s="1326"/>
      <c r="F32" s="1326"/>
      <c r="G32" s="1326"/>
    </row>
    <row r="33" spans="1:7" s="264" customFormat="1" ht="13.5" x14ac:dyDescent="0.25">
      <c r="A33" s="265" t="s">
        <v>654</v>
      </c>
      <c r="B33" s="263"/>
      <c r="C33" s="263"/>
      <c r="D33" s="263"/>
      <c r="E33" s="263"/>
      <c r="F33" s="263"/>
      <c r="G33" s="263"/>
    </row>
    <row r="34" spans="1:7" s="264" customFormat="1" ht="13.5" customHeight="1" x14ac:dyDescent="0.25">
      <c r="A34" s="1326" t="s">
        <v>655</v>
      </c>
      <c r="B34" s="1326"/>
      <c r="C34" s="1326"/>
      <c r="D34" s="1326"/>
      <c r="E34" s="1326"/>
      <c r="F34" s="1326"/>
      <c r="G34" s="1326"/>
    </row>
    <row r="35" spans="1:7" s="264" customFormat="1" ht="13.5" x14ac:dyDescent="0.25">
      <c r="A35" s="266" t="s">
        <v>656</v>
      </c>
      <c r="B35" s="263"/>
      <c r="C35" s="263"/>
      <c r="D35" s="263"/>
      <c r="E35" s="263"/>
      <c r="F35" s="263"/>
      <c r="G35" s="263"/>
    </row>
    <row r="36" spans="1:7" s="264" customFormat="1" ht="13.5" x14ac:dyDescent="0.25">
      <c r="A36" s="265" t="s">
        <v>657</v>
      </c>
      <c r="B36" s="263"/>
      <c r="C36" s="263"/>
      <c r="D36" s="263"/>
      <c r="E36" s="263"/>
      <c r="F36" s="263"/>
      <c r="G36" s="263"/>
    </row>
    <row r="37" spans="1:7" s="264" customFormat="1" ht="13.5" customHeight="1" x14ac:dyDescent="0.25">
      <c r="A37" s="1326" t="s">
        <v>658</v>
      </c>
      <c r="B37" s="1326"/>
      <c r="C37" s="1326"/>
      <c r="D37" s="1326"/>
      <c r="E37" s="1326"/>
      <c r="F37" s="1326"/>
      <c r="G37" s="1326"/>
    </row>
    <row r="38" spans="1:7" s="264" customFormat="1" ht="13.5" x14ac:dyDescent="0.25">
      <c r="A38" s="266" t="s">
        <v>656</v>
      </c>
      <c r="B38" s="263"/>
      <c r="C38" s="263"/>
      <c r="D38" s="263"/>
      <c r="E38" s="263"/>
      <c r="F38" s="263"/>
      <c r="G38" s="263"/>
    </row>
    <row r="39" spans="1:7" ht="8.25" customHeight="1" x14ac:dyDescent="0.25"/>
  </sheetData>
  <sheetProtection formatColumns="0" formatRows="0" insertHyperlinks="0"/>
  <mergeCells count="13">
    <mergeCell ref="A34:G34"/>
    <mergeCell ref="A37:G37"/>
    <mergeCell ref="A26:F26"/>
    <mergeCell ref="A28:G28"/>
    <mergeCell ref="A30:G30"/>
    <mergeCell ref="A31:D31"/>
    <mergeCell ref="A32:G32"/>
    <mergeCell ref="A6:A7"/>
    <mergeCell ref="A1:G1"/>
    <mergeCell ref="A2:G2"/>
    <mergeCell ref="A3:G3"/>
    <mergeCell ref="A4:G4"/>
    <mergeCell ref="A5:E5"/>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59"/>
  <sheetViews>
    <sheetView tabSelected="1" view="pageBreakPreview" zoomScale="110" zoomScaleNormal="100" zoomScaleSheetLayoutView="110" workbookViewId="0">
      <selection activeCell="D37" sqref="D37"/>
    </sheetView>
  </sheetViews>
  <sheetFormatPr baseColWidth="10" defaultColWidth="11.28515625" defaultRowHeight="16.5" x14ac:dyDescent="0.3"/>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8" x14ac:dyDescent="0.3">
      <c r="A1" s="1144" t="s">
        <v>1088</v>
      </c>
      <c r="B1" s="1144"/>
      <c r="C1" s="1144"/>
      <c r="D1" s="1144"/>
      <c r="E1" s="1144"/>
      <c r="F1" s="1144"/>
      <c r="G1" s="1144"/>
    </row>
    <row r="2" spans="1:8" x14ac:dyDescent="0.3">
      <c r="A2" s="1144" t="s">
        <v>22</v>
      </c>
      <c r="B2" s="1144"/>
      <c r="C2" s="1144"/>
      <c r="D2" s="1144"/>
      <c r="E2" s="1144"/>
      <c r="F2" s="1144"/>
      <c r="G2" s="1144"/>
    </row>
    <row r="3" spans="1:8" ht="17.25" thickBot="1" x14ac:dyDescent="0.35">
      <c r="A3" s="1145" t="s">
        <v>2204</v>
      </c>
      <c r="B3" s="1145"/>
      <c r="C3" s="1145"/>
      <c r="D3" s="1145"/>
      <c r="E3" s="1145"/>
      <c r="F3" s="1145"/>
      <c r="G3" s="1145"/>
      <c r="H3" s="48">
        <v>7</v>
      </c>
    </row>
    <row r="4" spans="1:8" ht="24" customHeight="1" thickBot="1" x14ac:dyDescent="0.35">
      <c r="A4" s="93" t="s">
        <v>23</v>
      </c>
      <c r="B4" s="792">
        <v>2021</v>
      </c>
      <c r="C4" s="792">
        <v>2020</v>
      </c>
      <c r="D4" s="115" t="s">
        <v>24</v>
      </c>
      <c r="E4" s="115"/>
      <c r="F4" s="792">
        <v>2021</v>
      </c>
      <c r="G4" s="793">
        <v>2020</v>
      </c>
    </row>
    <row r="5" spans="1:8" ht="17.25" thickTop="1" x14ac:dyDescent="0.3">
      <c r="A5" s="51"/>
      <c r="B5" s="52"/>
      <c r="C5" s="52"/>
      <c r="D5" s="52"/>
      <c r="E5" s="52"/>
      <c r="F5" s="52"/>
      <c r="G5" s="1004"/>
    </row>
    <row r="6" spans="1:8" x14ac:dyDescent="0.3">
      <c r="A6" s="53" t="s">
        <v>25</v>
      </c>
      <c r="B6" s="54"/>
      <c r="C6" s="54"/>
      <c r="D6" s="56" t="s">
        <v>26</v>
      </c>
      <c r="E6" s="56"/>
      <c r="F6" s="54"/>
      <c r="G6" s="57"/>
    </row>
    <row r="7" spans="1:8" x14ac:dyDescent="0.3">
      <c r="A7" s="58" t="s">
        <v>27</v>
      </c>
      <c r="B7" s="59">
        <v>4155531</v>
      </c>
      <c r="C7" s="59">
        <v>3210455</v>
      </c>
      <c r="D7" s="1143" t="s">
        <v>28</v>
      </c>
      <c r="E7" s="1143"/>
      <c r="F7" s="59">
        <v>92101778</v>
      </c>
      <c r="G7" s="61">
        <v>53923430</v>
      </c>
    </row>
    <row r="8" spans="1:8" x14ac:dyDescent="0.3">
      <c r="A8" s="58" t="s">
        <v>29</v>
      </c>
      <c r="B8" s="59">
        <v>17427865</v>
      </c>
      <c r="C8" s="59">
        <v>17719921</v>
      </c>
      <c r="D8" s="1143" t="s">
        <v>30</v>
      </c>
      <c r="E8" s="1143"/>
      <c r="F8" s="59">
        <v>0</v>
      </c>
      <c r="G8" s="61">
        <v>1885118</v>
      </c>
    </row>
    <row r="9" spans="1:8" x14ac:dyDescent="0.3">
      <c r="A9" s="58" t="s">
        <v>31</v>
      </c>
      <c r="B9" s="59">
        <v>75977</v>
      </c>
      <c r="C9" s="59">
        <v>84133</v>
      </c>
      <c r="D9" s="1143" t="s">
        <v>32</v>
      </c>
      <c r="E9" s="1143"/>
      <c r="F9" s="59">
        <v>2499996</v>
      </c>
      <c r="G9" s="61">
        <v>0</v>
      </c>
    </row>
    <row r="10" spans="1:8" x14ac:dyDescent="0.3">
      <c r="A10" s="58" t="s">
        <v>33</v>
      </c>
      <c r="B10" s="59">
        <v>0</v>
      </c>
      <c r="C10" s="59">
        <v>0</v>
      </c>
      <c r="D10" s="1143" t="s">
        <v>34</v>
      </c>
      <c r="E10" s="1143"/>
      <c r="F10" s="59">
        <v>0</v>
      </c>
      <c r="G10" s="61">
        <v>0</v>
      </c>
    </row>
    <row r="11" spans="1:8" x14ac:dyDescent="0.3">
      <c r="A11" s="58" t="s">
        <v>35</v>
      </c>
      <c r="B11" s="59" t="s">
        <v>244</v>
      </c>
      <c r="C11" s="59" t="s">
        <v>244</v>
      </c>
      <c r="D11" s="1143" t="s">
        <v>36</v>
      </c>
      <c r="E11" s="1143"/>
      <c r="F11" s="59">
        <v>0</v>
      </c>
      <c r="G11" s="61">
        <v>0</v>
      </c>
    </row>
    <row r="12" spans="1:8" ht="33" customHeight="1" x14ac:dyDescent="0.3">
      <c r="A12" s="500" t="s">
        <v>37</v>
      </c>
      <c r="B12" s="59">
        <v>-5144119</v>
      </c>
      <c r="C12" s="59">
        <v>-5219307</v>
      </c>
      <c r="D12" s="1143" t="s">
        <v>38</v>
      </c>
      <c r="E12" s="1143"/>
      <c r="F12" s="59">
        <v>0</v>
      </c>
      <c r="G12" s="61">
        <v>0</v>
      </c>
    </row>
    <row r="13" spans="1:8" x14ac:dyDescent="0.3">
      <c r="A13" s="58" t="s">
        <v>39</v>
      </c>
      <c r="B13" s="59">
        <v>0</v>
      </c>
      <c r="C13" s="59">
        <v>0</v>
      </c>
      <c r="D13" s="1143" t="s">
        <v>40</v>
      </c>
      <c r="E13" s="1143"/>
      <c r="F13" s="59">
        <v>0</v>
      </c>
      <c r="G13" s="61">
        <v>0</v>
      </c>
    </row>
    <row r="14" spans="1:8" x14ac:dyDescent="0.3">
      <c r="A14" s="63"/>
      <c r="B14" s="59"/>
      <c r="C14" s="59"/>
      <c r="D14" s="1143" t="s">
        <v>41</v>
      </c>
      <c r="E14" s="1143"/>
      <c r="F14" s="59">
        <v>0</v>
      </c>
      <c r="G14" s="61">
        <v>0</v>
      </c>
    </row>
    <row r="15" spans="1:8" x14ac:dyDescent="0.3">
      <c r="A15" s="63"/>
      <c r="B15" s="64"/>
      <c r="C15" s="64"/>
      <c r="D15" s="55"/>
      <c r="E15" s="55"/>
      <c r="F15" s="59"/>
      <c r="G15" s="61"/>
    </row>
    <row r="16" spans="1:8" x14ac:dyDescent="0.3">
      <c r="A16" s="96" t="s">
        <v>42</v>
      </c>
      <c r="B16" s="46">
        <f>SUM(B7:B15)+1</f>
        <v>16515255</v>
      </c>
      <c r="C16" s="46">
        <f>SUM(C7:C15)</f>
        <v>15795202</v>
      </c>
      <c r="D16" s="97" t="s">
        <v>43</v>
      </c>
      <c r="E16" s="97"/>
      <c r="F16" s="46">
        <f>SUM(F7:F15)</f>
        <v>94601774</v>
      </c>
      <c r="G16" s="86">
        <f>SUM(G7:G15)</f>
        <v>55808548</v>
      </c>
    </row>
    <row r="17" spans="1:7" x14ac:dyDescent="0.3">
      <c r="A17" s="63"/>
      <c r="B17" s="65"/>
      <c r="C17" s="65"/>
      <c r="D17" s="66"/>
      <c r="E17" s="66"/>
      <c r="F17" s="65"/>
      <c r="G17" s="67"/>
    </row>
    <row r="18" spans="1:7" x14ac:dyDescent="0.3">
      <c r="A18" s="53" t="s">
        <v>44</v>
      </c>
      <c r="B18" s="59"/>
      <c r="C18" s="59"/>
      <c r="D18" s="56" t="s">
        <v>45</v>
      </c>
      <c r="E18" s="56"/>
      <c r="F18" s="68"/>
      <c r="G18" s="69"/>
    </row>
    <row r="19" spans="1:7" x14ac:dyDescent="0.3">
      <c r="A19" s="58" t="s">
        <v>46</v>
      </c>
      <c r="B19" s="59">
        <v>0</v>
      </c>
      <c r="C19" s="59">
        <v>0</v>
      </c>
      <c r="D19" s="60" t="s">
        <v>47</v>
      </c>
      <c r="E19" s="60"/>
      <c r="F19" s="59">
        <v>0</v>
      </c>
      <c r="G19" s="61">
        <v>0</v>
      </c>
    </row>
    <row r="20" spans="1:7" x14ac:dyDescent="0.3">
      <c r="A20" s="62" t="s">
        <v>48</v>
      </c>
      <c r="B20" s="59">
        <v>0</v>
      </c>
      <c r="C20" s="59">
        <v>0</v>
      </c>
      <c r="D20" s="728" t="s">
        <v>49</v>
      </c>
      <c r="E20" s="728"/>
      <c r="F20" s="59">
        <v>0</v>
      </c>
      <c r="G20" s="61">
        <v>0</v>
      </c>
    </row>
    <row r="21" spans="1:7" ht="16.5" customHeight="1" x14ac:dyDescent="0.3">
      <c r="A21" s="499" t="s">
        <v>50</v>
      </c>
      <c r="B21" s="59">
        <v>21655591</v>
      </c>
      <c r="C21" s="59">
        <v>21655591</v>
      </c>
      <c r="D21" s="60" t="s">
        <v>51</v>
      </c>
      <c r="E21" s="60"/>
      <c r="F21" s="59">
        <v>32500092</v>
      </c>
      <c r="G21" s="61">
        <v>42500076</v>
      </c>
    </row>
    <row r="22" spans="1:7" ht="16.5" customHeight="1" x14ac:dyDescent="0.3">
      <c r="A22" s="58" t="s">
        <v>52</v>
      </c>
      <c r="B22" s="59">
        <v>109304528</v>
      </c>
      <c r="C22" s="59">
        <v>109304528</v>
      </c>
      <c r="D22" s="60" t="s">
        <v>53</v>
      </c>
      <c r="E22" s="60"/>
      <c r="F22" s="59"/>
      <c r="G22" s="61"/>
    </row>
    <row r="23" spans="1:7" ht="33" customHeight="1" x14ac:dyDescent="0.3">
      <c r="A23" s="501" t="s">
        <v>54</v>
      </c>
      <c r="B23" s="59">
        <v>247385</v>
      </c>
      <c r="C23" s="59">
        <v>247385</v>
      </c>
      <c r="D23" s="1143" t="s">
        <v>55</v>
      </c>
      <c r="E23" s="1143"/>
      <c r="F23" s="59">
        <v>0</v>
      </c>
      <c r="G23" s="61">
        <v>0</v>
      </c>
    </row>
    <row r="24" spans="1:7" x14ac:dyDescent="0.3">
      <c r="A24" s="62" t="s">
        <v>56</v>
      </c>
      <c r="B24" s="59">
        <v>-97558730</v>
      </c>
      <c r="C24" s="59">
        <v>-91944464</v>
      </c>
      <c r="D24" s="60" t="s">
        <v>57</v>
      </c>
      <c r="E24" s="60"/>
      <c r="F24" s="59">
        <v>7619</v>
      </c>
      <c r="G24" s="61">
        <v>7619</v>
      </c>
    </row>
    <row r="25" spans="1:7" x14ac:dyDescent="0.3">
      <c r="A25" s="58" t="s">
        <v>58</v>
      </c>
      <c r="B25" s="59">
        <v>18469348</v>
      </c>
      <c r="C25" s="59">
        <v>12329513</v>
      </c>
      <c r="D25" s="60"/>
      <c r="E25" s="60"/>
      <c r="F25" s="59"/>
      <c r="G25" s="61"/>
    </row>
    <row r="26" spans="1:7" x14ac:dyDescent="0.3">
      <c r="A26" s="62" t="s">
        <v>59</v>
      </c>
      <c r="B26" s="59">
        <v>0</v>
      </c>
      <c r="C26" s="59">
        <v>0</v>
      </c>
      <c r="D26" s="70"/>
      <c r="E26" s="70"/>
      <c r="F26" s="59"/>
      <c r="G26" s="61"/>
    </row>
    <row r="27" spans="1:7" x14ac:dyDescent="0.3">
      <c r="A27" s="58" t="s">
        <v>60</v>
      </c>
      <c r="B27" s="59">
        <v>13624403</v>
      </c>
      <c r="C27" s="59">
        <v>13624403</v>
      </c>
      <c r="D27" s="70"/>
      <c r="E27" s="70"/>
      <c r="F27" s="68"/>
      <c r="G27" s="69"/>
    </row>
    <row r="28" spans="1:7" x14ac:dyDescent="0.3">
      <c r="A28" s="71"/>
      <c r="B28" s="59"/>
      <c r="C28" s="59"/>
      <c r="D28" s="70"/>
      <c r="E28" s="70"/>
      <c r="F28" s="68"/>
      <c r="G28" s="69"/>
    </row>
    <row r="29" spans="1:7" x14ac:dyDescent="0.3">
      <c r="A29" s="96" t="s">
        <v>61</v>
      </c>
      <c r="B29" s="46">
        <f>SUM(B19:B27)</f>
        <v>65742525</v>
      </c>
      <c r="C29" s="46">
        <f>SUM(C19:C27)-1</f>
        <v>65216955</v>
      </c>
      <c r="D29" s="98" t="s">
        <v>62</v>
      </c>
      <c r="E29" s="98"/>
      <c r="F29" s="46">
        <f>SUM(F19:F27)</f>
        <v>32507711</v>
      </c>
      <c r="G29" s="86">
        <f>SUM(G19:G27)</f>
        <v>42507695</v>
      </c>
    </row>
    <row r="30" spans="1:7" x14ac:dyDescent="0.3">
      <c r="A30" s="71"/>
      <c r="B30" s="59"/>
      <c r="C30" s="59"/>
      <c r="D30" s="70"/>
      <c r="E30" s="70"/>
      <c r="F30" s="64"/>
      <c r="G30" s="72"/>
    </row>
    <row r="31" spans="1:7" x14ac:dyDescent="0.3">
      <c r="A31" s="96" t="s">
        <v>63</v>
      </c>
      <c r="B31" s="46">
        <f>B29+B16-1</f>
        <v>82257779</v>
      </c>
      <c r="C31" s="46">
        <f>C29+C16</f>
        <v>81012157</v>
      </c>
      <c r="D31" s="98" t="s">
        <v>64</v>
      </c>
      <c r="E31" s="98"/>
      <c r="F31" s="46">
        <f>F29+F16</f>
        <v>127109485</v>
      </c>
      <c r="G31" s="86">
        <f>G29+G16</f>
        <v>98316243</v>
      </c>
    </row>
    <row r="32" spans="1:7" x14ac:dyDescent="0.3">
      <c r="A32" s="63"/>
      <c r="B32" s="73"/>
      <c r="C32" s="73"/>
      <c r="D32" s="70"/>
      <c r="E32" s="70"/>
      <c r="F32" s="68"/>
      <c r="G32" s="69"/>
    </row>
    <row r="33" spans="1:7" x14ac:dyDescent="0.3">
      <c r="A33" s="63"/>
      <c r="B33" s="59"/>
      <c r="C33" s="59"/>
      <c r="D33" s="74" t="s">
        <v>65</v>
      </c>
      <c r="E33" s="74"/>
      <c r="F33" s="64"/>
      <c r="G33" s="72"/>
    </row>
    <row r="34" spans="1:7" x14ac:dyDescent="0.3">
      <c r="A34" s="63"/>
      <c r="B34" s="64"/>
      <c r="C34" s="64"/>
      <c r="D34" s="98" t="s">
        <v>66</v>
      </c>
      <c r="E34" s="98"/>
      <c r="F34" s="87">
        <f>SUM(F35:F37)</f>
        <v>105494826</v>
      </c>
      <c r="G34" s="88">
        <f>SUM(G35:G37)</f>
        <v>90494826</v>
      </c>
    </row>
    <row r="35" spans="1:7" x14ac:dyDescent="0.3">
      <c r="A35" s="63"/>
      <c r="B35" s="64"/>
      <c r="C35" s="64"/>
      <c r="D35" s="60" t="s">
        <v>67</v>
      </c>
      <c r="E35" s="60"/>
      <c r="F35" s="59">
        <v>105494826</v>
      </c>
      <c r="G35" s="61">
        <v>90494826</v>
      </c>
    </row>
    <row r="36" spans="1:7" x14ac:dyDescent="0.3">
      <c r="A36" s="63"/>
      <c r="B36" s="64"/>
      <c r="C36" s="64"/>
      <c r="D36" s="60" t="s">
        <v>68</v>
      </c>
      <c r="E36" s="60"/>
      <c r="F36" s="59">
        <v>0</v>
      </c>
      <c r="G36" s="61">
        <v>0</v>
      </c>
    </row>
    <row r="37" spans="1:7" ht="33" x14ac:dyDescent="0.3">
      <c r="A37" s="63"/>
      <c r="B37" s="64"/>
      <c r="C37" s="64"/>
      <c r="D37" s="60" t="s">
        <v>69</v>
      </c>
      <c r="E37" s="60"/>
      <c r="F37" s="59"/>
      <c r="G37" s="61">
        <v>0</v>
      </c>
    </row>
    <row r="38" spans="1:7" x14ac:dyDescent="0.3">
      <c r="A38" s="71"/>
      <c r="B38" s="65"/>
      <c r="C38" s="65"/>
      <c r="D38" s="98" t="s">
        <v>70</v>
      </c>
      <c r="E38" s="98"/>
      <c r="F38" s="87">
        <f>SUM(F39:F43)-1</f>
        <v>-155422832</v>
      </c>
      <c r="G38" s="88">
        <f>SUM(G39:G43)-1</f>
        <v>-112875212</v>
      </c>
    </row>
    <row r="39" spans="1:7" x14ac:dyDescent="0.3">
      <c r="A39" s="71"/>
      <c r="B39" s="65"/>
      <c r="C39" s="65"/>
      <c r="D39" s="60" t="s">
        <v>71</v>
      </c>
      <c r="E39" s="60"/>
      <c r="F39" s="59">
        <v>-52212960</v>
      </c>
      <c r="G39" s="61">
        <v>-15495493</v>
      </c>
    </row>
    <row r="40" spans="1:7" x14ac:dyDescent="0.3">
      <c r="A40" s="71"/>
      <c r="B40" s="65"/>
      <c r="C40" s="65"/>
      <c r="D40" s="60" t="s">
        <v>72</v>
      </c>
      <c r="E40" s="60"/>
      <c r="F40" s="59">
        <v>-141174530</v>
      </c>
      <c r="G40" s="61">
        <v>-125679037</v>
      </c>
    </row>
    <row r="41" spans="1:7" x14ac:dyDescent="0.3">
      <c r="A41" s="63"/>
      <c r="B41" s="64"/>
      <c r="C41" s="64"/>
      <c r="D41" s="60" t="s">
        <v>73</v>
      </c>
      <c r="E41" s="60"/>
      <c r="F41" s="59">
        <v>28299319</v>
      </c>
      <c r="G41" s="61">
        <v>28299319</v>
      </c>
    </row>
    <row r="42" spans="1:7" x14ac:dyDescent="0.3">
      <c r="A42" s="63"/>
      <c r="B42" s="64"/>
      <c r="C42" s="64"/>
      <c r="D42" s="60" t="s">
        <v>74</v>
      </c>
      <c r="E42" s="60"/>
      <c r="F42" s="59" t="s">
        <v>244</v>
      </c>
      <c r="G42" s="61" t="s">
        <v>244</v>
      </c>
    </row>
    <row r="43" spans="1:7" ht="33" x14ac:dyDescent="0.3">
      <c r="A43" s="63"/>
      <c r="B43" s="64"/>
      <c r="C43" s="64"/>
      <c r="D43" s="60" t="s">
        <v>75</v>
      </c>
      <c r="E43" s="60"/>
      <c r="F43" s="59">
        <v>9665340</v>
      </c>
      <c r="G43" s="61">
        <v>0</v>
      </c>
    </row>
    <row r="44" spans="1:7" ht="33" x14ac:dyDescent="0.3">
      <c r="A44" s="63"/>
      <c r="B44" s="64"/>
      <c r="C44" s="64"/>
      <c r="D44" s="99" t="s">
        <v>76</v>
      </c>
      <c r="E44" s="99"/>
      <c r="F44" s="89">
        <f>SUM(F45:F46)</f>
        <v>5076300</v>
      </c>
      <c r="G44" s="90">
        <f>SUM(G45:G46)</f>
        <v>5076300</v>
      </c>
    </row>
    <row r="45" spans="1:7" x14ac:dyDescent="0.3">
      <c r="A45" s="58"/>
      <c r="B45" s="64"/>
      <c r="C45" s="64"/>
      <c r="D45" s="60" t="s">
        <v>77</v>
      </c>
      <c r="E45" s="60"/>
      <c r="F45" s="59"/>
      <c r="G45" s="61"/>
    </row>
    <row r="46" spans="1:7" ht="33" x14ac:dyDescent="0.3">
      <c r="A46" s="75"/>
      <c r="B46" s="76"/>
      <c r="C46" s="76"/>
      <c r="D46" s="60" t="s">
        <v>78</v>
      </c>
      <c r="E46" s="60"/>
      <c r="F46" s="59">
        <v>5076300</v>
      </c>
      <c r="G46" s="61">
        <v>5076300</v>
      </c>
    </row>
    <row r="47" spans="1:7" x14ac:dyDescent="0.3">
      <c r="A47" s="63"/>
      <c r="B47" s="76"/>
      <c r="C47" s="76"/>
      <c r="D47" s="77"/>
      <c r="E47" s="77"/>
      <c r="F47" s="76"/>
      <c r="G47" s="78"/>
    </row>
    <row r="48" spans="1:7" x14ac:dyDescent="0.3">
      <c r="A48" s="58"/>
      <c r="B48" s="76"/>
      <c r="C48" s="76"/>
      <c r="D48" s="98" t="s">
        <v>79</v>
      </c>
      <c r="E48" s="98"/>
      <c r="F48" s="91">
        <f>F44+F38+F34</f>
        <v>-44851706</v>
      </c>
      <c r="G48" s="92">
        <f>G44+G38+G34</f>
        <v>-17304086</v>
      </c>
    </row>
    <row r="49" spans="1:8" x14ac:dyDescent="0.3">
      <c r="A49" s="75"/>
      <c r="B49" s="76"/>
      <c r="C49" s="76"/>
      <c r="D49" s="66"/>
      <c r="E49" s="66"/>
      <c r="F49" s="79"/>
      <c r="G49" s="80"/>
    </row>
    <row r="50" spans="1:8" ht="33" x14ac:dyDescent="0.3">
      <c r="A50" s="63"/>
      <c r="D50" s="98" t="s">
        <v>80</v>
      </c>
      <c r="E50" s="98"/>
      <c r="F50" s="91">
        <f>F48+F31</f>
        <v>82257779</v>
      </c>
      <c r="G50" s="92">
        <f>G48+G31</f>
        <v>81012157</v>
      </c>
      <c r="H50" s="701" t="str">
        <f>IF($B$31=$F$50,"","VALOR INCORRECTO!! TOTAL DE ACTIVOS TIENE QUE SER IGUAL AL TOTAL DE LA SUMA DE PASIVO Y HACIENDA")</f>
        <v/>
      </c>
    </row>
    <row r="51" spans="1:8" ht="17.25" thickBot="1" x14ac:dyDescent="0.35">
      <c r="A51" s="81"/>
      <c r="B51" s="82"/>
      <c r="C51" s="82"/>
      <c r="D51" s="83"/>
      <c r="E51" s="83"/>
      <c r="F51" s="84"/>
      <c r="G51" s="85"/>
      <c r="H51" s="701" t="str">
        <f>IF($C$31=$G$50,"","VALOR INCORRECTO!! TOTAL DE ACTIVOS TIENE QUE SER IGUAL AL TOTAL DE LA SUMA DE PASIVO Y HCIENDA")</f>
        <v/>
      </c>
    </row>
    <row r="52" spans="1:8" x14ac:dyDescent="0.3">
      <c r="A52" s="48" t="s">
        <v>81</v>
      </c>
      <c r="B52" s="462"/>
      <c r="C52" s="462"/>
      <c r="D52" s="50"/>
      <c r="E52" s="50"/>
      <c r="F52" s="463"/>
      <c r="G52" s="463"/>
      <c r="H52" s="701"/>
    </row>
    <row r="53" spans="1:8" x14ac:dyDescent="0.3">
      <c r="B53" s="462"/>
      <c r="C53" s="462"/>
      <c r="D53" s="50"/>
      <c r="E53" s="50"/>
      <c r="F53" s="463"/>
      <c r="G53" s="463"/>
      <c r="H53" s="701"/>
    </row>
    <row r="54" spans="1:8" x14ac:dyDescent="0.3">
      <c r="A54" s="50"/>
      <c r="B54" s="462"/>
      <c r="C54" s="462"/>
      <c r="D54" s="50"/>
      <c r="E54" s="50"/>
      <c r="F54" s="463"/>
      <c r="G54" s="463"/>
      <c r="H54" s="701"/>
    </row>
    <row r="55" spans="1:8" x14ac:dyDescent="0.3">
      <c r="A55" s="50"/>
      <c r="B55" s="462"/>
      <c r="C55" s="462"/>
      <c r="D55" s="50"/>
      <c r="E55" s="50"/>
      <c r="F55" s="463"/>
      <c r="G55" s="463"/>
      <c r="H55" s="701"/>
    </row>
    <row r="56" spans="1:8" x14ac:dyDescent="0.3">
      <c r="A56" s="50"/>
      <c r="B56" s="462"/>
      <c r="C56" s="462"/>
      <c r="D56" s="50"/>
      <c r="E56" s="50"/>
      <c r="F56" s="463"/>
      <c r="G56" s="463"/>
      <c r="H56" s="701"/>
    </row>
    <row r="59" spans="1:8" x14ac:dyDescent="0.3">
      <c r="B59" s="94"/>
      <c r="C59" s="95" t="s">
        <v>82</v>
      </c>
    </row>
  </sheetData>
  <sheetProtection formatColumns="0" formatRows="0" insertHyperlinks="0"/>
  <mergeCells count="12">
    <mergeCell ref="D11:E11"/>
    <mergeCell ref="D12:E12"/>
    <mergeCell ref="D13:E13"/>
    <mergeCell ref="D14:E14"/>
    <mergeCell ref="D23:E23"/>
    <mergeCell ref="D7:E7"/>
    <mergeCell ref="D8:E8"/>
    <mergeCell ref="D9:E9"/>
    <mergeCell ref="D10:E10"/>
    <mergeCell ref="A1:G1"/>
    <mergeCell ref="A2:G2"/>
    <mergeCell ref="A3:G3"/>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view="pageBreakPreview" zoomScale="115" zoomScaleNormal="100" zoomScaleSheetLayoutView="115" workbookViewId="0">
      <selection activeCell="G31" sqref="G31"/>
    </sheetView>
  </sheetViews>
  <sheetFormatPr baseColWidth="10" defaultColWidth="11.28515625" defaultRowHeight="16.5" x14ac:dyDescent="0.25"/>
  <cols>
    <col min="1" max="1" width="39.85546875" style="258" customWidth="1"/>
    <col min="2" max="7" width="13.7109375" style="258" customWidth="1"/>
    <col min="8" max="16384" width="11.28515625" style="258"/>
  </cols>
  <sheetData>
    <row r="1" spans="1:7" x14ac:dyDescent="0.25">
      <c r="A1" s="1171" t="str">
        <f>'ETCA-I-01'!A1:G1</f>
        <v>TELEVISORA DE HERMOSILLO, S.A. DE C.V.</v>
      </c>
      <c r="B1" s="1171"/>
      <c r="C1" s="1171"/>
      <c r="D1" s="1171"/>
      <c r="E1" s="1171"/>
      <c r="F1" s="1171"/>
      <c r="G1" s="1171"/>
    </row>
    <row r="2" spans="1:7" s="260" customFormat="1" x14ac:dyDescent="0.25">
      <c r="A2" s="1171" t="s">
        <v>499</v>
      </c>
      <c r="B2" s="1171"/>
      <c r="C2" s="1171"/>
      <c r="D2" s="1171"/>
      <c r="E2" s="1171"/>
      <c r="F2" s="1171"/>
      <c r="G2" s="1171"/>
    </row>
    <row r="3" spans="1:7" s="260" customFormat="1" x14ac:dyDescent="0.25">
      <c r="A3" s="1171" t="s">
        <v>659</v>
      </c>
      <c r="B3" s="1171"/>
      <c r="C3" s="1171"/>
      <c r="D3" s="1171"/>
      <c r="E3" s="1171"/>
      <c r="F3" s="1171"/>
      <c r="G3" s="1171"/>
    </row>
    <row r="4" spans="1:7" s="260" customFormat="1" x14ac:dyDescent="0.25">
      <c r="A4" s="1172" t="str">
        <f>'ETCA-I-03'!A3:D3</f>
        <v>Del 01 de Enero al 30 de Septiembre de 2021</v>
      </c>
      <c r="B4" s="1172"/>
      <c r="C4" s="1172"/>
      <c r="D4" s="1172"/>
      <c r="E4" s="1172"/>
      <c r="F4" s="1172"/>
      <c r="G4" s="1172"/>
    </row>
    <row r="5" spans="1:7" s="260" customFormat="1" ht="17.25" thickBot="1" x14ac:dyDescent="0.3">
      <c r="A5" s="1304" t="s">
        <v>1037</v>
      </c>
      <c r="B5" s="1304"/>
      <c r="C5" s="1304"/>
      <c r="D5" s="1304"/>
      <c r="E5" s="1304"/>
      <c r="F5" s="150"/>
      <c r="G5" s="727"/>
    </row>
    <row r="6" spans="1:7" s="269" customFormat="1" ht="38.25" x14ac:dyDescent="0.25">
      <c r="A6" s="1329" t="s">
        <v>659</v>
      </c>
      <c r="B6" s="182" t="s">
        <v>502</v>
      </c>
      <c r="C6" s="182" t="s">
        <v>432</v>
      </c>
      <c r="D6" s="182" t="s">
        <v>503</v>
      </c>
      <c r="E6" s="183" t="s">
        <v>504</v>
      </c>
      <c r="F6" s="183" t="s">
        <v>505</v>
      </c>
      <c r="G6" s="184" t="s">
        <v>506</v>
      </c>
    </row>
    <row r="7" spans="1:7" s="272" customFormat="1" ht="17.25" thickBot="1" x14ac:dyDescent="0.3">
      <c r="A7" s="1330"/>
      <c r="B7" s="270" t="s">
        <v>412</v>
      </c>
      <c r="C7" s="270" t="s">
        <v>413</v>
      </c>
      <c r="D7" s="270" t="s">
        <v>507</v>
      </c>
      <c r="E7" s="270" t="s">
        <v>415</v>
      </c>
      <c r="F7" s="270" t="s">
        <v>416</v>
      </c>
      <c r="G7" s="271" t="s">
        <v>508</v>
      </c>
    </row>
    <row r="8" spans="1:7" ht="21" customHeight="1" x14ac:dyDescent="0.25">
      <c r="A8" s="273" t="s">
        <v>1261</v>
      </c>
      <c r="B8" s="435">
        <v>9135094</v>
      </c>
      <c r="C8" s="435">
        <v>128206</v>
      </c>
      <c r="D8" s="435">
        <f>IF($A8="","",B8+C8)</f>
        <v>9263300</v>
      </c>
      <c r="E8" s="435">
        <v>5995999</v>
      </c>
      <c r="F8" s="435">
        <v>5248999</v>
      </c>
      <c r="G8" s="488">
        <f>IF($A8="","",D8-E8)</f>
        <v>3267301</v>
      </c>
    </row>
    <row r="9" spans="1:7" ht="21" customHeight="1" x14ac:dyDescent="0.25">
      <c r="A9" s="273" t="s">
        <v>1262</v>
      </c>
      <c r="B9" s="435">
        <v>21902020</v>
      </c>
      <c r="C9" s="435">
        <v>-84173</v>
      </c>
      <c r="D9" s="435">
        <f>IF($A9="","",B9+C9)+1</f>
        <v>21817848</v>
      </c>
      <c r="E9" s="435">
        <v>16187594</v>
      </c>
      <c r="F9" s="435">
        <v>13723956</v>
      </c>
      <c r="G9" s="488">
        <f t="shared" ref="G9:G30" si="0">IF($A9="","",D9-E9)</f>
        <v>5630254</v>
      </c>
    </row>
    <row r="10" spans="1:7" ht="21" customHeight="1" x14ac:dyDescent="0.25">
      <c r="A10" s="273" t="s">
        <v>1263</v>
      </c>
      <c r="B10" s="435">
        <v>3189537</v>
      </c>
      <c r="C10" s="435">
        <v>-27768</v>
      </c>
      <c r="D10" s="435">
        <f>IF($A10="","",B10+C10)-1</f>
        <v>3161768</v>
      </c>
      <c r="E10" s="435">
        <v>1829851</v>
      </c>
      <c r="F10" s="435">
        <v>1606847</v>
      </c>
      <c r="G10" s="488">
        <f>IF($A10="","",D10-E10)</f>
        <v>1331917</v>
      </c>
    </row>
    <row r="11" spans="1:7" ht="21" customHeight="1" x14ac:dyDescent="0.25">
      <c r="A11" s="273" t="s">
        <v>1264</v>
      </c>
      <c r="B11" s="435">
        <v>34310799</v>
      </c>
      <c r="C11" s="435">
        <v>-178848</v>
      </c>
      <c r="D11" s="435">
        <f t="shared" ref="D11:D30" si="1">IF($A11="","",B11+C11)</f>
        <v>34131951</v>
      </c>
      <c r="E11" s="435">
        <v>21498515</v>
      </c>
      <c r="F11" s="435">
        <v>20254350</v>
      </c>
      <c r="G11" s="488">
        <f>IF($A11="","",D11-E11)</f>
        <v>12633436</v>
      </c>
    </row>
    <row r="12" spans="1:7" ht="21" customHeight="1" x14ac:dyDescent="0.25">
      <c r="A12" s="273" t="s">
        <v>1265</v>
      </c>
      <c r="B12" s="435">
        <v>26762608</v>
      </c>
      <c r="C12" s="435">
        <v>-47151</v>
      </c>
      <c r="D12" s="435">
        <f t="shared" si="1"/>
        <v>26715457</v>
      </c>
      <c r="E12" s="435">
        <v>18589890</v>
      </c>
      <c r="F12" s="435">
        <v>15555367</v>
      </c>
      <c r="G12" s="488">
        <f>IF($A12="","",D12-E12)+1</f>
        <v>8125568</v>
      </c>
    </row>
    <row r="13" spans="1:7" ht="21" customHeight="1" x14ac:dyDescent="0.25">
      <c r="A13" s="273" t="s">
        <v>1266</v>
      </c>
      <c r="B13" s="435">
        <v>6615098</v>
      </c>
      <c r="C13" s="435">
        <v>134655</v>
      </c>
      <c r="D13" s="435">
        <f t="shared" si="1"/>
        <v>6749753</v>
      </c>
      <c r="E13" s="435">
        <v>3500607</v>
      </c>
      <c r="F13" s="435">
        <v>3006219</v>
      </c>
      <c r="G13" s="488">
        <f t="shared" si="0"/>
        <v>3249146</v>
      </c>
    </row>
    <row r="14" spans="1:7" ht="21" customHeight="1" x14ac:dyDescent="0.25">
      <c r="A14" s="273" t="s">
        <v>1267</v>
      </c>
      <c r="B14" s="435">
        <v>1628580</v>
      </c>
      <c r="C14" s="435">
        <v>75079</v>
      </c>
      <c r="D14" s="435">
        <f t="shared" si="1"/>
        <v>1703659</v>
      </c>
      <c r="E14" s="435">
        <v>1311434</v>
      </c>
      <c r="F14" s="435">
        <v>1116695</v>
      </c>
      <c r="G14" s="488">
        <f t="shared" si="0"/>
        <v>392225</v>
      </c>
    </row>
    <row r="15" spans="1:7" ht="21" customHeight="1" x14ac:dyDescent="0.25">
      <c r="A15" s="273"/>
      <c r="B15" s="435"/>
      <c r="C15" s="435"/>
      <c r="D15" s="435" t="str">
        <f t="shared" si="1"/>
        <v/>
      </c>
      <c r="E15" s="435"/>
      <c r="F15" s="435"/>
      <c r="G15" s="488" t="str">
        <f t="shared" si="0"/>
        <v/>
      </c>
    </row>
    <row r="16" spans="1:7" ht="21" customHeight="1" x14ac:dyDescent="0.25">
      <c r="A16" s="273"/>
      <c r="B16" s="435"/>
      <c r="C16" s="435"/>
      <c r="D16" s="435" t="str">
        <f t="shared" si="1"/>
        <v/>
      </c>
      <c r="E16" s="435"/>
      <c r="F16" s="435"/>
      <c r="G16" s="488" t="str">
        <f t="shared" si="0"/>
        <v/>
      </c>
    </row>
    <row r="17" spans="1:8" ht="21" customHeight="1" x14ac:dyDescent="0.25">
      <c r="A17" s="273"/>
      <c r="B17" s="435"/>
      <c r="C17" s="435"/>
      <c r="D17" s="435" t="str">
        <f t="shared" si="1"/>
        <v/>
      </c>
      <c r="E17" s="435"/>
      <c r="F17" s="435"/>
      <c r="G17" s="488" t="str">
        <f t="shared" si="0"/>
        <v/>
      </c>
    </row>
    <row r="18" spans="1:8" ht="21" customHeight="1" x14ac:dyDescent="0.25">
      <c r="A18" s="273"/>
      <c r="B18" s="435"/>
      <c r="C18" s="435"/>
      <c r="D18" s="435" t="str">
        <f t="shared" si="1"/>
        <v/>
      </c>
      <c r="E18" s="435"/>
      <c r="F18" s="435"/>
      <c r="G18" s="488" t="str">
        <f t="shared" si="0"/>
        <v/>
      </c>
    </row>
    <row r="19" spans="1:8" ht="21" customHeight="1" x14ac:dyDescent="0.25">
      <c r="A19" s="273"/>
      <c r="B19" s="435"/>
      <c r="C19" s="435"/>
      <c r="D19" s="435" t="str">
        <f t="shared" si="1"/>
        <v/>
      </c>
      <c r="E19" s="435"/>
      <c r="F19" s="435"/>
      <c r="G19" s="488" t="str">
        <f t="shared" si="0"/>
        <v/>
      </c>
    </row>
    <row r="20" spans="1:8" ht="21" customHeight="1" x14ac:dyDescent="0.25">
      <c r="A20" s="273"/>
      <c r="B20" s="435"/>
      <c r="C20" s="435"/>
      <c r="D20" s="435" t="str">
        <f t="shared" si="1"/>
        <v/>
      </c>
      <c r="E20" s="435"/>
      <c r="F20" s="435"/>
      <c r="G20" s="488" t="str">
        <f t="shared" si="0"/>
        <v/>
      </c>
    </row>
    <row r="21" spans="1:8" ht="21" customHeight="1" x14ac:dyDescent="0.25">
      <c r="A21" s="273"/>
      <c r="B21" s="435"/>
      <c r="C21" s="435"/>
      <c r="D21" s="435" t="str">
        <f t="shared" si="1"/>
        <v/>
      </c>
      <c r="E21" s="435"/>
      <c r="F21" s="435"/>
      <c r="G21" s="488" t="str">
        <f t="shared" si="0"/>
        <v/>
      </c>
    </row>
    <row r="22" spans="1:8" ht="21" customHeight="1" x14ac:dyDescent="0.25">
      <c r="A22" s="273"/>
      <c r="B22" s="435"/>
      <c r="C22" s="435"/>
      <c r="D22" s="435" t="str">
        <f t="shared" si="1"/>
        <v/>
      </c>
      <c r="E22" s="435"/>
      <c r="F22" s="435"/>
      <c r="G22" s="488" t="str">
        <f t="shared" si="0"/>
        <v/>
      </c>
    </row>
    <row r="23" spans="1:8" ht="21" customHeight="1" x14ac:dyDescent="0.25">
      <c r="A23" s="273"/>
      <c r="B23" s="435"/>
      <c r="C23" s="435"/>
      <c r="D23" s="435" t="str">
        <f t="shared" si="1"/>
        <v/>
      </c>
      <c r="E23" s="435"/>
      <c r="F23" s="435"/>
      <c r="G23" s="488" t="str">
        <f t="shared" si="0"/>
        <v/>
      </c>
    </row>
    <row r="24" spans="1:8" ht="21" customHeight="1" x14ac:dyDescent="0.25">
      <c r="A24" s="273"/>
      <c r="B24" s="435"/>
      <c r="C24" s="435"/>
      <c r="D24" s="435" t="str">
        <f t="shared" si="1"/>
        <v/>
      </c>
      <c r="E24" s="435"/>
      <c r="F24" s="435"/>
      <c r="G24" s="488" t="str">
        <f t="shared" si="0"/>
        <v/>
      </c>
    </row>
    <row r="25" spans="1:8" ht="21" customHeight="1" x14ac:dyDescent="0.25">
      <c r="A25" s="273"/>
      <c r="B25" s="435"/>
      <c r="C25" s="435"/>
      <c r="D25" s="435" t="str">
        <f t="shared" si="1"/>
        <v/>
      </c>
      <c r="E25" s="435"/>
      <c r="F25" s="435"/>
      <c r="G25" s="488" t="str">
        <f t="shared" si="0"/>
        <v/>
      </c>
    </row>
    <row r="26" spans="1:8" ht="21" customHeight="1" x14ac:dyDescent="0.25">
      <c r="A26" s="273"/>
      <c r="B26" s="435"/>
      <c r="C26" s="435"/>
      <c r="D26" s="435" t="str">
        <f t="shared" si="1"/>
        <v/>
      </c>
      <c r="E26" s="435"/>
      <c r="F26" s="435"/>
      <c r="G26" s="488" t="str">
        <f t="shared" si="0"/>
        <v/>
      </c>
    </row>
    <row r="27" spans="1:8" ht="21" customHeight="1" x14ac:dyDescent="0.25">
      <c r="A27" s="273"/>
      <c r="B27" s="435"/>
      <c r="C27" s="435"/>
      <c r="D27" s="435" t="str">
        <f t="shared" si="1"/>
        <v/>
      </c>
      <c r="E27" s="435"/>
      <c r="F27" s="435"/>
      <c r="G27" s="488" t="str">
        <f t="shared" si="0"/>
        <v/>
      </c>
    </row>
    <row r="28" spans="1:8" ht="21" customHeight="1" x14ac:dyDescent="0.25">
      <c r="A28" s="273"/>
      <c r="B28" s="435"/>
      <c r="C28" s="435"/>
      <c r="D28" s="435" t="str">
        <f t="shared" si="1"/>
        <v/>
      </c>
      <c r="E28" s="435"/>
      <c r="F28" s="435"/>
      <c r="G28" s="488" t="str">
        <f t="shared" si="0"/>
        <v/>
      </c>
    </row>
    <row r="29" spans="1:8" ht="21" customHeight="1" x14ac:dyDescent="0.25">
      <c r="A29" s="273"/>
      <c r="B29" s="435"/>
      <c r="C29" s="435"/>
      <c r="D29" s="435" t="str">
        <f t="shared" si="1"/>
        <v/>
      </c>
      <c r="E29" s="435"/>
      <c r="F29" s="435"/>
      <c r="G29" s="488" t="str">
        <f t="shared" si="0"/>
        <v/>
      </c>
    </row>
    <row r="30" spans="1:8" ht="21" customHeight="1" thickBot="1" x14ac:dyDescent="0.3">
      <c r="A30" s="273"/>
      <c r="B30" s="435"/>
      <c r="C30" s="435"/>
      <c r="D30" s="435" t="str">
        <f t="shared" si="1"/>
        <v/>
      </c>
      <c r="E30" s="435"/>
      <c r="F30" s="435"/>
      <c r="G30" s="488" t="str">
        <f t="shared" si="0"/>
        <v/>
      </c>
    </row>
    <row r="31" spans="1:8" ht="21" customHeight="1" thickBot="1" x14ac:dyDescent="0.3">
      <c r="A31" s="274" t="s">
        <v>558</v>
      </c>
      <c r="B31" s="429">
        <f>SUM(B8:B30)+1-1</f>
        <v>103543736</v>
      </c>
      <c r="C31" s="429">
        <f>SUM(C8:C30)</f>
        <v>0</v>
      </c>
      <c r="D31" s="429">
        <f>IF($A31="","",B31+C31)</f>
        <v>103543736</v>
      </c>
      <c r="E31" s="429">
        <f>SUM(E8:E30)</f>
        <v>68913890</v>
      </c>
      <c r="F31" s="429">
        <f>SUM(F8:F30)</f>
        <v>60512433</v>
      </c>
      <c r="G31" s="430">
        <f>IF($A31="","",D31-E31)+1</f>
        <v>34629847</v>
      </c>
      <c r="H31" s="261" t="str">
        <f>IF(($B$31-'ETCA II-04'!B80)&gt;0.9,"ERROR!!!!! EL MONTO NO COINCIDE CON LO REPORTADO EN EL FORMATO ETCA-II-04 EN EL TOTAL APROBADO ANUAL DEL ANALÍTICO DE EGRESOS","")</f>
        <v/>
      </c>
    </row>
    <row r="32" spans="1:8" x14ac:dyDescent="0.25">
      <c r="H32" s="261" t="str">
        <f>IF(($C$31-'ETCA II-04'!C80)&gt;0.9,"ERROR!!!!! EL MONTO NO COINCIDE CON LO REPORTADO EN EL FORMATO ETCA-II-04 EN EL TOTAL AMPLIACIONES/REDUCCIONES ANUAL DEL ANALÍTICO DE EGRESOS","")</f>
        <v/>
      </c>
    </row>
    <row r="33" spans="8:8" x14ac:dyDescent="0.25">
      <c r="H33" s="261" t="str">
        <f>IF(($D$31-'ETCA II-04'!D80)&gt;0.9,"ERROR!!!!! EL MONTO NO COINCIDE CON LO REPORTADO EN EL FORMATO ETCA-II-04 EN EL TOTAL MODIFICADO ANUAL DEL ANALÍTICO DE EGRESOS","")</f>
        <v/>
      </c>
    </row>
    <row r="34" spans="8:8" x14ac:dyDescent="0.25">
      <c r="H34" s="261" t="str">
        <f>IF(($E$31-'ETCA II-04'!E80)&gt;0.9,"ERROR!!!!! EL MONTO NO COINCIDE CON LO REPORTADO EN EL FORMATO ETCA-II-04 EN EL TOTAL DEVENGADO ANUAL DEL ANALÍTICO DE EGRESOS","")</f>
        <v/>
      </c>
    </row>
    <row r="35" spans="8:8" x14ac:dyDescent="0.25">
      <c r="H35" s="261" t="str">
        <f>IF(($F$31-'ETCA II-04'!F80)&gt;0.9,"ERROR!!!!! EL MONTO NO COINCIDE CON LO REPORTADO EN EL FORMATO ETCA-II-04 EN EL TOTAL PAGADO ANUAL DEL ANALÍTICO DE EGRESOS","")</f>
        <v/>
      </c>
    </row>
    <row r="36" spans="8:8" x14ac:dyDescent="0.25">
      <c r="H36" s="261" t="str">
        <f>IF(($G$31-'ETCA II-04'!G80)&gt;0.9,"ERROR!!!!! EL MONTO NO COINCIDE CON LO REPORTADO EN EL FORMATO ETCA-II-04 EN EL TOTAL APROBADO ANUAL DEL ANALÍTICO DE EGRESOS","")</f>
        <v/>
      </c>
    </row>
  </sheetData>
  <sheetProtection formatColumns="0" formatRows="0" insertRows="0" deleteColumns="0" deleteRows="0"/>
  <mergeCells count="6">
    <mergeCell ref="A6:A7"/>
    <mergeCell ref="A1:G1"/>
    <mergeCell ref="A2:G2"/>
    <mergeCell ref="A3:G3"/>
    <mergeCell ref="A4:G4"/>
    <mergeCell ref="A5:E5"/>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
  <sheetViews>
    <sheetView view="pageBreakPreview" topLeftCell="A7" zoomScaleNormal="100" zoomScaleSheetLayoutView="100" workbookViewId="0">
      <selection activeCell="E49" sqref="E49"/>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681" customFormat="1" ht="15.75" x14ac:dyDescent="0.2">
      <c r="A1" s="1336" t="str">
        <f>'ETCA-I-01'!A1:G1</f>
        <v>TELEVISORA DE HERMOSILLO, S.A. DE C.V.</v>
      </c>
      <c r="B1" s="1337"/>
      <c r="C1" s="1337"/>
      <c r="D1" s="1337"/>
      <c r="E1" s="1337"/>
      <c r="F1" s="1337"/>
      <c r="G1" s="1338"/>
    </row>
    <row r="2" spans="1:7" s="681" customFormat="1" ht="12.75" x14ac:dyDescent="0.2">
      <c r="A2" s="1339" t="s">
        <v>559</v>
      </c>
      <c r="B2" s="1340"/>
      <c r="C2" s="1340"/>
      <c r="D2" s="1340"/>
      <c r="E2" s="1340"/>
      <c r="F2" s="1340"/>
      <c r="G2" s="1341"/>
    </row>
    <row r="3" spans="1:7" s="681" customFormat="1" ht="12.75" x14ac:dyDescent="0.2">
      <c r="A3" s="1339" t="s">
        <v>660</v>
      </c>
      <c r="B3" s="1340"/>
      <c r="C3" s="1340"/>
      <c r="D3" s="1340"/>
      <c r="E3" s="1340"/>
      <c r="F3" s="1340"/>
      <c r="G3" s="1341"/>
    </row>
    <row r="4" spans="1:7" s="681" customFormat="1" ht="12.75" x14ac:dyDescent="0.2">
      <c r="A4" s="1339" t="str">
        <f>'ETCA-I-03'!A3:D3</f>
        <v>Del 01 de Enero al 30 de Septiembre de 2021</v>
      </c>
      <c r="B4" s="1340"/>
      <c r="C4" s="1340"/>
      <c r="D4" s="1340"/>
      <c r="E4" s="1340"/>
      <c r="F4" s="1340"/>
      <c r="G4" s="1341"/>
    </row>
    <row r="5" spans="1:7" s="681" customFormat="1" ht="20.25" customHeight="1" thickBot="1" x14ac:dyDescent="0.25">
      <c r="A5" s="1342" t="s">
        <v>84</v>
      </c>
      <c r="B5" s="1343"/>
      <c r="C5" s="1343"/>
      <c r="D5" s="1343"/>
      <c r="E5" s="1343"/>
      <c r="F5" s="1343"/>
      <c r="G5" s="1344"/>
    </row>
    <row r="6" spans="1:7" s="681" customFormat="1" ht="13.5" thickBot="1" x14ac:dyDescent="0.25">
      <c r="A6" s="1331" t="s">
        <v>85</v>
      </c>
      <c r="B6" s="1333" t="s">
        <v>561</v>
      </c>
      <c r="C6" s="1334"/>
      <c r="D6" s="1334"/>
      <c r="E6" s="1334"/>
      <c r="F6" s="1335"/>
      <c r="G6" s="1331" t="s">
        <v>562</v>
      </c>
    </row>
    <row r="7" spans="1:7" s="681" customFormat="1" ht="26.25" thickBot="1" x14ac:dyDescent="0.25">
      <c r="A7" s="1332"/>
      <c r="B7" s="741" t="s">
        <v>563</v>
      </c>
      <c r="C7" s="741" t="s">
        <v>432</v>
      </c>
      <c r="D7" s="741" t="s">
        <v>433</v>
      </c>
      <c r="E7" s="741" t="s">
        <v>434</v>
      </c>
      <c r="F7" s="741" t="s">
        <v>661</v>
      </c>
      <c r="G7" s="1332"/>
    </row>
    <row r="8" spans="1:7" s="491" customFormat="1" ht="12.75" x14ac:dyDescent="0.2">
      <c r="A8" s="576" t="s">
        <v>662</v>
      </c>
      <c r="B8" s="679"/>
      <c r="C8" s="679"/>
      <c r="D8" s="679"/>
      <c r="E8" s="679"/>
      <c r="F8" s="679"/>
      <c r="G8" s="679"/>
    </row>
    <row r="9" spans="1:7" s="491" customFormat="1" ht="12.75" x14ac:dyDescent="0.2">
      <c r="A9" s="576" t="s">
        <v>663</v>
      </c>
      <c r="B9" s="631">
        <f>SUM(B10:B17)</f>
        <v>103543736</v>
      </c>
      <c r="C9" s="631">
        <f>SUM(C10:C17)</f>
        <v>0</v>
      </c>
      <c r="D9" s="631">
        <f>SUM(D10:D17)</f>
        <v>103543736</v>
      </c>
      <c r="E9" s="631">
        <f>SUM(E10:E17)</f>
        <v>68913890</v>
      </c>
      <c r="F9" s="631">
        <f>SUM(F10:F17)</f>
        <v>60512433</v>
      </c>
      <c r="G9" s="631">
        <f>SUM(G10:G17)+1</f>
        <v>34629847</v>
      </c>
    </row>
    <row r="10" spans="1:7" s="491" customFormat="1" ht="12.75" x14ac:dyDescent="0.2">
      <c r="A10" s="577" t="str">
        <f>+'ETCA-II-07'!A8</f>
        <v>TECNICOS Y REPETIDORAS</v>
      </c>
      <c r="B10" s="902">
        <f>+'ETCA-II-07'!B8</f>
        <v>9135094</v>
      </c>
      <c r="C10" s="902">
        <f>+'ETCA-II-07'!C8</f>
        <v>128206</v>
      </c>
      <c r="D10" s="901">
        <f>B10+C10</f>
        <v>9263300</v>
      </c>
      <c r="E10" s="902">
        <f>+'ETCA-II-07'!E8</f>
        <v>5995999</v>
      </c>
      <c r="F10" s="902">
        <f>+'ETCA-II-07'!F8</f>
        <v>5248999</v>
      </c>
      <c r="G10" s="658">
        <f>+D10-E10</f>
        <v>3267301</v>
      </c>
    </row>
    <row r="11" spans="1:7" s="491" customFormat="1" ht="12.75" x14ac:dyDescent="0.2">
      <c r="A11" s="577" t="str">
        <f>+'ETCA-II-07'!A9</f>
        <v>NOTICIAS</v>
      </c>
      <c r="B11" s="902">
        <f>+'ETCA-II-07'!B9</f>
        <v>21902020</v>
      </c>
      <c r="C11" s="902">
        <f>+'ETCA-II-07'!C9</f>
        <v>-84173</v>
      </c>
      <c r="D11" s="901">
        <f t="shared" ref="D11:D16" si="0">B11+C11</f>
        <v>21817847</v>
      </c>
      <c r="E11" s="902">
        <f>+'ETCA-II-07'!E9</f>
        <v>16187594</v>
      </c>
      <c r="F11" s="902">
        <f>+'ETCA-II-07'!F9</f>
        <v>13723956</v>
      </c>
      <c r="G11" s="658">
        <f t="shared" ref="G11:G17" si="1">+D11-E11</f>
        <v>5630253</v>
      </c>
    </row>
    <row r="12" spans="1:7" s="491" customFormat="1" ht="12.75" x14ac:dyDescent="0.2">
      <c r="A12" s="577" t="str">
        <f>+'ETCA-II-07'!A10</f>
        <v>VENTAS</v>
      </c>
      <c r="B12" s="902">
        <f>+'ETCA-II-07'!B10</f>
        <v>3189537</v>
      </c>
      <c r="C12" s="902">
        <f>+'ETCA-II-07'!C10</f>
        <v>-27768</v>
      </c>
      <c r="D12" s="901">
        <f t="shared" si="0"/>
        <v>3161769</v>
      </c>
      <c r="E12" s="902">
        <f>+'ETCA-II-07'!E10</f>
        <v>1829851</v>
      </c>
      <c r="F12" s="902">
        <f>+'ETCA-II-07'!F10</f>
        <v>1606847</v>
      </c>
      <c r="G12" s="658">
        <f t="shared" si="1"/>
        <v>1331918</v>
      </c>
    </row>
    <row r="13" spans="1:7" s="491" customFormat="1" ht="12.75" x14ac:dyDescent="0.2">
      <c r="A13" s="577" t="str">
        <f>+'ETCA-II-07'!A11</f>
        <v>ADMINISTRACION</v>
      </c>
      <c r="B13" s="902">
        <f>+'ETCA-II-07'!B11</f>
        <v>34310799</v>
      </c>
      <c r="C13" s="902">
        <f>+'ETCA-II-07'!C11</f>
        <v>-178848</v>
      </c>
      <c r="D13" s="901">
        <f t="shared" si="0"/>
        <v>34131951</v>
      </c>
      <c r="E13" s="902">
        <f>+'ETCA-II-07'!E11</f>
        <v>21498515</v>
      </c>
      <c r="F13" s="902">
        <f>+'ETCA-II-07'!F11</f>
        <v>20254350</v>
      </c>
      <c r="G13" s="658">
        <f t="shared" si="1"/>
        <v>12633436</v>
      </c>
    </row>
    <row r="14" spans="1:7" s="491" customFormat="1" ht="12.75" x14ac:dyDescent="0.2">
      <c r="A14" s="577" t="str">
        <f>+'ETCA-II-07'!A12</f>
        <v>OPERACIONES</v>
      </c>
      <c r="B14" s="902">
        <f>+'ETCA-II-07'!B12</f>
        <v>26762608</v>
      </c>
      <c r="C14" s="902">
        <f>+'ETCA-II-07'!C12</f>
        <v>-47151</v>
      </c>
      <c r="D14" s="901">
        <f t="shared" si="0"/>
        <v>26715457</v>
      </c>
      <c r="E14" s="902">
        <f>+'ETCA-II-07'!E12</f>
        <v>18589890</v>
      </c>
      <c r="F14" s="902">
        <f>+'ETCA-II-07'!F12</f>
        <v>15555367</v>
      </c>
      <c r="G14" s="658">
        <f t="shared" si="1"/>
        <v>8125567</v>
      </c>
    </row>
    <row r="15" spans="1:7" s="491" customFormat="1" ht="12.75" x14ac:dyDescent="0.2">
      <c r="A15" s="577" t="str">
        <f>+'ETCA-II-07'!A13</f>
        <v>DIRECCION GENERAL</v>
      </c>
      <c r="B15" s="902">
        <f>+'ETCA-II-07'!B13</f>
        <v>6615098</v>
      </c>
      <c r="C15" s="902">
        <f>+'ETCA-II-07'!C13</f>
        <v>134655</v>
      </c>
      <c r="D15" s="901">
        <f t="shared" si="0"/>
        <v>6749753</v>
      </c>
      <c r="E15" s="902">
        <f>+'ETCA-II-07'!E13</f>
        <v>3500607</v>
      </c>
      <c r="F15" s="902">
        <f>+'ETCA-II-07'!F13</f>
        <v>3006219</v>
      </c>
      <c r="G15" s="658">
        <f t="shared" si="1"/>
        <v>3249146</v>
      </c>
    </row>
    <row r="16" spans="1:7" s="491" customFormat="1" ht="12.75" x14ac:dyDescent="0.2">
      <c r="A16" s="577" t="str">
        <f>+'ETCA-II-07'!A14</f>
        <v>AUDITORIAS</v>
      </c>
      <c r="B16" s="902">
        <f>+'ETCA-II-07'!B14</f>
        <v>1628580</v>
      </c>
      <c r="C16" s="902">
        <f>+'ETCA-II-07'!C14</f>
        <v>75079</v>
      </c>
      <c r="D16" s="901">
        <f t="shared" si="0"/>
        <v>1703659</v>
      </c>
      <c r="E16" s="902">
        <f>+'ETCA-II-07'!E14</f>
        <v>1311434</v>
      </c>
      <c r="F16" s="902">
        <f>+'ETCA-II-07'!F14</f>
        <v>1116695</v>
      </c>
      <c r="G16" s="658">
        <f t="shared" si="1"/>
        <v>392225</v>
      </c>
    </row>
    <row r="17" spans="1:8" s="491" customFormat="1" ht="12.75" x14ac:dyDescent="0.2">
      <c r="A17" s="577"/>
      <c r="B17" s="901"/>
      <c r="C17" s="901"/>
      <c r="D17" s="901"/>
      <c r="E17" s="901"/>
      <c r="F17" s="901"/>
      <c r="G17" s="658">
        <f t="shared" si="1"/>
        <v>0</v>
      </c>
    </row>
    <row r="18" spans="1:8" s="491" customFormat="1" ht="12.75" x14ac:dyDescent="0.2">
      <c r="A18" s="577"/>
      <c r="B18" s="658"/>
      <c r="C18" s="658"/>
      <c r="D18" s="658"/>
      <c r="E18" s="658"/>
      <c r="F18" s="658"/>
      <c r="G18" s="658"/>
    </row>
    <row r="19" spans="1:8" s="491" customFormat="1" ht="12.75" x14ac:dyDescent="0.2">
      <c r="A19" s="585" t="s">
        <v>672</v>
      </c>
      <c r="B19" s="658"/>
      <c r="C19" s="658"/>
      <c r="D19" s="658"/>
      <c r="E19" s="658"/>
      <c r="F19" s="658"/>
      <c r="G19" s="658"/>
    </row>
    <row r="20" spans="1:8" s="491" customFormat="1" ht="12.75" x14ac:dyDescent="0.2">
      <c r="A20" s="585" t="s">
        <v>673</v>
      </c>
      <c r="B20" s="658">
        <f>SUM(B21:B28)</f>
        <v>0</v>
      </c>
      <c r="C20" s="658">
        <f t="shared" ref="C20:G20" si="2">SUM(C21:C28)</f>
        <v>0</v>
      </c>
      <c r="D20" s="658">
        <f t="shared" si="2"/>
        <v>0</v>
      </c>
      <c r="E20" s="658">
        <f t="shared" si="2"/>
        <v>0</v>
      </c>
      <c r="F20" s="658">
        <f t="shared" si="2"/>
        <v>0</v>
      </c>
      <c r="G20" s="658">
        <f t="shared" si="2"/>
        <v>0</v>
      </c>
    </row>
    <row r="21" spans="1:8" s="491" customFormat="1" ht="12.75" x14ac:dyDescent="0.2">
      <c r="A21" s="577" t="s">
        <v>664</v>
      </c>
      <c r="B21" s="658"/>
      <c r="C21" s="658"/>
      <c r="D21" s="658">
        <f t="shared" ref="D21:D28" si="3">B21+C21</f>
        <v>0</v>
      </c>
      <c r="E21" s="658"/>
      <c r="F21" s="658"/>
      <c r="G21" s="658">
        <f>+D21-E21</f>
        <v>0</v>
      </c>
    </row>
    <row r="22" spans="1:8" s="491" customFormat="1" ht="12.75" x14ac:dyDescent="0.2">
      <c r="A22" s="577" t="s">
        <v>665</v>
      </c>
      <c r="B22" s="658"/>
      <c r="C22" s="658"/>
      <c r="D22" s="658">
        <f t="shared" si="3"/>
        <v>0</v>
      </c>
      <c r="E22" s="658"/>
      <c r="F22" s="658"/>
      <c r="G22" s="658">
        <f t="shared" ref="G22:G28" si="4">+D22-E22</f>
        <v>0</v>
      </c>
    </row>
    <row r="23" spans="1:8" s="491" customFormat="1" ht="12.75" x14ac:dyDescent="0.2">
      <c r="A23" s="577" t="s">
        <v>666</v>
      </c>
      <c r="B23" s="658"/>
      <c r="C23" s="658"/>
      <c r="D23" s="658">
        <f t="shared" si="3"/>
        <v>0</v>
      </c>
      <c r="E23" s="658"/>
      <c r="F23" s="658"/>
      <c r="G23" s="658">
        <f t="shared" si="4"/>
        <v>0</v>
      </c>
    </row>
    <row r="24" spans="1:8" s="491" customFormat="1" ht="12.75" x14ac:dyDescent="0.2">
      <c r="A24" s="577" t="s">
        <v>667</v>
      </c>
      <c r="B24" s="658"/>
      <c r="C24" s="658"/>
      <c r="D24" s="658">
        <f t="shared" si="3"/>
        <v>0</v>
      </c>
      <c r="E24" s="658"/>
      <c r="F24" s="658"/>
      <c r="G24" s="658">
        <f t="shared" si="4"/>
        <v>0</v>
      </c>
    </row>
    <row r="25" spans="1:8" s="491" customFormat="1" ht="12.75" x14ac:dyDescent="0.2">
      <c r="A25" s="577" t="s">
        <v>668</v>
      </c>
      <c r="B25" s="658"/>
      <c r="C25" s="658"/>
      <c r="D25" s="658">
        <f t="shared" si="3"/>
        <v>0</v>
      </c>
      <c r="E25" s="658"/>
      <c r="F25" s="658"/>
      <c r="G25" s="658">
        <f t="shared" si="4"/>
        <v>0</v>
      </c>
    </row>
    <row r="26" spans="1:8" s="491" customFormat="1" ht="12.75" x14ac:dyDescent="0.2">
      <c r="A26" s="577" t="s">
        <v>669</v>
      </c>
      <c r="B26" s="658"/>
      <c r="C26" s="658"/>
      <c r="D26" s="658">
        <f t="shared" si="3"/>
        <v>0</v>
      </c>
      <c r="E26" s="658"/>
      <c r="F26" s="658"/>
      <c r="G26" s="658">
        <f t="shared" si="4"/>
        <v>0</v>
      </c>
    </row>
    <row r="27" spans="1:8" s="491" customFormat="1" ht="12.75" x14ac:dyDescent="0.2">
      <c r="A27" s="577" t="s">
        <v>670</v>
      </c>
      <c r="B27" s="658"/>
      <c r="C27" s="658"/>
      <c r="D27" s="658">
        <f t="shared" si="3"/>
        <v>0</v>
      </c>
      <c r="E27" s="658"/>
      <c r="F27" s="658"/>
      <c r="G27" s="658">
        <f t="shared" si="4"/>
        <v>0</v>
      </c>
    </row>
    <row r="28" spans="1:8" s="491" customFormat="1" ht="12.75" x14ac:dyDescent="0.2">
      <c r="A28" s="577" t="s">
        <v>671</v>
      </c>
      <c r="B28" s="658"/>
      <c r="C28" s="658"/>
      <c r="D28" s="658">
        <f t="shared" si="3"/>
        <v>0</v>
      </c>
      <c r="E28" s="658"/>
      <c r="F28" s="658"/>
      <c r="G28" s="658">
        <f t="shared" si="4"/>
        <v>0</v>
      </c>
    </row>
    <row r="29" spans="1:8" s="491" customFormat="1" ht="12.75" x14ac:dyDescent="0.2">
      <c r="A29" s="657"/>
      <c r="B29" s="658"/>
      <c r="C29" s="658"/>
      <c r="D29" s="658"/>
      <c r="E29" s="658"/>
      <c r="F29" s="658"/>
      <c r="G29" s="658"/>
    </row>
    <row r="30" spans="1:8" s="491" customFormat="1" ht="12.75" x14ac:dyDescent="0.2">
      <c r="A30" s="576" t="s">
        <v>642</v>
      </c>
      <c r="B30" s="631">
        <f t="shared" ref="B30:F30" si="5">+B9+B20</f>
        <v>103543736</v>
      </c>
      <c r="C30" s="631">
        <f>+C9+C20</f>
        <v>0</v>
      </c>
      <c r="D30" s="631">
        <f>+D9+D20</f>
        <v>103543736</v>
      </c>
      <c r="E30" s="631">
        <f t="shared" si="5"/>
        <v>68913890</v>
      </c>
      <c r="F30" s="631">
        <f t="shared" si="5"/>
        <v>60512433</v>
      </c>
      <c r="G30" s="631">
        <f>+G9+G201</f>
        <v>34629847</v>
      </c>
      <c r="H30" s="680" t="str">
        <f>IF((B30-'ETCA-II-07'!B31)&gt;0.9,"ERROR!!!!! EL MONTO NO COINCIDE CON LO REPORTADO EN EL FORMATO ETCA-II-07 EN EL TOTAL DEL GASTO","")</f>
        <v/>
      </c>
    </row>
    <row r="31" spans="1:8" ht="15.75" thickBot="1" x14ac:dyDescent="0.3">
      <c r="A31" s="641"/>
      <c r="B31" s="643"/>
      <c r="C31" s="643"/>
      <c r="D31" s="643"/>
      <c r="E31" s="643"/>
      <c r="F31" s="643"/>
      <c r="G31" s="643"/>
      <c r="H31" s="485" t="str">
        <f>IF((C30-'ETCA-II-07'!C31)&gt;0.9,"ERROR!!!!! EL MONTO NO COINCIDE CON LO REPORTADO EN EL FORMATO ETCA-II-07 EN EL TOTAL DEL GASTO","")</f>
        <v/>
      </c>
    </row>
    <row r="32" spans="1:8" x14ac:dyDescent="0.25">
      <c r="H32" s="485" t="str">
        <f>IF((D30-'ETCA-II-07'!D31)&gt;0.9,"ERROR!!!!! EL MONTO NO COINCIDE CON LO REPORTADO EN EL FORMATO ETCA-II-07 EN EL TOTAL DEL GASTO","")</f>
        <v/>
      </c>
    </row>
    <row r="33" spans="8:8" x14ac:dyDescent="0.25">
      <c r="H33" s="485" t="str">
        <f>IF((D30-'ETCA-II-07'!D31)&gt;0.9,"ERROR!!!!! EL MONTO NO COINCIDE CON LO REPORTADO EN EL FORMATO ETCA-II-07 EN EL TOTAL DEL GASTO","")</f>
        <v/>
      </c>
    </row>
    <row r="34" spans="8:8" x14ac:dyDescent="0.25">
      <c r="H34" s="485" t="str">
        <f>IF((F30-'ETCA-II-07'!F31)&gt;0.9,"ERROR!!!!! EL MONTO NO COINCIDE CON LO REPORTADO EN EL FORMATO ETCA-II-07 EN EL TOTAL DEL GASTO","")</f>
        <v/>
      </c>
    </row>
    <row r="35" spans="8:8" x14ac:dyDescent="0.25">
      <c r="H35" s="485" t="str">
        <f>IF((G30-'ETCA-II-07'!G31)&gt;0.9,"ERROR!!!!!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Normal="100" zoomScaleSheetLayoutView="100" workbookViewId="0">
      <selection activeCell="J19" sqref="J19"/>
    </sheetView>
  </sheetViews>
  <sheetFormatPr baseColWidth="10" defaultColWidth="11.28515625" defaultRowHeight="16.5" x14ac:dyDescent="0.25"/>
  <cols>
    <col min="1" max="1" width="39.85546875" style="258" customWidth="1"/>
    <col min="2" max="7" width="13.7109375" style="258" customWidth="1"/>
    <col min="8" max="16384" width="11.28515625" style="258"/>
  </cols>
  <sheetData>
    <row r="1" spans="1:8" x14ac:dyDescent="0.25">
      <c r="A1" s="1171" t="str">
        <f>'ETCA-I-01'!A1:G1</f>
        <v>TELEVISORA DE HERMOSILLO, S.A. DE C.V.</v>
      </c>
      <c r="B1" s="1171"/>
      <c r="C1" s="1171"/>
      <c r="D1" s="1171"/>
      <c r="E1" s="1171"/>
      <c r="F1" s="1171"/>
      <c r="G1" s="1171"/>
    </row>
    <row r="2" spans="1:8" s="260" customFormat="1" x14ac:dyDescent="0.25">
      <c r="A2" s="1171" t="s">
        <v>499</v>
      </c>
      <c r="B2" s="1171"/>
      <c r="C2" s="1171"/>
      <c r="D2" s="1171"/>
      <c r="E2" s="1171"/>
      <c r="F2" s="1171"/>
      <c r="G2" s="1171"/>
    </row>
    <row r="3" spans="1:8" s="260" customFormat="1" x14ac:dyDescent="0.25">
      <c r="A3" s="1347" t="s">
        <v>674</v>
      </c>
      <c r="B3" s="1347"/>
      <c r="C3" s="1347"/>
      <c r="D3" s="1347"/>
      <c r="E3" s="1347"/>
      <c r="F3" s="1347"/>
      <c r="G3" s="1347"/>
    </row>
    <row r="4" spans="1:8" s="260" customFormat="1" x14ac:dyDescent="0.25">
      <c r="A4" s="1172" t="str">
        <f>'ETCA-I-03'!A3:D3</f>
        <v>Del 01 de Enero al 30 de Septiembre de 2021</v>
      </c>
      <c r="B4" s="1172"/>
      <c r="C4" s="1172"/>
      <c r="D4" s="1172"/>
      <c r="E4" s="1172"/>
      <c r="F4" s="1172"/>
      <c r="G4" s="1172"/>
    </row>
    <row r="5" spans="1:8" s="260" customFormat="1" ht="17.25" thickBot="1" x14ac:dyDescent="0.3">
      <c r="A5" s="1304" t="s">
        <v>1038</v>
      </c>
      <c r="B5" s="1304"/>
      <c r="C5" s="1304"/>
      <c r="D5" s="1304"/>
      <c r="E5" s="1304"/>
      <c r="F5" s="49"/>
      <c r="G5" s="402"/>
    </row>
    <row r="6" spans="1:8" s="269" customFormat="1" ht="53.25" customHeight="1" x14ac:dyDescent="0.25">
      <c r="A6" s="1345" t="s">
        <v>674</v>
      </c>
      <c r="B6" s="276" t="s">
        <v>502</v>
      </c>
      <c r="C6" s="276" t="s">
        <v>432</v>
      </c>
      <c r="D6" s="276" t="s">
        <v>503</v>
      </c>
      <c r="E6" s="276" t="s">
        <v>504</v>
      </c>
      <c r="F6" s="276" t="s">
        <v>505</v>
      </c>
      <c r="G6" s="277" t="s">
        <v>506</v>
      </c>
    </row>
    <row r="7" spans="1:8" s="275" customFormat="1" ht="15.75" customHeight="1" thickBot="1" x14ac:dyDescent="0.3">
      <c r="A7" s="1346"/>
      <c r="B7" s="270" t="s">
        <v>412</v>
      </c>
      <c r="C7" s="270" t="s">
        <v>413</v>
      </c>
      <c r="D7" s="270" t="s">
        <v>507</v>
      </c>
      <c r="E7" s="270" t="s">
        <v>415</v>
      </c>
      <c r="F7" s="270" t="s">
        <v>416</v>
      </c>
      <c r="G7" s="271" t="s">
        <v>508</v>
      </c>
    </row>
    <row r="8" spans="1:8" ht="30" customHeight="1" x14ac:dyDescent="0.25">
      <c r="A8" s="490"/>
      <c r="B8" s="279"/>
      <c r="C8" s="279"/>
      <c r="D8" s="279"/>
      <c r="E8" s="279"/>
      <c r="F8" s="279"/>
      <c r="G8" s="280"/>
    </row>
    <row r="9" spans="1:8" ht="30" customHeight="1" x14ac:dyDescent="0.25">
      <c r="A9" s="267" t="s">
        <v>675</v>
      </c>
      <c r="B9" s="423">
        <f>+'ETCA-II-13'!C134</f>
        <v>103543736</v>
      </c>
      <c r="C9" s="423">
        <f>+'ETCA-II-13'!D134</f>
        <v>0</v>
      </c>
      <c r="D9" s="424">
        <f>B9+C9</f>
        <v>103543736</v>
      </c>
      <c r="E9" s="423">
        <f>+'ETCA-II-13'!F134</f>
        <v>68913890</v>
      </c>
      <c r="F9" s="423">
        <f>+'ETCA-II-13'!G134</f>
        <v>60512433</v>
      </c>
      <c r="G9" s="425">
        <f>D9-E9+1</f>
        <v>34629847</v>
      </c>
    </row>
    <row r="10" spans="1:8" ht="30" customHeight="1" x14ac:dyDescent="0.25">
      <c r="A10" s="267" t="s">
        <v>676</v>
      </c>
      <c r="B10" s="423"/>
      <c r="C10" s="423"/>
      <c r="D10" s="424">
        <f>B10+C10</f>
        <v>0</v>
      </c>
      <c r="E10" s="423"/>
      <c r="F10" s="423"/>
      <c r="G10" s="425">
        <f>D10-E10</f>
        <v>0</v>
      </c>
    </row>
    <row r="11" spans="1:8" ht="30" customHeight="1" x14ac:dyDescent="0.25">
      <c r="A11" s="267" t="s">
        <v>677</v>
      </c>
      <c r="B11" s="423"/>
      <c r="C11" s="423"/>
      <c r="D11" s="424">
        <f>B11+C11</f>
        <v>0</v>
      </c>
      <c r="E11" s="423"/>
      <c r="F11" s="423"/>
      <c r="G11" s="425">
        <f>D11-E11</f>
        <v>0</v>
      </c>
    </row>
    <row r="12" spans="1:8" ht="30" customHeight="1" x14ac:dyDescent="0.25">
      <c r="A12" s="267" t="s">
        <v>678</v>
      </c>
      <c r="B12" s="423"/>
      <c r="C12" s="423"/>
      <c r="D12" s="424">
        <f>B12+C12</f>
        <v>0</v>
      </c>
      <c r="E12" s="423"/>
      <c r="F12" s="423"/>
      <c r="G12" s="425">
        <f>D12-E12</f>
        <v>0</v>
      </c>
    </row>
    <row r="13" spans="1:8" ht="30" customHeight="1" thickBot="1" x14ac:dyDescent="0.3">
      <c r="A13" s="489"/>
      <c r="B13" s="431"/>
      <c r="C13" s="431"/>
      <c r="D13" s="431"/>
      <c r="E13" s="431"/>
      <c r="F13" s="431"/>
      <c r="G13" s="432"/>
    </row>
    <row r="14" spans="1:8" s="269" customFormat="1" ht="30" customHeight="1" thickBot="1" x14ac:dyDescent="0.3">
      <c r="A14" s="740" t="s">
        <v>558</v>
      </c>
      <c r="B14" s="433">
        <f>SUM(B9:B12)</f>
        <v>103543736</v>
      </c>
      <c r="C14" s="433">
        <f>SUM(C9:C12)</f>
        <v>0</v>
      </c>
      <c r="D14" s="433">
        <f>B14+C14</f>
        <v>103543736</v>
      </c>
      <c r="E14" s="433">
        <f>SUM(E9:E12)</f>
        <v>68913890</v>
      </c>
      <c r="F14" s="433">
        <f>SUM(F9:F12)</f>
        <v>60512433</v>
      </c>
      <c r="G14" s="434">
        <f>D14-E14+1</f>
        <v>34629847</v>
      </c>
      <c r="H14" s="485" t="str">
        <f>IF((B14-'ETCA II-04'!B80)&gt;0.9,"ERROR!!!!! EL MONTO NO COINCIDE CON LO REPORTADO EN EL FORMATO ETCA-II-04 EN EL TOTAL APROBADO ANUAL DEL ANALÍTICO DE EGRESOS","")</f>
        <v/>
      </c>
    </row>
    <row r="15" spans="1:8" s="269" customFormat="1" ht="30" customHeight="1" x14ac:dyDescent="0.25">
      <c r="A15" s="467"/>
      <c r="B15" s="468"/>
      <c r="C15" s="468"/>
      <c r="D15" s="468"/>
      <c r="E15" s="468"/>
      <c r="F15" s="468"/>
      <c r="G15" s="468"/>
      <c r="H15" s="485" t="str">
        <f>IF((C14-'ETCA II-04'!C80)&gt;0.9,"ERROR!!!!! EL MONTO NO COINCIDE CON LO REPORTADO EN EL FORMATO ETCA-II-04 EN EL TOTAL AMPLIACIONES/REDUCCIONES ANUAL DEL ANALÍTICO DE EGRESOS","")</f>
        <v/>
      </c>
    </row>
    <row r="16" spans="1:8" s="269" customFormat="1" ht="30" customHeight="1" x14ac:dyDescent="0.25">
      <c r="A16" s="467"/>
      <c r="B16" s="468"/>
      <c r="C16" s="468"/>
      <c r="D16" s="468"/>
      <c r="E16" s="468"/>
      <c r="F16" s="468"/>
      <c r="G16" s="468"/>
      <c r="H16" s="485" t="str">
        <f>IF((D14-'ETCA II-04'!D80)&gt;0.9,"ERROR!!!!! EL MONTO NO COINCIDE CON LO REPORTADO EN EL FORMATO ETCA-II-04 EN EL TOTAL MODIFICADO ANUAL DEL ANALÍTICO DE EGRESOS","")</f>
        <v/>
      </c>
    </row>
    <row r="17" spans="1:8" s="269" customFormat="1" ht="18" customHeight="1" x14ac:dyDescent="0.25">
      <c r="A17" s="467"/>
      <c r="B17" s="468"/>
      <c r="C17" s="468"/>
      <c r="D17" s="468"/>
      <c r="E17" s="468"/>
      <c r="F17" s="468"/>
      <c r="G17" s="468"/>
      <c r="H17" s="485" t="str">
        <f>IF((E14-'ETCA II-04'!E80)&gt;0.9,"ERROR!!!!! EL MONTO NO COINCIDE CON LO REPORTADO EN EL FORMATO ETCA-II-04 EN EL TOTAL DEVENGADO ANUAL DEL ANALÍTICO DE EGRESOS","")</f>
        <v/>
      </c>
    </row>
    <row r="18" spans="1:8" s="269" customFormat="1" ht="18" customHeight="1" x14ac:dyDescent="0.25">
      <c r="A18" s="467"/>
      <c r="B18" s="468"/>
      <c r="C18" s="468"/>
      <c r="D18" s="468"/>
      <c r="E18" s="468"/>
      <c r="F18" s="468"/>
      <c r="G18" s="468"/>
      <c r="H18" s="485" t="str">
        <f>IF((F14-'ETCA II-04'!F80)&gt;0.9,"ERROR!!!!! EL MONTO NO COINCIDE CON LO REPORTADO EN EL FORMATO ETCA-II-04 EN EL TOTAL PAGADO ANUAL DEL ANALÍTICO DE EGRESOS","")</f>
        <v/>
      </c>
    </row>
    <row r="19" spans="1:8" x14ac:dyDescent="0.25">
      <c r="H19" s="485" t="str">
        <f>IF((G14-'ETCA II-04'!G80)&gt;0.9,"ERROR!!!!! EL MONTO NO COINCIDE CON LO REPORTADO EN EL FORMATO ETCA-II-04 EN EL TOTAL SUBEJERCICIO ANUAL DEL ANALÍTICO DE EGRESOS","")</f>
        <v/>
      </c>
    </row>
    <row r="20" spans="1:8" x14ac:dyDescent="0.25">
      <c r="H20" s="485" t="str">
        <f>IF((B20-'ETCA II-04'!B83)&gt;0.9,"ERROR!!!!! EL MONTO NO COINCIDE CON LO REPORTADO EN EL FORMATO ETCA-II-04 EN EL TOTAL APROBADO ANUAL DEL ANALÍTICO DE EGRESOS","")</f>
        <v/>
      </c>
    </row>
    <row r="21" spans="1:8" x14ac:dyDescent="0.25">
      <c r="H21" s="485" t="str">
        <f>IF(G14&lt;&gt;'ETCA II-04'!G80,"ERROR!!!!! EL MONTO NO COINCIDE CON LO REPORTADO EN EL FORMATO ETCA-II-04 EN EL TOTAL SUBEJERCICIO PRESENTADO EN EL ANALÍTICO DE EGRESOS","")</f>
        <v/>
      </c>
    </row>
  </sheetData>
  <sheetProtection formatColumns="0" formatRows="0" insertHyperlinks="0"/>
  <mergeCells count="6">
    <mergeCell ref="A6:A7"/>
    <mergeCell ref="A4:G4"/>
    <mergeCell ref="A1:G1"/>
    <mergeCell ref="A2:G2"/>
    <mergeCell ref="A3:G3"/>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0"/>
  <sheetViews>
    <sheetView view="pageBreakPreview" zoomScaleNormal="100" zoomScaleSheetLayoutView="100" workbookViewId="0">
      <selection activeCell="A3" sqref="A3:G3"/>
    </sheetView>
  </sheetViews>
  <sheetFormatPr baseColWidth="10" defaultColWidth="11.28515625" defaultRowHeight="16.5" x14ac:dyDescent="0.25"/>
  <cols>
    <col min="1" max="1" width="39.85546875" style="258" customWidth="1"/>
    <col min="2" max="7" width="13.7109375" style="258" customWidth="1"/>
    <col min="8" max="16384" width="11.28515625" style="258"/>
  </cols>
  <sheetData>
    <row r="1" spans="1:7" x14ac:dyDescent="0.25">
      <c r="A1" s="1347" t="str">
        <f>'ETCA-I-01'!A1:G1</f>
        <v>TELEVISORA DE HERMOSILLO, S.A. DE C.V.</v>
      </c>
      <c r="B1" s="1347"/>
      <c r="C1" s="1347"/>
      <c r="D1" s="1347"/>
      <c r="E1" s="1347"/>
      <c r="F1" s="1347"/>
      <c r="G1" s="1347"/>
    </row>
    <row r="2" spans="1:7" x14ac:dyDescent="0.25">
      <c r="A2" s="1347" t="s">
        <v>499</v>
      </c>
      <c r="B2" s="1347"/>
      <c r="C2" s="1347"/>
      <c r="D2" s="1347"/>
      <c r="E2" s="1347"/>
      <c r="F2" s="1347"/>
      <c r="G2" s="1347"/>
    </row>
    <row r="3" spans="1:7" x14ac:dyDescent="0.25">
      <c r="A3" s="1347" t="s">
        <v>679</v>
      </c>
      <c r="B3" s="1347"/>
      <c r="C3" s="1347"/>
      <c r="D3" s="1347"/>
      <c r="E3" s="1347"/>
      <c r="F3" s="1347"/>
      <c r="G3" s="1347"/>
    </row>
    <row r="4" spans="1:7" x14ac:dyDescent="0.25">
      <c r="A4" s="1172" t="str">
        <f>'ETCA-I-03'!A3:D3</f>
        <v>Del 01 de Enero al 30 de Septiembre de 2021</v>
      </c>
      <c r="B4" s="1172"/>
      <c r="C4" s="1172"/>
      <c r="D4" s="1172"/>
      <c r="E4" s="1172"/>
      <c r="F4" s="1172"/>
      <c r="G4" s="1172"/>
    </row>
    <row r="5" spans="1:7" ht="17.25" thickBot="1" x14ac:dyDescent="0.3">
      <c r="A5" s="1304" t="s">
        <v>1039</v>
      </c>
      <c r="B5" s="1304"/>
      <c r="C5" s="1304"/>
      <c r="D5" s="1304"/>
      <c r="E5" s="1304"/>
      <c r="F5" s="49"/>
      <c r="G5" s="402"/>
    </row>
    <row r="6" spans="1:7" s="264" customFormat="1" ht="40.5" x14ac:dyDescent="0.25">
      <c r="A6" s="1348" t="s">
        <v>246</v>
      </c>
      <c r="B6" s="283" t="s">
        <v>502</v>
      </c>
      <c r="C6" s="283" t="s">
        <v>432</v>
      </c>
      <c r="D6" s="283" t="s">
        <v>503</v>
      </c>
      <c r="E6" s="283" t="s">
        <v>504</v>
      </c>
      <c r="F6" s="283" t="s">
        <v>505</v>
      </c>
      <c r="G6" s="284" t="s">
        <v>506</v>
      </c>
    </row>
    <row r="7" spans="1:7" s="264" customFormat="1" ht="15.75" customHeight="1" thickBot="1" x14ac:dyDescent="0.3">
      <c r="A7" s="1349"/>
      <c r="B7" s="270" t="s">
        <v>412</v>
      </c>
      <c r="C7" s="270" t="s">
        <v>413</v>
      </c>
      <c r="D7" s="270" t="s">
        <v>507</v>
      </c>
      <c r="E7" s="270" t="s">
        <v>415</v>
      </c>
      <c r="F7" s="270" t="s">
        <v>416</v>
      </c>
      <c r="G7" s="271" t="s">
        <v>508</v>
      </c>
    </row>
    <row r="8" spans="1:7" x14ac:dyDescent="0.25">
      <c r="A8" s="278"/>
      <c r="B8" s="281"/>
      <c r="C8" s="281"/>
      <c r="D8" s="282"/>
      <c r="E8" s="281"/>
      <c r="F8" s="281"/>
      <c r="G8" s="285"/>
    </row>
    <row r="9" spans="1:7" ht="25.5" x14ac:dyDescent="0.25">
      <c r="A9" s="286" t="s">
        <v>680</v>
      </c>
      <c r="B9" s="423"/>
      <c r="C9" s="423"/>
      <c r="D9" s="424">
        <f>IF(A9="","",B9+C9)</f>
        <v>0</v>
      </c>
      <c r="E9" s="423"/>
      <c r="F9" s="423"/>
      <c r="G9" s="425">
        <f>IF(A9="","",D9-E9)</f>
        <v>0</v>
      </c>
    </row>
    <row r="10" spans="1:7" ht="8.25" customHeight="1" x14ac:dyDescent="0.25">
      <c r="A10" s="286"/>
      <c r="B10" s="423"/>
      <c r="C10" s="423"/>
      <c r="D10" s="424" t="str">
        <f t="shared" ref="D10:D21" si="0">IF(A10="","",B10+C10)</f>
        <v/>
      </c>
      <c r="E10" s="423"/>
      <c r="F10" s="423"/>
      <c r="G10" s="425" t="str">
        <f t="shared" ref="G10:G21" si="1">IF(A10="","",D10-E10)</f>
        <v/>
      </c>
    </row>
    <row r="11" spans="1:7" x14ac:dyDescent="0.25">
      <c r="A11" s="286" t="s">
        <v>681</v>
      </c>
      <c r="B11" s="423"/>
      <c r="C11" s="423"/>
      <c r="D11" s="424">
        <f t="shared" si="0"/>
        <v>0</v>
      </c>
      <c r="E11" s="423"/>
      <c r="F11" s="423"/>
      <c r="G11" s="425">
        <f t="shared" si="1"/>
        <v>0</v>
      </c>
    </row>
    <row r="12" spans="1:7" ht="8.25" customHeight="1" x14ac:dyDescent="0.25">
      <c r="A12" s="286"/>
      <c r="B12" s="423"/>
      <c r="C12" s="423"/>
      <c r="D12" s="424" t="str">
        <f t="shared" si="0"/>
        <v/>
      </c>
      <c r="E12" s="423"/>
      <c r="F12" s="423"/>
      <c r="G12" s="425" t="str">
        <f t="shared" si="1"/>
        <v/>
      </c>
    </row>
    <row r="13" spans="1:7" ht="25.5" x14ac:dyDescent="0.25">
      <c r="A13" s="286" t="s">
        <v>682</v>
      </c>
      <c r="B13" s="423">
        <f>+'ETCA-II-13'!C134</f>
        <v>103543736</v>
      </c>
      <c r="C13" s="423">
        <f>+'ETCA-II-13'!D134</f>
        <v>0</v>
      </c>
      <c r="D13" s="424">
        <f t="shared" si="0"/>
        <v>103543736</v>
      </c>
      <c r="E13" s="423">
        <f>+'ETCA-II-13'!F134</f>
        <v>68913890</v>
      </c>
      <c r="F13" s="423">
        <f>+'ETCA-II-13'!G134</f>
        <v>60512433</v>
      </c>
      <c r="G13" s="425">
        <f>IF(A13="","",D13-E13)+1</f>
        <v>34629847</v>
      </c>
    </row>
    <row r="14" spans="1:7" ht="8.25" customHeight="1" x14ac:dyDescent="0.25">
      <c r="A14" s="286"/>
      <c r="B14" s="423"/>
      <c r="C14" s="423"/>
      <c r="D14" s="424" t="str">
        <f t="shared" si="0"/>
        <v/>
      </c>
      <c r="E14" s="423"/>
      <c r="F14" s="423"/>
      <c r="G14" s="425" t="str">
        <f t="shared" si="1"/>
        <v/>
      </c>
    </row>
    <row r="15" spans="1:7" ht="25.5" x14ac:dyDescent="0.25">
      <c r="A15" s="286" t="s">
        <v>683</v>
      </c>
      <c r="B15" s="423"/>
      <c r="C15" s="423"/>
      <c r="D15" s="424">
        <f t="shared" si="0"/>
        <v>0</v>
      </c>
      <c r="E15" s="423"/>
      <c r="F15" s="423"/>
      <c r="G15" s="425">
        <f t="shared" si="1"/>
        <v>0</v>
      </c>
    </row>
    <row r="16" spans="1:7" ht="8.25" customHeight="1" x14ac:dyDescent="0.25">
      <c r="A16" s="286"/>
      <c r="B16" s="423"/>
      <c r="C16" s="423"/>
      <c r="D16" s="424" t="str">
        <f t="shared" si="0"/>
        <v/>
      </c>
      <c r="E16" s="423"/>
      <c r="F16" s="423"/>
      <c r="G16" s="425" t="str">
        <f t="shared" si="1"/>
        <v/>
      </c>
    </row>
    <row r="17" spans="1:8" ht="25.5" x14ac:dyDescent="0.25">
      <c r="A17" s="286" t="s">
        <v>684</v>
      </c>
      <c r="B17" s="423"/>
      <c r="C17" s="423"/>
      <c r="D17" s="424">
        <f t="shared" si="0"/>
        <v>0</v>
      </c>
      <c r="E17" s="423"/>
      <c r="F17" s="423"/>
      <c r="G17" s="425">
        <f t="shared" si="1"/>
        <v>0</v>
      </c>
    </row>
    <row r="18" spans="1:8" ht="8.25" customHeight="1" x14ac:dyDescent="0.25">
      <c r="A18" s="286"/>
      <c r="B18" s="423"/>
      <c r="C18" s="423"/>
      <c r="D18" s="424" t="str">
        <f t="shared" si="0"/>
        <v/>
      </c>
      <c r="E18" s="423"/>
      <c r="F18" s="423"/>
      <c r="G18" s="425" t="str">
        <f t="shared" si="1"/>
        <v/>
      </c>
    </row>
    <row r="19" spans="1:8" ht="25.5" x14ac:dyDescent="0.25">
      <c r="A19" s="286" t="s">
        <v>685</v>
      </c>
      <c r="B19" s="423"/>
      <c r="C19" s="423"/>
      <c r="D19" s="424">
        <f t="shared" si="0"/>
        <v>0</v>
      </c>
      <c r="E19" s="423"/>
      <c r="F19" s="423"/>
      <c r="G19" s="425">
        <f t="shared" si="1"/>
        <v>0</v>
      </c>
    </row>
    <row r="20" spans="1:8" ht="8.25" customHeight="1" x14ac:dyDescent="0.25">
      <c r="A20" s="286"/>
      <c r="B20" s="423"/>
      <c r="C20" s="423"/>
      <c r="D20" s="424" t="str">
        <f t="shared" si="0"/>
        <v/>
      </c>
      <c r="E20" s="423"/>
      <c r="F20" s="423"/>
      <c r="G20" s="425" t="str">
        <f t="shared" si="1"/>
        <v/>
      </c>
    </row>
    <row r="21" spans="1:8" ht="26.25" thickBot="1" x14ac:dyDescent="0.3">
      <c r="A21" s="286" t="s">
        <v>686</v>
      </c>
      <c r="B21" s="423"/>
      <c r="C21" s="423"/>
      <c r="D21" s="424">
        <f t="shared" si="0"/>
        <v>0</v>
      </c>
      <c r="E21" s="423"/>
      <c r="F21" s="423"/>
      <c r="G21" s="425">
        <f t="shared" si="1"/>
        <v>0</v>
      </c>
    </row>
    <row r="22" spans="1:8" ht="24.95" customHeight="1" thickBot="1" x14ac:dyDescent="0.3">
      <c r="A22" s="274" t="s">
        <v>558</v>
      </c>
      <c r="B22" s="429">
        <f>SUM(B9:B21)</f>
        <v>103543736</v>
      </c>
      <c r="C22" s="429">
        <f>SUM(C9:C21)</f>
        <v>0</v>
      </c>
      <c r="D22" s="429">
        <f>IF(A22="","",B22+C22)</f>
        <v>103543736</v>
      </c>
      <c r="E22" s="429">
        <f>SUM(E9:E21)</f>
        <v>68913890</v>
      </c>
      <c r="F22" s="429">
        <f>SUM(F9:F21)</f>
        <v>60512433</v>
      </c>
      <c r="G22" s="430">
        <f>IF(A22="","",D22-E22)+1</f>
        <v>34629847</v>
      </c>
      <c r="H22" s="485" t="str">
        <f>IF((B22-'ETCA II-04'!B80)&gt;0.9,"ERROR!!!!! EL MONTO NO COINCIDE CON LO REPORTADO EN EL FORMATO ETCA-II-04 EN EL TOTAL APROBADO ANUAL DEL ANALÍTICO DE EGRESOS","")</f>
        <v/>
      </c>
    </row>
    <row r="23" spans="1:8" ht="24.95" customHeight="1" x14ac:dyDescent="0.25">
      <c r="A23" s="503"/>
      <c r="B23" s="504"/>
      <c r="C23" s="504"/>
      <c r="D23" s="504"/>
      <c r="E23" s="504"/>
      <c r="F23" s="504"/>
      <c r="G23" s="504"/>
      <c r="H23" s="485" t="str">
        <f>IF((C22-'ETCA II-04'!C80)&gt;0.9,"ERROR!!!!! EL MONTO NO COINCIDE CON LO REPORTADO EN EL FORMATO ETCA-II-04 EN EL TOTAL APROBADO ANUAL DEL ANALÍTICO DE EGRESOS","")</f>
        <v/>
      </c>
    </row>
    <row r="24" spans="1:8" ht="24.95" customHeight="1" x14ac:dyDescent="0.25">
      <c r="A24" s="469"/>
      <c r="B24" s="468"/>
      <c r="C24" s="468"/>
      <c r="D24" s="468"/>
      <c r="E24" s="468"/>
      <c r="F24" s="468"/>
      <c r="G24" s="468"/>
      <c r="H24" s="485" t="str">
        <f>IF((D22-'ETCA II-04'!D80)&gt;0.9,"ERROR!!!!! EL MONTO NO COINCIDE CON LO REPORTADO EN EL FORMATO ETCA-II-04 EN EL TOTAL APROBADO ANUAL DEL ANALÍTICO DE EGRESOS","")</f>
        <v/>
      </c>
    </row>
    <row r="25" spans="1:8" ht="24.95" customHeight="1" x14ac:dyDescent="0.25">
      <c r="A25" s="505"/>
      <c r="B25" s="471"/>
      <c r="C25" s="471"/>
      <c r="D25" s="472"/>
      <c r="E25" s="471"/>
      <c r="F25" s="471"/>
      <c r="G25" s="472"/>
      <c r="H25" s="485" t="str">
        <f>IF((E22-'ETCA II-04'!E80)&gt;0.9,"ERROR!!!!! EL MONTO NO COINCIDE CON LO REPORTADO EN EL FORMATO ETCA-II-04 EN EL TOTAL APROBADO ANUAL DEL ANALÍTICO DE EGRESOS","")</f>
        <v/>
      </c>
    </row>
    <row r="26" spans="1:8" ht="24.95" customHeight="1" x14ac:dyDescent="0.25">
      <c r="A26" s="505"/>
      <c r="B26" s="471"/>
      <c r="C26" s="471"/>
      <c r="D26" s="472"/>
      <c r="E26" s="471"/>
      <c r="F26" s="471"/>
      <c r="G26" s="472"/>
      <c r="H26" s="485" t="str">
        <f>IF((F22-'ETCA II-04'!F80)&gt;0.9,"ERROR!!!!! EL MONTO NO COINCIDE CON LO REPORTADO EN EL FORMATO ETCA-II-04 EN EL TOTAL APROBADO ANUAL DEL ANALÍTICO DE EGRESOS","")</f>
        <v/>
      </c>
    </row>
    <row r="27" spans="1:8" ht="25.5" customHeight="1" x14ac:dyDescent="0.25">
      <c r="A27" s="469"/>
      <c r="B27" s="468"/>
      <c r="C27" s="468"/>
      <c r="D27" s="468"/>
      <c r="E27" s="468"/>
      <c r="F27" s="468"/>
      <c r="G27" s="468"/>
      <c r="H27" s="485" t="str">
        <f>IF((G22-'ETCA II-04'!G80)&gt;0.9,"ERROR!!!!! EL MONTO NO COINCIDE CON LO REPORTADO EN EL FORMATO ETCA-II-04 EN EL TOTAL APROBADO ANUAL DEL ANALÍTICO DE EGRESOS","")</f>
        <v/>
      </c>
    </row>
    <row r="29" spans="1:8" x14ac:dyDescent="0.25">
      <c r="F29" s="269"/>
    </row>
    <row r="30" spans="1:8" x14ac:dyDescent="0.25">
      <c r="F30" s="269"/>
    </row>
  </sheetData>
  <sheetProtection formatColumns="0" formatRows="0" insertHyperlinks="0"/>
  <mergeCells count="6">
    <mergeCell ref="A6:A7"/>
    <mergeCell ref="A1:G1"/>
    <mergeCell ref="A2:G2"/>
    <mergeCell ref="A3:G3"/>
    <mergeCell ref="A4:G4"/>
    <mergeCell ref="A5:E5"/>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8"/>
  <sheetViews>
    <sheetView view="pageBreakPreview" zoomScaleNormal="100" zoomScaleSheetLayoutView="100" workbookViewId="0">
      <selection activeCell="A3" sqref="A3:G3"/>
    </sheetView>
  </sheetViews>
  <sheetFormatPr baseColWidth="10" defaultRowHeight="15" x14ac:dyDescent="0.25"/>
  <cols>
    <col min="1" max="1" width="35.7109375" customWidth="1"/>
    <col min="2" max="5" width="11.28515625"/>
    <col min="6" max="6" width="11.85546875" customWidth="1"/>
  </cols>
  <sheetData>
    <row r="1" spans="1:7" ht="16.5" x14ac:dyDescent="0.25">
      <c r="A1" s="1347" t="str">
        <f>'ETCA-I-01'!A1:G1</f>
        <v>TELEVISORA DE HERMOSILLO, S.A. DE C.V.</v>
      </c>
      <c r="B1" s="1347"/>
      <c r="C1" s="1347"/>
      <c r="D1" s="1347"/>
      <c r="E1" s="1347"/>
      <c r="F1" s="1347"/>
      <c r="G1" s="1347"/>
    </row>
    <row r="2" spans="1:7" ht="16.5" x14ac:dyDescent="0.25">
      <c r="A2" s="1347" t="s">
        <v>499</v>
      </c>
      <c r="B2" s="1347"/>
      <c r="C2" s="1347"/>
      <c r="D2" s="1347"/>
      <c r="E2" s="1347"/>
      <c r="F2" s="1347"/>
      <c r="G2" s="1347"/>
    </row>
    <row r="3" spans="1:7" ht="16.5" x14ac:dyDescent="0.25">
      <c r="A3" s="1347" t="s">
        <v>687</v>
      </c>
      <c r="B3" s="1347"/>
      <c r="C3" s="1347"/>
      <c r="D3" s="1347"/>
      <c r="E3" s="1347"/>
      <c r="F3" s="1347"/>
      <c r="G3" s="1347"/>
    </row>
    <row r="4" spans="1:7" ht="16.5" x14ac:dyDescent="0.25">
      <c r="A4" s="1172" t="str">
        <f>'ETCA-I-03'!A3:D3</f>
        <v>Del 01 de Enero al 30 de Septiembre de 2021</v>
      </c>
      <c r="B4" s="1172"/>
      <c r="C4" s="1172"/>
      <c r="D4" s="1172"/>
      <c r="E4" s="1172"/>
      <c r="F4" s="1172"/>
      <c r="G4" s="1172"/>
    </row>
    <row r="5" spans="1:7" ht="17.25" thickBot="1" x14ac:dyDescent="0.3">
      <c r="A5" s="150"/>
      <c r="B5" s="1350"/>
      <c r="C5" s="1350"/>
      <c r="D5" s="1350"/>
      <c r="E5" s="1350"/>
      <c r="F5" s="287"/>
      <c r="G5" s="403"/>
    </row>
    <row r="6" spans="1:7" ht="40.5" x14ac:dyDescent="0.25">
      <c r="A6" s="1348" t="s">
        <v>246</v>
      </c>
      <c r="B6" s="288" t="s">
        <v>502</v>
      </c>
      <c r="C6" s="288" t="s">
        <v>432</v>
      </c>
      <c r="D6" s="288" t="s">
        <v>503</v>
      </c>
      <c r="E6" s="288" t="s">
        <v>504</v>
      </c>
      <c r="F6" s="288" t="s">
        <v>505</v>
      </c>
      <c r="G6" s="289" t="s">
        <v>506</v>
      </c>
    </row>
    <row r="7" spans="1:7" ht="15.75" thickBot="1" x14ac:dyDescent="0.3">
      <c r="A7" s="1349"/>
      <c r="B7" s="290" t="s">
        <v>412</v>
      </c>
      <c r="C7" s="290" t="s">
        <v>413</v>
      </c>
      <c r="D7" s="290" t="s">
        <v>507</v>
      </c>
      <c r="E7" s="290" t="s">
        <v>415</v>
      </c>
      <c r="F7" s="290" t="s">
        <v>416</v>
      </c>
      <c r="G7" s="291" t="s">
        <v>508</v>
      </c>
    </row>
    <row r="8" spans="1:7" ht="16.5" x14ac:dyDescent="0.25">
      <c r="A8" s="292"/>
      <c r="B8" s="293"/>
      <c r="C8" s="293"/>
      <c r="D8" s="293"/>
      <c r="E8" s="293"/>
      <c r="F8" s="293"/>
      <c r="G8" s="294"/>
    </row>
    <row r="9" spans="1:7" x14ac:dyDescent="0.25">
      <c r="A9" s="420" t="s">
        <v>688</v>
      </c>
      <c r="B9" s="421">
        <f>SUM(B10:B17)</f>
        <v>0</v>
      </c>
      <c r="C9" s="421">
        <f>SUM(C10:C17)</f>
        <v>0</v>
      </c>
      <c r="D9" s="421">
        <f>IF(A9="","",B9+C9)</f>
        <v>0</v>
      </c>
      <c r="E9" s="421">
        <f>SUM(E10:E17)</f>
        <v>0</v>
      </c>
      <c r="F9" s="421">
        <f>SUM(F10:F17)</f>
        <v>0</v>
      </c>
      <c r="G9" s="422">
        <f>IF(A9="","",D9-E9)</f>
        <v>0</v>
      </c>
    </row>
    <row r="10" spans="1:7" x14ac:dyDescent="0.25">
      <c r="A10" s="267" t="s">
        <v>689</v>
      </c>
      <c r="B10" s="423"/>
      <c r="C10" s="423"/>
      <c r="D10" s="424">
        <f t="shared" ref="D10:D43" si="0">IF(A10="","",B10+C10)</f>
        <v>0</v>
      </c>
      <c r="E10" s="423"/>
      <c r="F10" s="423"/>
      <c r="G10" s="425">
        <f t="shared" ref="G10:G43" si="1">IF(A10="","",D10-E10)</f>
        <v>0</v>
      </c>
    </row>
    <row r="11" spans="1:7" x14ac:dyDescent="0.25">
      <c r="A11" s="267" t="s">
        <v>690</v>
      </c>
      <c r="B11" s="423"/>
      <c r="C11" s="423"/>
      <c r="D11" s="424">
        <f t="shared" si="0"/>
        <v>0</v>
      </c>
      <c r="E11" s="423"/>
      <c r="F11" s="423"/>
      <c r="G11" s="425">
        <f t="shared" si="1"/>
        <v>0</v>
      </c>
    </row>
    <row r="12" spans="1:7" x14ac:dyDescent="0.25">
      <c r="A12" s="267" t="s">
        <v>691</v>
      </c>
      <c r="B12" s="423"/>
      <c r="C12" s="423"/>
      <c r="D12" s="424">
        <f t="shared" si="0"/>
        <v>0</v>
      </c>
      <c r="E12" s="423"/>
      <c r="F12" s="423"/>
      <c r="G12" s="425">
        <f t="shared" si="1"/>
        <v>0</v>
      </c>
    </row>
    <row r="13" spans="1:7" x14ac:dyDescent="0.25">
      <c r="A13" s="267" t="s">
        <v>692</v>
      </c>
      <c r="B13" s="423"/>
      <c r="C13" s="423"/>
      <c r="D13" s="424">
        <f t="shared" si="0"/>
        <v>0</v>
      </c>
      <c r="E13" s="423"/>
      <c r="F13" s="423"/>
      <c r="G13" s="425">
        <f t="shared" si="1"/>
        <v>0</v>
      </c>
    </row>
    <row r="14" spans="1:7" x14ac:dyDescent="0.25">
      <c r="A14" s="267" t="s">
        <v>693</v>
      </c>
      <c r="B14" s="423"/>
      <c r="C14" s="423"/>
      <c r="D14" s="424">
        <f t="shared" si="0"/>
        <v>0</v>
      </c>
      <c r="E14" s="423"/>
      <c r="F14" s="423"/>
      <c r="G14" s="425">
        <f t="shared" si="1"/>
        <v>0</v>
      </c>
    </row>
    <row r="15" spans="1:7" x14ac:dyDescent="0.25">
      <c r="A15" s="267" t="s">
        <v>694</v>
      </c>
      <c r="B15" s="423"/>
      <c r="C15" s="423"/>
      <c r="D15" s="424">
        <f t="shared" si="0"/>
        <v>0</v>
      </c>
      <c r="E15" s="423"/>
      <c r="F15" s="423"/>
      <c r="G15" s="425">
        <f t="shared" si="1"/>
        <v>0</v>
      </c>
    </row>
    <row r="16" spans="1:7" x14ac:dyDescent="0.25">
      <c r="A16" s="267" t="s">
        <v>695</v>
      </c>
      <c r="B16" s="423"/>
      <c r="C16" s="423"/>
      <c r="D16" s="424">
        <f t="shared" si="0"/>
        <v>0</v>
      </c>
      <c r="E16" s="423"/>
      <c r="F16" s="423"/>
      <c r="G16" s="425">
        <f t="shared" si="1"/>
        <v>0</v>
      </c>
    </row>
    <row r="17" spans="1:7" x14ac:dyDescent="0.25">
      <c r="A17" s="267" t="s">
        <v>533</v>
      </c>
      <c r="B17" s="423"/>
      <c r="C17" s="423"/>
      <c r="D17" s="424">
        <f t="shared" si="0"/>
        <v>0</v>
      </c>
      <c r="E17" s="423"/>
      <c r="F17" s="423"/>
      <c r="G17" s="425">
        <f t="shared" si="1"/>
        <v>0</v>
      </c>
    </row>
    <row r="18" spans="1:7" x14ac:dyDescent="0.25">
      <c r="A18" s="278"/>
      <c r="B18" s="423"/>
      <c r="C18" s="423"/>
      <c r="D18" s="424" t="str">
        <f t="shared" si="0"/>
        <v/>
      </c>
      <c r="E18" s="423"/>
      <c r="F18" s="423"/>
      <c r="G18" s="425" t="str">
        <f t="shared" si="1"/>
        <v/>
      </c>
    </row>
    <row r="19" spans="1:7" x14ac:dyDescent="0.25">
      <c r="A19" s="420" t="s">
        <v>696</v>
      </c>
      <c r="B19" s="421">
        <f>SUM(B20:B26)</f>
        <v>103543736</v>
      </c>
      <c r="C19" s="421">
        <f>SUM(C20:C26)</f>
        <v>0</v>
      </c>
      <c r="D19" s="421">
        <f t="shared" si="0"/>
        <v>103543736</v>
      </c>
      <c r="E19" s="421">
        <f>SUM(E20:E26)</f>
        <v>68913890</v>
      </c>
      <c r="F19" s="421">
        <f>SUM(F20:F26)</f>
        <v>60512433</v>
      </c>
      <c r="G19" s="422">
        <f>IF(A19="","",D19-E19)+1</f>
        <v>34629847</v>
      </c>
    </row>
    <row r="20" spans="1:7" x14ac:dyDescent="0.25">
      <c r="A20" s="267" t="s">
        <v>697</v>
      </c>
      <c r="B20" s="423"/>
      <c r="C20" s="423"/>
      <c r="D20" s="424">
        <f t="shared" si="0"/>
        <v>0</v>
      </c>
      <c r="E20" s="423"/>
      <c r="F20" s="423"/>
      <c r="G20" s="425">
        <f t="shared" si="1"/>
        <v>0</v>
      </c>
    </row>
    <row r="21" spans="1:7" x14ac:dyDescent="0.25">
      <c r="A21" s="267" t="s">
        <v>698</v>
      </c>
      <c r="B21" s="423"/>
      <c r="C21" s="423"/>
      <c r="D21" s="424">
        <f t="shared" si="0"/>
        <v>0</v>
      </c>
      <c r="E21" s="423"/>
      <c r="F21" s="423"/>
      <c r="G21" s="425">
        <f t="shared" si="1"/>
        <v>0</v>
      </c>
    </row>
    <row r="22" spans="1:7" x14ac:dyDescent="0.25">
      <c r="A22" s="267" t="s">
        <v>699</v>
      </c>
      <c r="B22" s="423"/>
      <c r="C22" s="423"/>
      <c r="D22" s="424">
        <f t="shared" si="0"/>
        <v>0</v>
      </c>
      <c r="E22" s="423"/>
      <c r="F22" s="423"/>
      <c r="G22" s="425">
        <f t="shared" si="1"/>
        <v>0</v>
      </c>
    </row>
    <row r="23" spans="1:7" ht="25.5" x14ac:dyDescent="0.25">
      <c r="A23" s="267" t="s">
        <v>700</v>
      </c>
      <c r="B23" s="423">
        <f>+'ETCA-II-13'!C134</f>
        <v>103543736</v>
      </c>
      <c r="C23" s="423">
        <f>+'ETCA-II-13'!D134</f>
        <v>0</v>
      </c>
      <c r="D23" s="424">
        <f t="shared" si="0"/>
        <v>103543736</v>
      </c>
      <c r="E23" s="423">
        <f>+'ETCA-II-13'!F134</f>
        <v>68913890</v>
      </c>
      <c r="F23" s="423">
        <f>+'ETCA-II-13'!G134</f>
        <v>60512433</v>
      </c>
      <c r="G23" s="425">
        <f>IF(A23="","",D23-E23)+1</f>
        <v>34629847</v>
      </c>
    </row>
    <row r="24" spans="1:7" x14ac:dyDescent="0.25">
      <c r="A24" s="267" t="s">
        <v>701</v>
      </c>
      <c r="B24" s="423"/>
      <c r="C24" s="423"/>
      <c r="D24" s="424">
        <f t="shared" si="0"/>
        <v>0</v>
      </c>
      <c r="E24" s="423"/>
      <c r="F24" s="423"/>
      <c r="G24" s="425">
        <f t="shared" si="1"/>
        <v>0</v>
      </c>
    </row>
    <row r="25" spans="1:7" x14ac:dyDescent="0.25">
      <c r="A25" s="267" t="s">
        <v>702</v>
      </c>
      <c r="B25" s="423"/>
      <c r="C25" s="423"/>
      <c r="D25" s="424">
        <f t="shared" si="0"/>
        <v>0</v>
      </c>
      <c r="E25" s="423"/>
      <c r="F25" s="423"/>
      <c r="G25" s="425">
        <f t="shared" si="1"/>
        <v>0</v>
      </c>
    </row>
    <row r="26" spans="1:7" x14ac:dyDescent="0.25">
      <c r="A26" s="267" t="s">
        <v>703</v>
      </c>
      <c r="B26" s="423"/>
      <c r="C26" s="423"/>
      <c r="D26" s="424">
        <f t="shared" si="0"/>
        <v>0</v>
      </c>
      <c r="E26" s="423"/>
      <c r="F26" s="423"/>
      <c r="G26" s="425">
        <f t="shared" si="1"/>
        <v>0</v>
      </c>
    </row>
    <row r="27" spans="1:7" x14ac:dyDescent="0.25">
      <c r="A27" s="278"/>
      <c r="B27" s="423"/>
      <c r="C27" s="423"/>
      <c r="D27" s="424" t="str">
        <f t="shared" si="0"/>
        <v/>
      </c>
      <c r="E27" s="423"/>
      <c r="F27" s="423"/>
      <c r="G27" s="425" t="str">
        <f t="shared" si="1"/>
        <v/>
      </c>
    </row>
    <row r="28" spans="1:7" x14ac:dyDescent="0.25">
      <c r="A28" s="420" t="s">
        <v>704</v>
      </c>
      <c r="B28" s="421">
        <f>SUM(B29:B37)</f>
        <v>0</v>
      </c>
      <c r="C28" s="421">
        <f>SUM(C29:C37)</f>
        <v>0</v>
      </c>
      <c r="D28" s="421">
        <f t="shared" si="0"/>
        <v>0</v>
      </c>
      <c r="E28" s="421">
        <f>SUM(E29:E37)</f>
        <v>0</v>
      </c>
      <c r="F28" s="421">
        <f>SUM(F29:F37)</f>
        <v>0</v>
      </c>
      <c r="G28" s="422">
        <f t="shared" si="1"/>
        <v>0</v>
      </c>
    </row>
    <row r="29" spans="1:7" ht="25.5" x14ac:dyDescent="0.25">
      <c r="A29" s="267" t="s">
        <v>705</v>
      </c>
      <c r="B29" s="423"/>
      <c r="C29" s="423"/>
      <c r="D29" s="424">
        <f t="shared" si="0"/>
        <v>0</v>
      </c>
      <c r="E29" s="423"/>
      <c r="F29" s="423"/>
      <c r="G29" s="425">
        <f t="shared" si="1"/>
        <v>0</v>
      </c>
    </row>
    <row r="30" spans="1:7" x14ac:dyDescent="0.25">
      <c r="A30" s="267" t="s">
        <v>706</v>
      </c>
      <c r="B30" s="423"/>
      <c r="C30" s="423"/>
      <c r="D30" s="424">
        <f t="shared" si="0"/>
        <v>0</v>
      </c>
      <c r="E30" s="423"/>
      <c r="F30" s="423"/>
      <c r="G30" s="425">
        <f t="shared" si="1"/>
        <v>0</v>
      </c>
    </row>
    <row r="31" spans="1:7" x14ac:dyDescent="0.25">
      <c r="A31" s="267" t="s">
        <v>707</v>
      </c>
      <c r="B31" s="423"/>
      <c r="C31" s="423"/>
      <c r="D31" s="424">
        <f t="shared" si="0"/>
        <v>0</v>
      </c>
      <c r="E31" s="423"/>
      <c r="F31" s="423"/>
      <c r="G31" s="425">
        <f t="shared" si="1"/>
        <v>0</v>
      </c>
    </row>
    <row r="32" spans="1:7" x14ac:dyDescent="0.25">
      <c r="A32" s="267" t="s">
        <v>708</v>
      </c>
      <c r="B32" s="423"/>
      <c r="C32" s="423"/>
      <c r="D32" s="424">
        <f t="shared" si="0"/>
        <v>0</v>
      </c>
      <c r="E32" s="423"/>
      <c r="F32" s="423"/>
      <c r="G32" s="425">
        <f t="shared" si="1"/>
        <v>0</v>
      </c>
    </row>
    <row r="33" spans="1:8" x14ac:dyDescent="0.25">
      <c r="A33" s="267" t="s">
        <v>709</v>
      </c>
      <c r="B33" s="423"/>
      <c r="C33" s="423"/>
      <c r="D33" s="424">
        <f t="shared" si="0"/>
        <v>0</v>
      </c>
      <c r="E33" s="423"/>
      <c r="F33" s="423"/>
      <c r="G33" s="425">
        <f t="shared" si="1"/>
        <v>0</v>
      </c>
    </row>
    <row r="34" spans="1:8" x14ac:dyDescent="0.25">
      <c r="A34" s="267" t="s">
        <v>710</v>
      </c>
      <c r="B34" s="423"/>
      <c r="C34" s="423"/>
      <c r="D34" s="424">
        <f t="shared" si="0"/>
        <v>0</v>
      </c>
      <c r="E34" s="423"/>
      <c r="F34" s="423"/>
      <c r="G34" s="425">
        <f t="shared" si="1"/>
        <v>0</v>
      </c>
    </row>
    <row r="35" spans="1:8" x14ac:dyDescent="0.25">
      <c r="A35" s="267" t="s">
        <v>711</v>
      </c>
      <c r="B35" s="423"/>
      <c r="C35" s="423"/>
      <c r="D35" s="424">
        <f t="shared" si="0"/>
        <v>0</v>
      </c>
      <c r="E35" s="423"/>
      <c r="F35" s="423"/>
      <c r="G35" s="425">
        <f t="shared" si="1"/>
        <v>0</v>
      </c>
    </row>
    <row r="36" spans="1:8" x14ac:dyDescent="0.25">
      <c r="A36" s="267" t="s">
        <v>712</v>
      </c>
      <c r="B36" s="423"/>
      <c r="C36" s="423"/>
      <c r="D36" s="424">
        <f t="shared" si="0"/>
        <v>0</v>
      </c>
      <c r="E36" s="423"/>
      <c r="F36" s="423"/>
      <c r="G36" s="425">
        <f t="shared" si="1"/>
        <v>0</v>
      </c>
    </row>
    <row r="37" spans="1:8" x14ac:dyDescent="0.25">
      <c r="A37" s="267" t="s">
        <v>713</v>
      </c>
      <c r="B37" s="423"/>
      <c r="C37" s="423"/>
      <c r="D37" s="424">
        <f t="shared" si="0"/>
        <v>0</v>
      </c>
      <c r="E37" s="423"/>
      <c r="F37" s="423"/>
      <c r="G37" s="425">
        <f t="shared" si="1"/>
        <v>0</v>
      </c>
    </row>
    <row r="38" spans="1:8" x14ac:dyDescent="0.25">
      <c r="A38" s="278"/>
      <c r="B38" s="423"/>
      <c r="C38" s="423"/>
      <c r="D38" s="424" t="str">
        <f t="shared" si="0"/>
        <v/>
      </c>
      <c r="E38" s="423"/>
      <c r="F38" s="423"/>
      <c r="G38" s="425" t="str">
        <f t="shared" si="1"/>
        <v/>
      </c>
    </row>
    <row r="39" spans="1:8" ht="25.5" x14ac:dyDescent="0.25">
      <c r="A39" s="420" t="s">
        <v>714</v>
      </c>
      <c r="B39" s="421">
        <f>SUM(B40:B43)</f>
        <v>0</v>
      </c>
      <c r="C39" s="421">
        <f>SUM(C40:C43)</f>
        <v>0</v>
      </c>
      <c r="D39" s="421">
        <f t="shared" si="0"/>
        <v>0</v>
      </c>
      <c r="E39" s="421">
        <f>SUM(E40:E43)</f>
        <v>0</v>
      </c>
      <c r="F39" s="421">
        <f>SUM(F40:F43)</f>
        <v>0</v>
      </c>
      <c r="G39" s="422">
        <f t="shared" si="1"/>
        <v>0</v>
      </c>
    </row>
    <row r="40" spans="1:8" ht="25.5" x14ac:dyDescent="0.25">
      <c r="A40" s="426" t="s">
        <v>715</v>
      </c>
      <c r="B40" s="423">
        <v>0</v>
      </c>
      <c r="C40" s="423">
        <v>0</v>
      </c>
      <c r="D40" s="424">
        <f t="shared" si="0"/>
        <v>0</v>
      </c>
      <c r="E40" s="423">
        <v>0</v>
      </c>
      <c r="F40" s="423">
        <v>0</v>
      </c>
      <c r="G40" s="425">
        <f t="shared" si="1"/>
        <v>0</v>
      </c>
    </row>
    <row r="41" spans="1:8" ht="38.25" x14ac:dyDescent="0.25">
      <c r="A41" s="426" t="s">
        <v>716</v>
      </c>
      <c r="B41" s="423"/>
      <c r="C41" s="423"/>
      <c r="D41" s="424">
        <f t="shared" si="0"/>
        <v>0</v>
      </c>
      <c r="E41" s="423"/>
      <c r="F41" s="423"/>
      <c r="G41" s="425">
        <f t="shared" si="1"/>
        <v>0</v>
      </c>
    </row>
    <row r="42" spans="1:8" x14ac:dyDescent="0.25">
      <c r="A42" s="267" t="s">
        <v>717</v>
      </c>
      <c r="B42" s="423"/>
      <c r="C42" s="423"/>
      <c r="D42" s="424">
        <f t="shared" si="0"/>
        <v>0</v>
      </c>
      <c r="E42" s="423"/>
      <c r="F42" s="423"/>
      <c r="G42" s="425">
        <f t="shared" si="1"/>
        <v>0</v>
      </c>
    </row>
    <row r="43" spans="1:8" ht="15.75" thickBot="1" x14ac:dyDescent="0.3">
      <c r="A43" s="267" t="s">
        <v>718</v>
      </c>
      <c r="B43" s="423"/>
      <c r="C43" s="423"/>
      <c r="D43" s="424">
        <f t="shared" si="0"/>
        <v>0</v>
      </c>
      <c r="E43" s="423"/>
      <c r="F43" s="423"/>
      <c r="G43" s="425">
        <f t="shared" si="1"/>
        <v>0</v>
      </c>
    </row>
    <row r="44" spans="1:8" ht="15.75" thickBot="1" x14ac:dyDescent="0.3">
      <c r="A44" s="274" t="s">
        <v>558</v>
      </c>
      <c r="B44" s="427">
        <f>SUM(B9,B19,B28,B39)</f>
        <v>103543736</v>
      </c>
      <c r="C44" s="427">
        <f>SUM(C9,C19,C28,C39)</f>
        <v>0</v>
      </c>
      <c r="D44" s="427">
        <f>IF(A44="","",B44+C44)</f>
        <v>103543736</v>
      </c>
      <c r="E44" s="427">
        <f>SUM(E9,E19,E28,E39)</f>
        <v>68913890</v>
      </c>
      <c r="F44" s="427">
        <f>SUM(F9,F19,F28,F39)</f>
        <v>60512433</v>
      </c>
      <c r="G44" s="428">
        <f>IF(A44="","",D44-E44)+1</f>
        <v>34629847</v>
      </c>
      <c r="H44" s="485" t="str">
        <f>IF((B44-'ETCA II-04'!B80)&gt;0.9,"ERROR!!!!! EL MONTO NO COINCIDE CON LO REPORTADO EN EL FORMATO ETCA-II-04 EN EL TOTAL APROBADO ANUAL DEL ANALÍTICO DE EGRESOS","")</f>
        <v/>
      </c>
    </row>
    <row r="45" spans="1:8" ht="9" customHeight="1" x14ac:dyDescent="0.25">
      <c r="A45" s="469"/>
      <c r="B45" s="472"/>
      <c r="C45" s="472"/>
      <c r="D45" s="472"/>
      <c r="E45" s="472"/>
      <c r="F45" s="472"/>
      <c r="G45" s="472"/>
      <c r="H45" s="485" t="str">
        <f>IF((C44-'ETCA II-04'!C80)&gt;0.9,"ERROR!!!!! EL MONTO NO COINCIDE CON LO REPORTADO EN EL FORMATO ETCA-II-04 EN EL TOTAL DE AMPLIACIONES/REDUCCIONES PRESENTADO EN EL ANALÍTICO DE EGRESOS","")</f>
        <v/>
      </c>
    </row>
    <row r="46" spans="1:8" x14ac:dyDescent="0.25">
      <c r="A46" s="470"/>
      <c r="B46" s="471"/>
      <c r="C46" s="471"/>
      <c r="D46" s="472"/>
      <c r="E46" s="471"/>
      <c r="F46" s="471"/>
      <c r="G46" s="472"/>
      <c r="H46" s="485" t="str">
        <f>IF((E44-'ETCA II-04'!E80)&gt;0.9,"ERROR!!!!! EL MONTO NO COINCIDE CON LO REPORTADO EN EL FORMATO ETCA-II-04 EN EL TOTAL DEVENGADO ANUAL PRESENTADO EN EL ANALÍTICO DE EGRESOS","")</f>
        <v/>
      </c>
    </row>
    <row r="47" spans="1:8" x14ac:dyDescent="0.25">
      <c r="A47" s="469"/>
      <c r="B47" s="472"/>
      <c r="C47" s="472"/>
      <c r="D47" s="472"/>
      <c r="E47" s="472"/>
      <c r="F47" s="472"/>
      <c r="G47" s="472"/>
      <c r="H47" s="485" t="str">
        <f>IF((F44-'ETCA II-04'!F80)&gt;0.9,"ERROR!!!!! EL MONTO NO COINCIDE CON LO REPORTADO EN EL FORMATO ETCA-II-04 EN EL TOTAL PAGADO ANUAL PRESENTADO EN EL ANALÍTICO DE EGRESOS","")</f>
        <v/>
      </c>
    </row>
    <row r="48" spans="1:8" x14ac:dyDescent="0.25">
      <c r="H48" s="485" t="str">
        <f>IF((G44-'ETCA II-04'!G80)&gt;0.9,"ERROR!!!!! EL MONTO NO COINCIDE CON LO REPORTADO EN EL FORMATO ETCA-II-04 EN EL TOTAL SUBEJERCICIO PRESENTADO EN EL ANALÍTICO DE EGRESOS","")</f>
        <v/>
      </c>
    </row>
  </sheetData>
  <sheetProtection formatColumns="0" formatRows="0"/>
  <mergeCells count="6">
    <mergeCell ref="A6:A7"/>
    <mergeCell ref="A1:G1"/>
    <mergeCell ref="A2:G2"/>
    <mergeCell ref="A3:G3"/>
    <mergeCell ref="A4:G4"/>
    <mergeCell ref="B5:E5"/>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1"/>
  <sheetViews>
    <sheetView view="pageBreakPreview" zoomScale="90" zoomScaleNormal="100" zoomScaleSheetLayoutView="90" workbookViewId="0">
      <selection activeCell="A4" sqref="A4:H4"/>
    </sheetView>
  </sheetViews>
  <sheetFormatPr baseColWidth="10" defaultColWidth="11.42578125" defaultRowHeight="15" x14ac:dyDescent="0.25"/>
  <cols>
    <col min="1" max="1" width="4.42578125" customWidth="1"/>
    <col min="2" max="2" width="47" customWidth="1"/>
    <col min="3" max="3" width="14.28515625" customWidth="1"/>
    <col min="4" max="4" width="13.85546875" customWidth="1"/>
    <col min="5" max="5" width="14.28515625" customWidth="1"/>
    <col min="6" max="6" width="13.42578125" customWidth="1"/>
    <col min="7" max="7" width="13.85546875" customWidth="1"/>
    <col min="8" max="8" width="13.7109375" customWidth="1"/>
  </cols>
  <sheetData>
    <row r="1" spans="1:8" s="637" customFormat="1" ht="15.75" x14ac:dyDescent="0.25">
      <c r="A1" s="1320" t="str">
        <f>'ETCA-I-01'!A1:G1</f>
        <v>TELEVISORA DE HERMOSILLO, S.A. DE C.V.</v>
      </c>
      <c r="B1" s="1321"/>
      <c r="C1" s="1321"/>
      <c r="D1" s="1321"/>
      <c r="E1" s="1321"/>
      <c r="F1" s="1321"/>
      <c r="G1" s="1321"/>
      <c r="H1" s="1322"/>
    </row>
    <row r="2" spans="1:8" s="637" customFormat="1" x14ac:dyDescent="0.25">
      <c r="A2" s="1361" t="s">
        <v>559</v>
      </c>
      <c r="B2" s="1362"/>
      <c r="C2" s="1362"/>
      <c r="D2" s="1362"/>
      <c r="E2" s="1362"/>
      <c r="F2" s="1362"/>
      <c r="G2" s="1362"/>
      <c r="H2" s="1363"/>
    </row>
    <row r="3" spans="1:8" s="637" customFormat="1" ht="11.25" customHeight="1" x14ac:dyDescent="0.25">
      <c r="A3" s="1361" t="s">
        <v>687</v>
      </c>
      <c r="B3" s="1362"/>
      <c r="C3" s="1362"/>
      <c r="D3" s="1362"/>
      <c r="E3" s="1362"/>
      <c r="F3" s="1362"/>
      <c r="G3" s="1362"/>
      <c r="H3" s="1363"/>
    </row>
    <row r="4" spans="1:8" s="637" customFormat="1" ht="11.25" customHeight="1" x14ac:dyDescent="0.25">
      <c r="A4" s="1361" t="str">
        <f>'ETCA-I-03'!A3:D3</f>
        <v>Del 01 de Enero al 30 de Septiembre de 2021</v>
      </c>
      <c r="B4" s="1362"/>
      <c r="C4" s="1362"/>
      <c r="D4" s="1362"/>
      <c r="E4" s="1362"/>
      <c r="F4" s="1362"/>
      <c r="G4" s="1362"/>
      <c r="H4" s="1363"/>
    </row>
    <row r="5" spans="1:8" s="637" customFormat="1" ht="12.75" customHeight="1" thickBot="1" x14ac:dyDescent="0.3">
      <c r="A5" s="1359" t="s">
        <v>84</v>
      </c>
      <c r="B5" s="1364"/>
      <c r="C5" s="1364"/>
      <c r="D5" s="1364"/>
      <c r="E5" s="1364"/>
      <c r="F5" s="1364"/>
      <c r="G5" s="1364"/>
      <c r="H5" s="1365"/>
    </row>
    <row r="6" spans="1:8" s="637" customFormat="1" ht="15.75" thickBot="1" x14ac:dyDescent="0.3">
      <c r="A6" s="1357" t="s">
        <v>85</v>
      </c>
      <c r="B6" s="1358"/>
      <c r="C6" s="1333" t="s">
        <v>561</v>
      </c>
      <c r="D6" s="1334"/>
      <c r="E6" s="1334"/>
      <c r="F6" s="1334"/>
      <c r="G6" s="1335"/>
      <c r="H6" s="1331" t="s">
        <v>562</v>
      </c>
    </row>
    <row r="7" spans="1:8" s="637" customFormat="1" ht="26.25" thickBot="1" x14ac:dyDescent="0.3">
      <c r="A7" s="1359"/>
      <c r="B7" s="1360"/>
      <c r="C7" s="741" t="s">
        <v>563</v>
      </c>
      <c r="D7" s="741" t="s">
        <v>564</v>
      </c>
      <c r="E7" s="741" t="s">
        <v>565</v>
      </c>
      <c r="F7" s="741" t="s">
        <v>434</v>
      </c>
      <c r="G7" s="741" t="s">
        <v>661</v>
      </c>
      <c r="H7" s="1332"/>
    </row>
    <row r="8" spans="1:8" x14ac:dyDescent="0.25">
      <c r="A8" s="1351"/>
      <c r="B8" s="1352"/>
      <c r="C8" s="725"/>
      <c r="D8" s="725"/>
      <c r="E8" s="725"/>
      <c r="F8" s="725"/>
      <c r="G8" s="725"/>
      <c r="H8" s="725"/>
    </row>
    <row r="9" spans="1:8" ht="16.5" customHeight="1" x14ac:dyDescent="0.25">
      <c r="A9" s="1353" t="s">
        <v>719</v>
      </c>
      <c r="B9" s="1354"/>
      <c r="C9" s="658">
        <f>+C10+C20+C29+C40</f>
        <v>103543736</v>
      </c>
      <c r="D9" s="658">
        <f t="shared" ref="D9:G9" si="0">+D10+D20+D29+D40</f>
        <v>0</v>
      </c>
      <c r="E9" s="658">
        <f t="shared" si="0"/>
        <v>103543736</v>
      </c>
      <c r="F9" s="658">
        <f t="shared" si="0"/>
        <v>68913890</v>
      </c>
      <c r="G9" s="658">
        <f t="shared" si="0"/>
        <v>60512433</v>
      </c>
      <c r="H9" s="658">
        <f>+H10+H20+H29+H40</f>
        <v>34629847</v>
      </c>
    </row>
    <row r="10" spans="1:8" x14ac:dyDescent="0.25">
      <c r="A10" s="1355" t="s">
        <v>720</v>
      </c>
      <c r="B10" s="1356"/>
      <c r="C10" s="682">
        <f>SUM(C11:C18)</f>
        <v>0</v>
      </c>
      <c r="D10" s="682">
        <f t="shared" ref="D10:H10" si="1">SUM(D11:D18)</f>
        <v>0</v>
      </c>
      <c r="E10" s="682">
        <f t="shared" si="1"/>
        <v>0</v>
      </c>
      <c r="F10" s="682">
        <f t="shared" si="1"/>
        <v>0</v>
      </c>
      <c r="G10" s="682">
        <f t="shared" si="1"/>
        <v>0</v>
      </c>
      <c r="H10" s="682">
        <f t="shared" si="1"/>
        <v>0</v>
      </c>
    </row>
    <row r="11" spans="1:8" x14ac:dyDescent="0.25">
      <c r="A11" s="683"/>
      <c r="B11" s="684" t="s">
        <v>721</v>
      </c>
      <c r="C11" s="685"/>
      <c r="D11" s="685"/>
      <c r="E11" s="682">
        <f>C11+D11</f>
        <v>0</v>
      </c>
      <c r="F11" s="685"/>
      <c r="G11" s="685"/>
      <c r="H11" s="682">
        <f>+E11-F11</f>
        <v>0</v>
      </c>
    </row>
    <row r="12" spans="1:8" x14ac:dyDescent="0.25">
      <c r="A12" s="683"/>
      <c r="B12" s="684" t="s">
        <v>722</v>
      </c>
      <c r="C12" s="685"/>
      <c r="D12" s="685"/>
      <c r="E12" s="682">
        <f t="shared" ref="E12:E18" si="2">C12+D12</f>
        <v>0</v>
      </c>
      <c r="F12" s="685"/>
      <c r="G12" s="685"/>
      <c r="H12" s="682">
        <f t="shared" ref="H12:H27" si="3">+E12-F12</f>
        <v>0</v>
      </c>
    </row>
    <row r="13" spans="1:8" x14ac:dyDescent="0.25">
      <c r="A13" s="683"/>
      <c r="B13" s="684" t="s">
        <v>723</v>
      </c>
      <c r="C13" s="685"/>
      <c r="D13" s="685"/>
      <c r="E13" s="682">
        <f t="shared" si="2"/>
        <v>0</v>
      </c>
      <c r="F13" s="685"/>
      <c r="G13" s="685"/>
      <c r="H13" s="682">
        <f t="shared" si="3"/>
        <v>0</v>
      </c>
    </row>
    <row r="14" spans="1:8" x14ac:dyDescent="0.25">
      <c r="A14" s="683"/>
      <c r="B14" s="684" t="s">
        <v>724</v>
      </c>
      <c r="C14" s="685"/>
      <c r="D14" s="685"/>
      <c r="E14" s="682">
        <f t="shared" si="2"/>
        <v>0</v>
      </c>
      <c r="F14" s="685"/>
      <c r="G14" s="685"/>
      <c r="H14" s="682">
        <f t="shared" si="3"/>
        <v>0</v>
      </c>
    </row>
    <row r="15" spans="1:8" x14ac:dyDescent="0.25">
      <c r="A15" s="683"/>
      <c r="B15" s="684" t="s">
        <v>725</v>
      </c>
      <c r="C15" s="685"/>
      <c r="D15" s="685"/>
      <c r="E15" s="682">
        <f t="shared" si="2"/>
        <v>0</v>
      </c>
      <c r="F15" s="685"/>
      <c r="G15" s="685"/>
      <c r="H15" s="682">
        <f t="shared" si="3"/>
        <v>0</v>
      </c>
    </row>
    <row r="16" spans="1:8" x14ac:dyDescent="0.25">
      <c r="A16" s="683"/>
      <c r="B16" s="684" t="s">
        <v>726</v>
      </c>
      <c r="C16" s="685"/>
      <c r="D16" s="685"/>
      <c r="E16" s="682">
        <f t="shared" si="2"/>
        <v>0</v>
      </c>
      <c r="F16" s="685"/>
      <c r="G16" s="685"/>
      <c r="H16" s="682">
        <f t="shared" si="3"/>
        <v>0</v>
      </c>
    </row>
    <row r="17" spans="1:8" x14ac:dyDescent="0.25">
      <c r="A17" s="683"/>
      <c r="B17" s="684" t="s">
        <v>727</v>
      </c>
      <c r="C17" s="685"/>
      <c r="D17" s="685"/>
      <c r="E17" s="682">
        <f t="shared" si="2"/>
        <v>0</v>
      </c>
      <c r="F17" s="685"/>
      <c r="G17" s="685"/>
      <c r="H17" s="682">
        <f t="shared" si="3"/>
        <v>0</v>
      </c>
    </row>
    <row r="18" spans="1:8" x14ac:dyDescent="0.25">
      <c r="A18" s="683"/>
      <c r="B18" s="684" t="s">
        <v>728</v>
      </c>
      <c r="C18" s="685"/>
      <c r="D18" s="685"/>
      <c r="E18" s="682">
        <f t="shared" si="2"/>
        <v>0</v>
      </c>
      <c r="F18" s="685"/>
      <c r="G18" s="685"/>
      <c r="H18" s="682">
        <f t="shared" si="3"/>
        <v>0</v>
      </c>
    </row>
    <row r="19" spans="1:8" x14ac:dyDescent="0.25">
      <c r="A19" s="686"/>
      <c r="B19" s="687"/>
      <c r="C19" s="688"/>
      <c r="D19" s="688"/>
      <c r="E19" s="688"/>
      <c r="F19" s="688"/>
      <c r="G19" s="688"/>
      <c r="H19" s="689" t="s">
        <v>244</v>
      </c>
    </row>
    <row r="20" spans="1:8" x14ac:dyDescent="0.25">
      <c r="A20" s="1355" t="s">
        <v>729</v>
      </c>
      <c r="B20" s="1356"/>
      <c r="C20" s="682">
        <f>SUM(C21:C27)</f>
        <v>103543736</v>
      </c>
      <c r="D20" s="682">
        <f t="shared" ref="D20:G20" si="4">SUM(D21:D27)</f>
        <v>0</v>
      </c>
      <c r="E20" s="682">
        <f t="shared" si="4"/>
        <v>103543736</v>
      </c>
      <c r="F20" s="682">
        <f t="shared" si="4"/>
        <v>68913890</v>
      </c>
      <c r="G20" s="682">
        <f t="shared" si="4"/>
        <v>60512433</v>
      </c>
      <c r="H20" s="682">
        <f>SUM(H21:H27)</f>
        <v>34629847</v>
      </c>
    </row>
    <row r="21" spans="1:8" x14ac:dyDescent="0.25">
      <c r="A21" s="683"/>
      <c r="B21" s="684" t="s">
        <v>730</v>
      </c>
      <c r="C21" s="685"/>
      <c r="D21" s="685"/>
      <c r="E21" s="682">
        <f t="shared" ref="E21:E27" si="5">C21+D21</f>
        <v>0</v>
      </c>
      <c r="F21" s="685"/>
      <c r="G21" s="685"/>
      <c r="H21" s="682">
        <f t="shared" si="3"/>
        <v>0</v>
      </c>
    </row>
    <row r="22" spans="1:8" x14ac:dyDescent="0.25">
      <c r="A22" s="683"/>
      <c r="B22" s="684" t="s">
        <v>731</v>
      </c>
      <c r="C22" s="685"/>
      <c r="D22" s="685"/>
      <c r="E22" s="682">
        <f t="shared" si="5"/>
        <v>0</v>
      </c>
      <c r="F22" s="685"/>
      <c r="G22" s="685"/>
      <c r="H22" s="682">
        <f t="shared" si="3"/>
        <v>0</v>
      </c>
    </row>
    <row r="23" spans="1:8" x14ac:dyDescent="0.25">
      <c r="A23" s="683"/>
      <c r="B23" s="684" t="s">
        <v>732</v>
      </c>
      <c r="C23" s="685"/>
      <c r="D23" s="685"/>
      <c r="E23" s="682">
        <f t="shared" si="5"/>
        <v>0</v>
      </c>
      <c r="F23" s="685"/>
      <c r="G23" s="685"/>
      <c r="H23" s="682">
        <f t="shared" si="3"/>
        <v>0</v>
      </c>
    </row>
    <row r="24" spans="1:8" x14ac:dyDescent="0.25">
      <c r="A24" s="683"/>
      <c r="B24" s="684" t="s">
        <v>733</v>
      </c>
      <c r="C24" s="685"/>
      <c r="D24" s="685"/>
      <c r="E24" s="682">
        <f t="shared" si="5"/>
        <v>0</v>
      </c>
      <c r="F24" s="685"/>
      <c r="G24" s="685"/>
      <c r="H24" s="682">
        <f t="shared" si="3"/>
        <v>0</v>
      </c>
    </row>
    <row r="25" spans="1:8" x14ac:dyDescent="0.25">
      <c r="A25" s="683"/>
      <c r="B25" s="684" t="s">
        <v>734</v>
      </c>
      <c r="C25" s="685">
        <f>+'ETCA-II-13'!C134</f>
        <v>103543736</v>
      </c>
      <c r="D25" s="685">
        <f>+'ETCA-II-13'!D134</f>
        <v>0</v>
      </c>
      <c r="E25" s="682">
        <f t="shared" si="5"/>
        <v>103543736</v>
      </c>
      <c r="F25" s="685">
        <f>+'ETCA-II-13'!F134</f>
        <v>68913890</v>
      </c>
      <c r="G25" s="685">
        <f>+'ETCA-II-13'!G134</f>
        <v>60512433</v>
      </c>
      <c r="H25" s="682">
        <f>+E25-F25+1</f>
        <v>34629847</v>
      </c>
    </row>
    <row r="26" spans="1:8" x14ac:dyDescent="0.25">
      <c r="A26" s="683"/>
      <c r="B26" s="684" t="s">
        <v>735</v>
      </c>
      <c r="C26" s="685"/>
      <c r="D26" s="685"/>
      <c r="E26" s="682">
        <f t="shared" si="5"/>
        <v>0</v>
      </c>
      <c r="F26" s="685"/>
      <c r="G26" s="685"/>
      <c r="H26" s="682">
        <f t="shared" si="3"/>
        <v>0</v>
      </c>
    </row>
    <row r="27" spans="1:8" x14ac:dyDescent="0.25">
      <c r="A27" s="683"/>
      <c r="B27" s="684" t="s">
        <v>736</v>
      </c>
      <c r="C27" s="685"/>
      <c r="D27" s="685"/>
      <c r="E27" s="682">
        <f t="shared" si="5"/>
        <v>0</v>
      </c>
      <c r="F27" s="685"/>
      <c r="G27" s="685"/>
      <c r="H27" s="682">
        <f t="shared" si="3"/>
        <v>0</v>
      </c>
    </row>
    <row r="28" spans="1:8" x14ac:dyDescent="0.25">
      <c r="A28" s="686"/>
      <c r="B28" s="687"/>
      <c r="C28" s="690"/>
      <c r="D28" s="690"/>
      <c r="E28" s="690"/>
      <c r="F28" s="690"/>
      <c r="G28" s="690"/>
      <c r="H28" s="690"/>
    </row>
    <row r="29" spans="1:8" x14ac:dyDescent="0.25">
      <c r="A29" s="1355" t="s">
        <v>737</v>
      </c>
      <c r="B29" s="1356"/>
      <c r="C29" s="682">
        <f>SUM(C30:C38)</f>
        <v>0</v>
      </c>
      <c r="D29" s="682">
        <f t="shared" ref="D29:H29" si="6">SUM(D30:D38)</f>
        <v>0</v>
      </c>
      <c r="E29" s="682">
        <f t="shared" si="6"/>
        <v>0</v>
      </c>
      <c r="F29" s="682">
        <f t="shared" si="6"/>
        <v>0</v>
      </c>
      <c r="G29" s="682">
        <f t="shared" si="6"/>
        <v>0</v>
      </c>
      <c r="H29" s="682">
        <f t="shared" si="6"/>
        <v>0</v>
      </c>
    </row>
    <row r="30" spans="1:8" x14ac:dyDescent="0.25">
      <c r="A30" s="683"/>
      <c r="B30" s="684" t="s">
        <v>738</v>
      </c>
      <c r="C30" s="685"/>
      <c r="D30" s="685"/>
      <c r="E30" s="682">
        <f t="shared" ref="E30:E38" si="7">C30+D30</f>
        <v>0</v>
      </c>
      <c r="F30" s="685"/>
      <c r="G30" s="685"/>
      <c r="H30" s="682">
        <f t="shared" ref="H30:H38" si="8">+E30-F30</f>
        <v>0</v>
      </c>
    </row>
    <row r="31" spans="1:8" x14ac:dyDescent="0.25">
      <c r="A31" s="683"/>
      <c r="B31" s="684" t="s">
        <v>739</v>
      </c>
      <c r="C31" s="685"/>
      <c r="D31" s="685"/>
      <c r="E31" s="682">
        <f t="shared" si="7"/>
        <v>0</v>
      </c>
      <c r="F31" s="685"/>
      <c r="G31" s="685"/>
      <c r="H31" s="682">
        <f t="shared" si="8"/>
        <v>0</v>
      </c>
    </row>
    <row r="32" spans="1:8" x14ac:dyDescent="0.25">
      <c r="A32" s="683"/>
      <c r="B32" s="684" t="s">
        <v>740</v>
      </c>
      <c r="C32" s="685"/>
      <c r="D32" s="685"/>
      <c r="E32" s="682">
        <f t="shared" si="7"/>
        <v>0</v>
      </c>
      <c r="F32" s="685"/>
      <c r="G32" s="685"/>
      <c r="H32" s="682">
        <f t="shared" si="8"/>
        <v>0</v>
      </c>
    </row>
    <row r="33" spans="1:8" x14ac:dyDescent="0.25">
      <c r="A33" s="683"/>
      <c r="B33" s="684" t="s">
        <v>741</v>
      </c>
      <c r="C33" s="685"/>
      <c r="D33" s="685"/>
      <c r="E33" s="682">
        <f t="shared" si="7"/>
        <v>0</v>
      </c>
      <c r="F33" s="685"/>
      <c r="G33" s="685"/>
      <c r="H33" s="682">
        <f t="shared" si="8"/>
        <v>0</v>
      </c>
    </row>
    <row r="34" spans="1:8" ht="15.75" thickBot="1" x14ac:dyDescent="0.3">
      <c r="A34" s="691"/>
      <c r="B34" s="692" t="s">
        <v>742</v>
      </c>
      <c r="C34" s="693"/>
      <c r="D34" s="693"/>
      <c r="E34" s="694">
        <f t="shared" si="7"/>
        <v>0</v>
      </c>
      <c r="F34" s="693"/>
      <c r="G34" s="693"/>
      <c r="H34" s="694">
        <f t="shared" si="8"/>
        <v>0</v>
      </c>
    </row>
    <row r="35" spans="1:8" x14ac:dyDescent="0.25">
      <c r="A35" s="683"/>
      <c r="B35" s="684" t="s">
        <v>743</v>
      </c>
      <c r="C35" s="685"/>
      <c r="D35" s="685"/>
      <c r="E35" s="682">
        <f t="shared" si="7"/>
        <v>0</v>
      </c>
      <c r="F35" s="685"/>
      <c r="G35" s="685"/>
      <c r="H35" s="682">
        <f t="shared" si="8"/>
        <v>0</v>
      </c>
    </row>
    <row r="36" spans="1:8" x14ac:dyDescent="0.25">
      <c r="A36" s="683"/>
      <c r="B36" s="684" t="s">
        <v>744</v>
      </c>
      <c r="C36" s="685"/>
      <c r="D36" s="685"/>
      <c r="E36" s="682">
        <f t="shared" si="7"/>
        <v>0</v>
      </c>
      <c r="F36" s="685"/>
      <c r="G36" s="685"/>
      <c r="H36" s="682">
        <f t="shared" si="8"/>
        <v>0</v>
      </c>
    </row>
    <row r="37" spans="1:8" x14ac:dyDescent="0.25">
      <c r="A37" s="683"/>
      <c r="B37" s="684" t="s">
        <v>745</v>
      </c>
      <c r="C37" s="685"/>
      <c r="D37" s="685"/>
      <c r="E37" s="682">
        <f t="shared" si="7"/>
        <v>0</v>
      </c>
      <c r="F37" s="685"/>
      <c r="G37" s="685"/>
      <c r="H37" s="682">
        <f t="shared" si="8"/>
        <v>0</v>
      </c>
    </row>
    <row r="38" spans="1:8" x14ac:dyDescent="0.25">
      <c r="A38" s="683"/>
      <c r="B38" s="684" t="s">
        <v>746</v>
      </c>
      <c r="C38" s="685"/>
      <c r="D38" s="685"/>
      <c r="E38" s="682">
        <f t="shared" si="7"/>
        <v>0</v>
      </c>
      <c r="F38" s="685"/>
      <c r="G38" s="685"/>
      <c r="H38" s="682">
        <f t="shared" si="8"/>
        <v>0</v>
      </c>
    </row>
    <row r="39" spans="1:8" x14ac:dyDescent="0.25">
      <c r="A39" s="683"/>
      <c r="B39" s="684"/>
      <c r="C39" s="685"/>
      <c r="D39" s="685"/>
      <c r="E39" s="682"/>
      <c r="F39" s="685"/>
      <c r="G39" s="685"/>
      <c r="H39" s="682"/>
    </row>
    <row r="40" spans="1:8" x14ac:dyDescent="0.25">
      <c r="A40" s="683" t="s">
        <v>747</v>
      </c>
      <c r="B40" s="684"/>
      <c r="C40" s="689">
        <f>SUM(C41:C44)</f>
        <v>0</v>
      </c>
      <c r="D40" s="689">
        <f t="shared" ref="D40:H40" si="9">SUM(D41:D44)</f>
        <v>0</v>
      </c>
      <c r="E40" s="689">
        <f t="shared" si="9"/>
        <v>0</v>
      </c>
      <c r="F40" s="689">
        <f t="shared" si="9"/>
        <v>0</v>
      </c>
      <c r="G40" s="689">
        <f t="shared" si="9"/>
        <v>0</v>
      </c>
      <c r="H40" s="689">
        <f t="shared" si="9"/>
        <v>0</v>
      </c>
    </row>
    <row r="41" spans="1:8" x14ac:dyDescent="0.25">
      <c r="A41" s="683"/>
      <c r="B41" s="684" t="s">
        <v>748</v>
      </c>
      <c r="C41" s="685"/>
      <c r="D41" s="685"/>
      <c r="E41" s="682">
        <f t="shared" ref="E41:E44" si="10">C41+D41</f>
        <v>0</v>
      </c>
      <c r="F41" s="685"/>
      <c r="G41" s="685"/>
      <c r="H41" s="682">
        <f t="shared" ref="H41:H44" si="11">+E41-F41</f>
        <v>0</v>
      </c>
    </row>
    <row r="42" spans="1:8" x14ac:dyDescent="0.25">
      <c r="A42" s="683"/>
      <c r="B42" s="684" t="s">
        <v>749</v>
      </c>
      <c r="C42" s="685"/>
      <c r="D42" s="685"/>
      <c r="E42" s="682">
        <f t="shared" si="10"/>
        <v>0</v>
      </c>
      <c r="F42" s="685"/>
      <c r="G42" s="685"/>
      <c r="H42" s="682">
        <f t="shared" si="11"/>
        <v>0</v>
      </c>
    </row>
    <row r="43" spans="1:8" x14ac:dyDescent="0.25">
      <c r="A43" s="683"/>
      <c r="B43" s="684" t="s">
        <v>750</v>
      </c>
      <c r="C43" s="685"/>
      <c r="D43" s="685"/>
      <c r="E43" s="682">
        <f t="shared" si="10"/>
        <v>0</v>
      </c>
      <c r="F43" s="685"/>
      <c r="G43" s="685"/>
      <c r="H43" s="682">
        <f t="shared" si="11"/>
        <v>0</v>
      </c>
    </row>
    <row r="44" spans="1:8" x14ac:dyDescent="0.25">
      <c r="A44" s="683"/>
      <c r="B44" s="684" t="s">
        <v>751</v>
      </c>
      <c r="C44" s="685"/>
      <c r="D44" s="685"/>
      <c r="E44" s="682">
        <f t="shared" si="10"/>
        <v>0</v>
      </c>
      <c r="F44" s="685"/>
      <c r="G44" s="685"/>
      <c r="H44" s="682">
        <f t="shared" si="11"/>
        <v>0</v>
      </c>
    </row>
    <row r="45" spans="1:8" x14ac:dyDescent="0.25">
      <c r="A45" s="683"/>
      <c r="B45" s="684"/>
      <c r="C45" s="685"/>
      <c r="D45" s="685"/>
      <c r="E45" s="682"/>
      <c r="F45" s="685"/>
      <c r="G45" s="685"/>
      <c r="H45" s="682"/>
    </row>
    <row r="46" spans="1:8" x14ac:dyDescent="0.25">
      <c r="A46" s="683" t="s">
        <v>752</v>
      </c>
      <c r="B46" s="684"/>
      <c r="C46" s="689">
        <f t="shared" ref="C46:H46" si="12">+C47+C57+C65+C76</f>
        <v>0</v>
      </c>
      <c r="D46" s="689">
        <f t="shared" si="12"/>
        <v>0</v>
      </c>
      <c r="E46" s="689">
        <f t="shared" si="12"/>
        <v>0</v>
      </c>
      <c r="F46" s="689">
        <f t="shared" si="12"/>
        <v>0</v>
      </c>
      <c r="G46" s="689">
        <f t="shared" si="12"/>
        <v>0</v>
      </c>
      <c r="H46" s="689">
        <f t="shared" si="12"/>
        <v>0</v>
      </c>
    </row>
    <row r="47" spans="1:8" x14ac:dyDescent="0.25">
      <c r="A47" s="683" t="s">
        <v>720</v>
      </c>
      <c r="B47" s="684"/>
      <c r="C47" s="689">
        <f>SUM(C48:C55)</f>
        <v>0</v>
      </c>
      <c r="D47" s="689">
        <f t="shared" ref="D47:H47" si="13">SUM(D48:D55)</f>
        <v>0</v>
      </c>
      <c r="E47" s="689">
        <f t="shared" si="13"/>
        <v>0</v>
      </c>
      <c r="F47" s="689">
        <f t="shared" si="13"/>
        <v>0</v>
      </c>
      <c r="G47" s="689">
        <f t="shared" si="13"/>
        <v>0</v>
      </c>
      <c r="H47" s="689">
        <f t="shared" si="13"/>
        <v>0</v>
      </c>
    </row>
    <row r="48" spans="1:8" x14ac:dyDescent="0.25">
      <c r="A48" s="683"/>
      <c r="B48" s="684" t="s">
        <v>721</v>
      </c>
      <c r="C48" s="685"/>
      <c r="D48" s="685"/>
      <c r="E48" s="682">
        <f t="shared" ref="E48:E55" si="14">C48+D48</f>
        <v>0</v>
      </c>
      <c r="F48" s="685"/>
      <c r="G48" s="685"/>
      <c r="H48" s="682">
        <f t="shared" ref="H48:H55" si="15">+E48-F48</f>
        <v>0</v>
      </c>
    </row>
    <row r="49" spans="1:8" x14ac:dyDescent="0.25">
      <c r="A49" s="683"/>
      <c r="B49" s="684" t="s">
        <v>722</v>
      </c>
      <c r="C49" s="685"/>
      <c r="D49" s="685"/>
      <c r="E49" s="682">
        <f t="shared" si="14"/>
        <v>0</v>
      </c>
      <c r="F49" s="685"/>
      <c r="G49" s="685"/>
      <c r="H49" s="682">
        <f t="shared" si="15"/>
        <v>0</v>
      </c>
    </row>
    <row r="50" spans="1:8" x14ac:dyDescent="0.25">
      <c r="A50" s="683"/>
      <c r="B50" s="684" t="s">
        <v>723</v>
      </c>
      <c r="C50" s="685"/>
      <c r="D50" s="685"/>
      <c r="E50" s="682">
        <f t="shared" si="14"/>
        <v>0</v>
      </c>
      <c r="F50" s="685"/>
      <c r="G50" s="685"/>
      <c r="H50" s="682">
        <f t="shared" si="15"/>
        <v>0</v>
      </c>
    </row>
    <row r="51" spans="1:8" x14ac:dyDescent="0.25">
      <c r="A51" s="683"/>
      <c r="B51" s="684" t="s">
        <v>724</v>
      </c>
      <c r="C51" s="685"/>
      <c r="D51" s="685"/>
      <c r="E51" s="682">
        <f t="shared" si="14"/>
        <v>0</v>
      </c>
      <c r="F51" s="685"/>
      <c r="G51" s="685"/>
      <c r="H51" s="682">
        <f t="shared" si="15"/>
        <v>0</v>
      </c>
    </row>
    <row r="52" spans="1:8" x14ac:dyDescent="0.25">
      <c r="A52" s="683"/>
      <c r="B52" s="684" t="s">
        <v>725</v>
      </c>
      <c r="C52" s="685"/>
      <c r="D52" s="685"/>
      <c r="E52" s="682">
        <f t="shared" si="14"/>
        <v>0</v>
      </c>
      <c r="F52" s="685"/>
      <c r="G52" s="685"/>
      <c r="H52" s="682">
        <f t="shared" si="15"/>
        <v>0</v>
      </c>
    </row>
    <row r="53" spans="1:8" x14ac:dyDescent="0.25">
      <c r="A53" s="683"/>
      <c r="B53" s="684" t="s">
        <v>726</v>
      </c>
      <c r="C53" s="685"/>
      <c r="D53" s="685"/>
      <c r="E53" s="682">
        <f t="shared" si="14"/>
        <v>0</v>
      </c>
      <c r="F53" s="685"/>
      <c r="G53" s="685"/>
      <c r="H53" s="682">
        <f t="shared" si="15"/>
        <v>0</v>
      </c>
    </row>
    <row r="54" spans="1:8" x14ac:dyDescent="0.25">
      <c r="A54" s="683"/>
      <c r="B54" s="684" t="s">
        <v>727</v>
      </c>
      <c r="C54" s="685"/>
      <c r="D54" s="685"/>
      <c r="E54" s="682">
        <f t="shared" si="14"/>
        <v>0</v>
      </c>
      <c r="F54" s="685"/>
      <c r="G54" s="685"/>
      <c r="H54" s="682">
        <f t="shared" si="15"/>
        <v>0</v>
      </c>
    </row>
    <row r="55" spans="1:8" x14ac:dyDescent="0.25">
      <c r="A55" s="683"/>
      <c r="B55" s="684" t="s">
        <v>728</v>
      </c>
      <c r="C55" s="685"/>
      <c r="D55" s="685"/>
      <c r="E55" s="682">
        <f t="shared" si="14"/>
        <v>0</v>
      </c>
      <c r="F55" s="685"/>
      <c r="G55" s="685"/>
      <c r="H55" s="682">
        <f t="shared" si="15"/>
        <v>0</v>
      </c>
    </row>
    <row r="56" spans="1:8" x14ac:dyDescent="0.25">
      <c r="A56" s="683"/>
      <c r="B56" s="684"/>
      <c r="C56" s="685"/>
      <c r="D56" s="685"/>
      <c r="E56" s="682"/>
      <c r="F56" s="685"/>
      <c r="G56" s="685"/>
      <c r="H56" s="682"/>
    </row>
    <row r="57" spans="1:8" x14ac:dyDescent="0.25">
      <c r="A57" s="683" t="s">
        <v>729</v>
      </c>
      <c r="B57" s="684"/>
      <c r="C57" s="689">
        <f>SUM(C58:C64)</f>
        <v>0</v>
      </c>
      <c r="D57" s="689">
        <f t="shared" ref="D57:H57" si="16">SUM(D58:D64)</f>
        <v>0</v>
      </c>
      <c r="E57" s="689">
        <f t="shared" si="16"/>
        <v>0</v>
      </c>
      <c r="F57" s="689">
        <f t="shared" si="16"/>
        <v>0</v>
      </c>
      <c r="G57" s="689">
        <f t="shared" si="16"/>
        <v>0</v>
      </c>
      <c r="H57" s="689">
        <f t="shared" si="16"/>
        <v>0</v>
      </c>
    </row>
    <row r="58" spans="1:8" x14ac:dyDescent="0.25">
      <c r="A58" s="683"/>
      <c r="B58" s="684" t="s">
        <v>730</v>
      </c>
      <c r="C58" s="685"/>
      <c r="D58" s="685"/>
      <c r="E58" s="682">
        <f t="shared" ref="E58:E64" si="17">C58+D58</f>
        <v>0</v>
      </c>
      <c r="F58" s="685"/>
      <c r="G58" s="685"/>
      <c r="H58" s="682">
        <f t="shared" ref="H58:H64" si="18">+E58-F58</f>
        <v>0</v>
      </c>
    </row>
    <row r="59" spans="1:8" x14ac:dyDescent="0.25">
      <c r="A59" s="683"/>
      <c r="B59" s="684" t="s">
        <v>731</v>
      </c>
      <c r="C59" s="685"/>
      <c r="D59" s="685"/>
      <c r="E59" s="682">
        <f t="shared" si="17"/>
        <v>0</v>
      </c>
      <c r="F59" s="685"/>
      <c r="G59" s="685"/>
      <c r="H59" s="682">
        <f t="shared" si="18"/>
        <v>0</v>
      </c>
    </row>
    <row r="60" spans="1:8" x14ac:dyDescent="0.25">
      <c r="A60" s="683"/>
      <c r="B60" s="684" t="s">
        <v>732</v>
      </c>
      <c r="C60" s="685"/>
      <c r="D60" s="685"/>
      <c r="E60" s="682">
        <f t="shared" si="17"/>
        <v>0</v>
      </c>
      <c r="F60" s="685"/>
      <c r="G60" s="685"/>
      <c r="H60" s="682">
        <f t="shared" si="18"/>
        <v>0</v>
      </c>
    </row>
    <row r="61" spans="1:8" ht="15.75" thickBot="1" x14ac:dyDescent="0.3">
      <c r="A61" s="691"/>
      <c r="B61" s="692" t="s">
        <v>733</v>
      </c>
      <c r="C61" s="693"/>
      <c r="D61" s="693"/>
      <c r="E61" s="694">
        <f t="shared" si="17"/>
        <v>0</v>
      </c>
      <c r="F61" s="693"/>
      <c r="G61" s="693"/>
      <c r="H61" s="694">
        <f t="shared" si="18"/>
        <v>0</v>
      </c>
    </row>
    <row r="62" spans="1:8" x14ac:dyDescent="0.25">
      <c r="A62" s="683"/>
      <c r="B62" s="684" t="s">
        <v>734</v>
      </c>
      <c r="C62" s="685"/>
      <c r="D62" s="685"/>
      <c r="E62" s="682">
        <f t="shared" si="17"/>
        <v>0</v>
      </c>
      <c r="F62" s="685"/>
      <c r="G62" s="685"/>
      <c r="H62" s="682">
        <f t="shared" si="18"/>
        <v>0</v>
      </c>
    </row>
    <row r="63" spans="1:8" x14ac:dyDescent="0.25">
      <c r="A63" s="683"/>
      <c r="B63" s="684" t="s">
        <v>735</v>
      </c>
      <c r="C63" s="685"/>
      <c r="D63" s="685"/>
      <c r="E63" s="682">
        <f t="shared" si="17"/>
        <v>0</v>
      </c>
      <c r="F63" s="685"/>
      <c r="G63" s="685"/>
      <c r="H63" s="682">
        <f t="shared" si="18"/>
        <v>0</v>
      </c>
    </row>
    <row r="64" spans="1:8" x14ac:dyDescent="0.25">
      <c r="A64" s="683"/>
      <c r="B64" s="684" t="s">
        <v>736</v>
      </c>
      <c r="C64" s="685"/>
      <c r="D64" s="685"/>
      <c r="E64" s="682">
        <f t="shared" si="17"/>
        <v>0</v>
      </c>
      <c r="F64" s="685"/>
      <c r="G64" s="685"/>
      <c r="H64" s="682">
        <f t="shared" si="18"/>
        <v>0</v>
      </c>
    </row>
    <row r="65" spans="1:8" x14ac:dyDescent="0.25">
      <c r="A65" s="683" t="s">
        <v>737</v>
      </c>
      <c r="B65" s="684"/>
      <c r="C65" s="689">
        <f>SUM(C66:C74)</f>
        <v>0</v>
      </c>
      <c r="D65" s="689">
        <f t="shared" ref="D65:H65" si="19">SUM(D66:D74)</f>
        <v>0</v>
      </c>
      <c r="E65" s="689">
        <f t="shared" si="19"/>
        <v>0</v>
      </c>
      <c r="F65" s="689">
        <f t="shared" si="19"/>
        <v>0</v>
      </c>
      <c r="G65" s="689">
        <f t="shared" si="19"/>
        <v>0</v>
      </c>
      <c r="H65" s="689">
        <f t="shared" si="19"/>
        <v>0</v>
      </c>
    </row>
    <row r="66" spans="1:8" x14ac:dyDescent="0.25">
      <c r="A66" s="683"/>
      <c r="B66" s="684" t="s">
        <v>738</v>
      </c>
      <c r="C66" s="685"/>
      <c r="D66" s="685"/>
      <c r="E66" s="682">
        <f t="shared" ref="E66:E74" si="20">C66+D66</f>
        <v>0</v>
      </c>
      <c r="F66" s="685"/>
      <c r="G66" s="685"/>
      <c r="H66" s="682">
        <f t="shared" ref="H66:H74" si="21">+E66-F66</f>
        <v>0</v>
      </c>
    </row>
    <row r="67" spans="1:8" x14ac:dyDescent="0.25">
      <c r="A67" s="683"/>
      <c r="B67" s="684" t="s">
        <v>739</v>
      </c>
      <c r="C67" s="685"/>
      <c r="D67" s="685"/>
      <c r="E67" s="682"/>
      <c r="F67" s="685"/>
      <c r="G67" s="685"/>
      <c r="H67" s="682">
        <f t="shared" si="21"/>
        <v>0</v>
      </c>
    </row>
    <row r="68" spans="1:8" x14ac:dyDescent="0.25">
      <c r="A68" s="683"/>
      <c r="B68" s="684" t="s">
        <v>740</v>
      </c>
      <c r="C68" s="685"/>
      <c r="D68" s="685"/>
      <c r="E68" s="682">
        <f t="shared" si="20"/>
        <v>0</v>
      </c>
      <c r="F68" s="685"/>
      <c r="G68" s="685"/>
      <c r="H68" s="682">
        <f t="shared" si="21"/>
        <v>0</v>
      </c>
    </row>
    <row r="69" spans="1:8" x14ac:dyDescent="0.25">
      <c r="A69" s="683"/>
      <c r="B69" s="684" t="s">
        <v>741</v>
      </c>
      <c r="C69" s="685"/>
      <c r="D69" s="685"/>
      <c r="E69" s="682">
        <f t="shared" si="20"/>
        <v>0</v>
      </c>
      <c r="F69" s="685"/>
      <c r="G69" s="685"/>
      <c r="H69" s="682">
        <f t="shared" si="21"/>
        <v>0</v>
      </c>
    </row>
    <row r="70" spans="1:8" x14ac:dyDescent="0.25">
      <c r="A70" s="683"/>
      <c r="B70" s="684" t="s">
        <v>742</v>
      </c>
      <c r="C70" s="685"/>
      <c r="D70" s="685"/>
      <c r="E70" s="682">
        <f t="shared" si="20"/>
        <v>0</v>
      </c>
      <c r="F70" s="685"/>
      <c r="G70" s="685"/>
      <c r="H70" s="682">
        <f t="shared" si="21"/>
        <v>0</v>
      </c>
    </row>
    <row r="71" spans="1:8" x14ac:dyDescent="0.25">
      <c r="A71" s="683"/>
      <c r="B71" s="684" t="s">
        <v>743</v>
      </c>
      <c r="C71" s="685"/>
      <c r="D71" s="685"/>
      <c r="E71" s="682">
        <f t="shared" si="20"/>
        <v>0</v>
      </c>
      <c r="F71" s="685"/>
      <c r="G71" s="685"/>
      <c r="H71" s="682">
        <f t="shared" si="21"/>
        <v>0</v>
      </c>
    </row>
    <row r="72" spans="1:8" x14ac:dyDescent="0.25">
      <c r="A72" s="683"/>
      <c r="B72" s="684" t="s">
        <v>744</v>
      </c>
      <c r="C72" s="685"/>
      <c r="D72" s="685"/>
      <c r="E72" s="682">
        <f t="shared" si="20"/>
        <v>0</v>
      </c>
      <c r="F72" s="685"/>
      <c r="G72" s="685"/>
      <c r="H72" s="682">
        <f t="shared" si="21"/>
        <v>0</v>
      </c>
    </row>
    <row r="73" spans="1:8" x14ac:dyDescent="0.25">
      <c r="A73" s="683"/>
      <c r="B73" s="684" t="s">
        <v>745</v>
      </c>
      <c r="C73" s="685"/>
      <c r="D73" s="685"/>
      <c r="E73" s="682">
        <f t="shared" si="20"/>
        <v>0</v>
      </c>
      <c r="F73" s="685"/>
      <c r="G73" s="685"/>
      <c r="H73" s="682">
        <f t="shared" si="21"/>
        <v>0</v>
      </c>
    </row>
    <row r="74" spans="1:8" x14ac:dyDescent="0.25">
      <c r="A74" s="683"/>
      <c r="B74" s="684" t="s">
        <v>746</v>
      </c>
      <c r="C74" s="685"/>
      <c r="D74" s="685"/>
      <c r="E74" s="682">
        <f t="shared" si="20"/>
        <v>0</v>
      </c>
      <c r="F74" s="685"/>
      <c r="G74" s="685"/>
      <c r="H74" s="682">
        <f t="shared" si="21"/>
        <v>0</v>
      </c>
    </row>
    <row r="75" spans="1:8" x14ac:dyDescent="0.25">
      <c r="A75" s="683"/>
      <c r="B75" s="684"/>
      <c r="C75" s="685"/>
      <c r="D75" s="685"/>
      <c r="E75" s="682"/>
      <c r="F75" s="685"/>
      <c r="G75" s="685"/>
      <c r="H75" s="682"/>
    </row>
    <row r="76" spans="1:8" x14ac:dyDescent="0.25">
      <c r="A76" s="683" t="s">
        <v>747</v>
      </c>
      <c r="B76" s="684"/>
      <c r="C76" s="689">
        <f>SUM(C77:C80)</f>
        <v>0</v>
      </c>
      <c r="D76" s="689">
        <f t="shared" ref="D76:H76" si="22">SUM(D77:D80)</f>
        <v>0</v>
      </c>
      <c r="E76" s="689">
        <f t="shared" si="22"/>
        <v>0</v>
      </c>
      <c r="F76" s="689">
        <f t="shared" si="22"/>
        <v>0</v>
      </c>
      <c r="G76" s="689">
        <f t="shared" si="22"/>
        <v>0</v>
      </c>
      <c r="H76" s="689">
        <f t="shared" si="22"/>
        <v>0</v>
      </c>
    </row>
    <row r="77" spans="1:8" x14ac:dyDescent="0.25">
      <c r="A77" s="683"/>
      <c r="B77" s="684" t="s">
        <v>748</v>
      </c>
      <c r="C77" s="685">
        <v>0</v>
      </c>
      <c r="D77" s="685"/>
      <c r="E77" s="682">
        <f t="shared" ref="E77:E80" si="23">C77+D77</f>
        <v>0</v>
      </c>
      <c r="F77" s="685"/>
      <c r="G77" s="685"/>
      <c r="H77" s="682">
        <f t="shared" ref="H77:H80" si="24">+E77-F77</f>
        <v>0</v>
      </c>
    </row>
    <row r="78" spans="1:8" x14ac:dyDescent="0.25">
      <c r="A78" s="683"/>
      <c r="B78" s="684" t="s">
        <v>749</v>
      </c>
      <c r="C78" s="685">
        <v>0</v>
      </c>
      <c r="D78" s="685"/>
      <c r="E78" s="682">
        <f t="shared" si="23"/>
        <v>0</v>
      </c>
      <c r="F78" s="685"/>
      <c r="G78" s="685"/>
      <c r="H78" s="682">
        <f t="shared" si="24"/>
        <v>0</v>
      </c>
    </row>
    <row r="79" spans="1:8" x14ac:dyDescent="0.25">
      <c r="A79" s="683"/>
      <c r="B79" s="684" t="s">
        <v>750</v>
      </c>
      <c r="C79" s="685">
        <v>0</v>
      </c>
      <c r="D79" s="685"/>
      <c r="E79" s="682">
        <f t="shared" si="23"/>
        <v>0</v>
      </c>
      <c r="F79" s="685"/>
      <c r="G79" s="685"/>
      <c r="H79" s="682">
        <f t="shared" si="24"/>
        <v>0</v>
      </c>
    </row>
    <row r="80" spans="1:8" x14ac:dyDescent="0.25">
      <c r="A80" s="683"/>
      <c r="B80" s="684" t="s">
        <v>751</v>
      </c>
      <c r="C80" s="685"/>
      <c r="D80" s="685"/>
      <c r="E80" s="682">
        <f t="shared" si="23"/>
        <v>0</v>
      </c>
      <c r="F80" s="685"/>
      <c r="G80" s="685"/>
      <c r="H80" s="682">
        <f t="shared" si="24"/>
        <v>0</v>
      </c>
    </row>
    <row r="81" spans="1:9" x14ac:dyDescent="0.25">
      <c r="A81" s="683"/>
      <c r="B81" s="684"/>
      <c r="C81" s="685"/>
      <c r="D81" s="685"/>
      <c r="E81" s="682"/>
      <c r="F81" s="685"/>
      <c r="G81" s="685"/>
      <c r="H81" s="682"/>
    </row>
    <row r="82" spans="1:9" ht="15.75" thickBot="1" x14ac:dyDescent="0.3">
      <c r="A82" s="691" t="s">
        <v>642</v>
      </c>
      <c r="B82" s="692"/>
      <c r="C82" s="704">
        <f t="shared" ref="C82:H82" si="25">+C9+C46</f>
        <v>103543736</v>
      </c>
      <c r="D82" s="704">
        <f t="shared" si="25"/>
        <v>0</v>
      </c>
      <c r="E82" s="704">
        <f t="shared" si="25"/>
        <v>103543736</v>
      </c>
      <c r="F82" s="704">
        <f t="shared" si="25"/>
        <v>68913890</v>
      </c>
      <c r="G82" s="704">
        <f t="shared" si="25"/>
        <v>60512433</v>
      </c>
      <c r="H82" s="704">
        <f t="shared" si="25"/>
        <v>34629847</v>
      </c>
      <c r="I82" s="485" t="str">
        <f>IF((C82-'ETCA-II-11'!B44)&gt;0.9,"ERROR!!!!! EL MONTO NO COINCIDE CON LO REPORTADO EN EL FORMATO ETCA-II-11 EN EL TOTAL DEL GASTO","")</f>
        <v/>
      </c>
    </row>
    <row r="83" spans="1:9" x14ac:dyDescent="0.25">
      <c r="A83" s="695"/>
      <c r="B83" s="695"/>
      <c r="C83" s="696"/>
      <c r="D83" s="696"/>
      <c r="E83" s="697"/>
      <c r="F83" s="696"/>
      <c r="G83" s="696"/>
      <c r="H83" s="697"/>
      <c r="I83" s="485" t="str">
        <f>IF((D82-'ETCA-II-11'!C44)&gt;0.9,"ERROR!!!!! EL MONTO NO COINCIDE CON LO REPORTADO EN EL FORMATO ETCA-II-11 EN EL TOTAL DEL GASTO","")</f>
        <v/>
      </c>
    </row>
    <row r="84" spans="1:9" x14ac:dyDescent="0.25">
      <c r="A84" s="695"/>
      <c r="B84" s="695"/>
      <c r="C84" s="696"/>
      <c r="D84" s="696"/>
      <c r="E84" s="697"/>
      <c r="F84" s="696"/>
      <c r="G84" s="696"/>
      <c r="H84" s="697"/>
      <c r="I84" s="485"/>
    </row>
    <row r="85" spans="1:9" x14ac:dyDescent="0.25">
      <c r="A85" s="695"/>
      <c r="B85" s="695"/>
      <c r="C85" s="696"/>
      <c r="D85" s="696"/>
      <c r="E85" s="697"/>
      <c r="F85" s="696"/>
      <c r="G85" s="696"/>
      <c r="H85" s="697"/>
      <c r="I85" s="485"/>
    </row>
    <row r="86" spans="1:9" x14ac:dyDescent="0.25">
      <c r="A86" s="695"/>
      <c r="B86" s="695"/>
      <c r="C86" s="696"/>
      <c r="D86" s="696"/>
      <c r="E86" s="697"/>
      <c r="F86" s="696"/>
      <c r="G86" s="696"/>
      <c r="H86" s="697"/>
      <c r="I86" s="485"/>
    </row>
    <row r="87" spans="1:9" x14ac:dyDescent="0.25">
      <c r="A87" s="695"/>
      <c r="B87" s="695"/>
      <c r="C87" s="696"/>
      <c r="D87" s="696"/>
      <c r="E87" s="697"/>
      <c r="F87" s="696"/>
      <c r="G87" s="696"/>
      <c r="H87" s="697"/>
      <c r="I87" t="str">
        <f>IF((E82-'ETCA-II-11'!D44),"ERROR!!!!! EL MONTO NO COINCIDE CON LO REPORTADO EN EL FORMATO ETCA-II-11 EN EL TOTAL DEL GASTO","")</f>
        <v/>
      </c>
    </row>
    <row r="88" spans="1:9" x14ac:dyDescent="0.25">
      <c r="A88" s="695"/>
      <c r="B88" s="695"/>
      <c r="C88" s="696"/>
      <c r="D88" s="696"/>
      <c r="E88" s="697"/>
      <c r="F88" s="696"/>
      <c r="G88" s="696"/>
      <c r="H88" s="697"/>
      <c r="I88" t="str">
        <f>IF((F82-'ETCA-II-11'!E44)&gt;0.9,"ERROR!!!!! EL MONTO NO COINCIDE CON LO REPORTADO EN EL FORMATO ETCA-II-11 EN EL TOTAL DEL GASTO","")</f>
        <v/>
      </c>
    </row>
    <row r="89" spans="1:9" x14ac:dyDescent="0.25">
      <c r="A89" s="695"/>
      <c r="B89" s="695"/>
      <c r="C89" s="696"/>
      <c r="D89" s="696"/>
      <c r="E89" s="697"/>
      <c r="F89" s="696"/>
      <c r="G89" s="696"/>
      <c r="H89" s="697"/>
      <c r="I89" t="str">
        <f>IF((G82-'ETCA-II-11'!F44)&gt;0.9,"ERROR!!!!! EL MONTO NO COINCIDE CON LO REPORTADO EN EL FORMATO ETCA-II-11 EN EL TOTAL DEL GASTO","")</f>
        <v/>
      </c>
    </row>
    <row r="90" spans="1:9" x14ac:dyDescent="0.25">
      <c r="A90" s="695"/>
      <c r="B90" s="695"/>
      <c r="C90" s="696"/>
      <c r="D90" s="696"/>
      <c r="E90" s="697"/>
      <c r="F90" s="696"/>
      <c r="G90" s="696"/>
      <c r="H90" s="697"/>
      <c r="I90" t="str">
        <f>IF((H82-'ETCA-II-11'!G44)&gt;0.9,"ERROR!!!!! EL MONTO NO COINCIDE CON LO REPORTADO EN EL FORMATO ETCA-II-11 EN EL TOTAL DEL GASTO","")</f>
        <v/>
      </c>
    </row>
    <row r="91" spans="1:9" x14ac:dyDescent="0.25">
      <c r="A91" s="695"/>
      <c r="B91" s="695"/>
      <c r="C91" s="696"/>
      <c r="D91" s="696"/>
      <c r="E91" s="697"/>
      <c r="F91" s="696"/>
      <c r="G91" s="696"/>
      <c r="H91" s="697"/>
    </row>
  </sheetData>
  <sheetProtection formatColumns="0" formatRows="0" insertHyperlinks="0"/>
  <mergeCells count="13">
    <mergeCell ref="A6:B7"/>
    <mergeCell ref="C6:G6"/>
    <mergeCell ref="H6:H7"/>
    <mergeCell ref="A1:H1"/>
    <mergeCell ref="A2:H2"/>
    <mergeCell ref="A3:H3"/>
    <mergeCell ref="A4:H4"/>
    <mergeCell ref="A5:H5"/>
    <mergeCell ref="A8:B8"/>
    <mergeCell ref="A9:B9"/>
    <mergeCell ref="A10:B10"/>
    <mergeCell ref="A20:B20"/>
    <mergeCell ref="A29:B29"/>
  </mergeCells>
  <pageMargins left="0.19685039370078741" right="0.31496062992125984" top="0.74803149606299213" bottom="0.74803149606299213" header="0.31496062992125984" footer="0.31496062992125984"/>
  <pageSetup scale="8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36"/>
  <sheetViews>
    <sheetView view="pageBreakPreview" zoomScaleNormal="112" zoomScaleSheetLayoutView="100" workbookViewId="0">
      <pane xSplit="2" ySplit="8" topLeftCell="C115" activePane="bottomRight" state="frozen"/>
      <selection pane="topRight" activeCell="C1" sqref="C1"/>
      <selection pane="bottomLeft" activeCell="A9" sqref="A9"/>
      <selection pane="bottomRight" activeCell="H135" sqref="H135:I135"/>
    </sheetView>
  </sheetViews>
  <sheetFormatPr baseColWidth="10" defaultColWidth="11.42578125" defaultRowHeight="16.5" x14ac:dyDescent="0.3"/>
  <cols>
    <col min="1" max="1" width="10.42578125" style="32" customWidth="1"/>
    <col min="2" max="2" width="39.7109375" style="6" customWidth="1"/>
    <col min="3" max="3" width="12.7109375" style="992" customWidth="1"/>
    <col min="4" max="7" width="12.7109375" style="993" customWidth="1"/>
    <col min="8" max="8" width="11.7109375" style="993" customWidth="1"/>
    <col min="9" max="9" width="9.42578125" style="6" customWidth="1"/>
    <col min="10" max="16384" width="11.42578125" style="3"/>
  </cols>
  <sheetData>
    <row r="1" spans="1:14" s="6" customFormat="1" x14ac:dyDescent="0.25">
      <c r="A1" s="1370" t="str">
        <f>'[2]ETCA-I-01'!A1:G1</f>
        <v>TELEVISORA DE HERMOSILLO, S.A. DE C.V.</v>
      </c>
      <c r="B1" s="1370"/>
      <c r="C1" s="1370"/>
      <c r="D1" s="1370"/>
      <c r="E1" s="1370"/>
      <c r="F1" s="1370"/>
      <c r="G1" s="1370"/>
      <c r="H1" s="1370"/>
      <c r="I1" s="1370"/>
    </row>
    <row r="2" spans="1:14" s="928" customFormat="1" ht="15.75" x14ac:dyDescent="0.25">
      <c r="A2" s="1370" t="s">
        <v>499</v>
      </c>
      <c r="B2" s="1370"/>
      <c r="C2" s="1370"/>
      <c r="D2" s="1370"/>
      <c r="E2" s="1370"/>
      <c r="F2" s="1370"/>
      <c r="G2" s="1370"/>
      <c r="H2" s="1370"/>
      <c r="I2" s="1370"/>
    </row>
    <row r="3" spans="1:14" s="928" customFormat="1" ht="15.75" x14ac:dyDescent="0.25">
      <c r="A3" s="1370" t="s">
        <v>753</v>
      </c>
      <c r="B3" s="1370"/>
      <c r="C3" s="1370"/>
      <c r="D3" s="1370"/>
      <c r="E3" s="1370"/>
      <c r="F3" s="1370"/>
      <c r="G3" s="1370"/>
      <c r="H3" s="1370"/>
      <c r="I3" s="1370"/>
    </row>
    <row r="4" spans="1:14" s="928" customFormat="1" x14ac:dyDescent="0.25">
      <c r="A4" s="1371" t="str">
        <f>+'ETCA-I-03'!A3:D3</f>
        <v>Del 01 de Enero al 30 de Septiembre de 2021</v>
      </c>
      <c r="B4" s="1371"/>
      <c r="C4" s="1371"/>
      <c r="D4" s="1371"/>
      <c r="E4" s="1371"/>
      <c r="F4" s="1371"/>
      <c r="G4" s="1371"/>
      <c r="H4" s="1371"/>
      <c r="I4" s="1371"/>
    </row>
    <row r="5" spans="1:14" s="930" customFormat="1" ht="17.25" thickBot="1" x14ac:dyDescent="0.3">
      <c r="A5" s="929"/>
      <c r="B5" s="929"/>
      <c r="C5" s="1372" t="s">
        <v>1040</v>
      </c>
      <c r="D5" s="1372"/>
      <c r="E5" s="1372"/>
      <c r="F5" s="983"/>
      <c r="G5" s="984"/>
      <c r="H5" s="1373"/>
      <c r="I5" s="1373"/>
    </row>
    <row r="6" spans="1:14" ht="38.25" customHeight="1" x14ac:dyDescent="0.3">
      <c r="A6" s="1223" t="s">
        <v>754</v>
      </c>
      <c r="B6" s="1366"/>
      <c r="C6" s="985" t="s">
        <v>502</v>
      </c>
      <c r="D6" s="985" t="s">
        <v>432</v>
      </c>
      <c r="E6" s="985" t="s">
        <v>503</v>
      </c>
      <c r="F6" s="986" t="s">
        <v>504</v>
      </c>
      <c r="G6" s="986" t="s">
        <v>505</v>
      </c>
      <c r="H6" s="985" t="s">
        <v>506</v>
      </c>
      <c r="I6" s="931" t="s">
        <v>755</v>
      </c>
    </row>
    <row r="7" spans="1:14" ht="18" customHeight="1" thickBot="1" x14ac:dyDescent="0.35">
      <c r="A7" s="1229"/>
      <c r="B7" s="1367"/>
      <c r="C7" s="987" t="s">
        <v>412</v>
      </c>
      <c r="D7" s="988" t="s">
        <v>413</v>
      </c>
      <c r="E7" s="988" t="s">
        <v>507</v>
      </c>
      <c r="F7" s="989" t="s">
        <v>415</v>
      </c>
      <c r="G7" s="989" t="s">
        <v>416</v>
      </c>
      <c r="H7" s="988" t="s">
        <v>508</v>
      </c>
      <c r="I7" s="932" t="s">
        <v>756</v>
      </c>
    </row>
    <row r="8" spans="1:14" ht="6" customHeight="1" x14ac:dyDescent="0.3">
      <c r="A8" s="1092"/>
      <c r="B8" s="1093"/>
      <c r="C8" s="1094"/>
      <c r="D8" s="985"/>
      <c r="E8" s="985"/>
      <c r="F8" s="985"/>
      <c r="G8" s="985"/>
      <c r="H8" s="985"/>
      <c r="I8" s="933"/>
    </row>
    <row r="9" spans="1:14" ht="17.100000000000001" customHeight="1" x14ac:dyDescent="0.3">
      <c r="A9" s="296">
        <v>1000</v>
      </c>
      <c r="B9" s="297" t="s">
        <v>757</v>
      </c>
      <c r="C9" s="880">
        <f>SUM(C10:C46)</f>
        <v>73011857</v>
      </c>
      <c r="D9" s="1015">
        <f>SUM(D10:D46)-1</f>
        <v>0</v>
      </c>
      <c r="E9" s="880">
        <f>SUM(E10:E46)-1</f>
        <v>73011857</v>
      </c>
      <c r="F9" s="880">
        <f>SUM(F10:F46)+1</f>
        <v>50644779</v>
      </c>
      <c r="G9" s="880">
        <f>SUM(G10:G46)+2</f>
        <v>42380893</v>
      </c>
      <c r="H9" s="880">
        <f>+E9-F9</f>
        <v>22367078</v>
      </c>
      <c r="I9" s="881">
        <f>+F9/E9</f>
        <v>0.69365142979447847</v>
      </c>
      <c r="J9" s="882"/>
      <c r="K9" s="33"/>
      <c r="L9" s="882"/>
      <c r="M9" s="882"/>
    </row>
    <row r="10" spans="1:14" s="33" customFormat="1" ht="17.100000000000001" customHeight="1" x14ac:dyDescent="0.2">
      <c r="A10" s="298">
        <v>1100</v>
      </c>
      <c r="B10" s="299" t="s">
        <v>758</v>
      </c>
      <c r="C10" s="883"/>
      <c r="D10" s="1089"/>
      <c r="E10" s="884"/>
      <c r="F10" s="885"/>
      <c r="G10" s="955"/>
      <c r="H10" s="886"/>
      <c r="I10" s="497" t="s">
        <v>2038</v>
      </c>
      <c r="J10" s="882"/>
      <c r="L10" s="882"/>
      <c r="M10" s="882"/>
    </row>
    <row r="11" spans="1:14" s="33" customFormat="1" ht="17.100000000000001" customHeight="1" x14ac:dyDescent="0.2">
      <c r="A11" s="300">
        <v>113</v>
      </c>
      <c r="B11" s="299" t="s">
        <v>759</v>
      </c>
      <c r="C11" s="884"/>
      <c r="D11" s="1007"/>
      <c r="E11" s="884"/>
      <c r="F11" s="887"/>
      <c r="G11" s="888"/>
      <c r="H11" s="886"/>
      <c r="I11" s="497" t="s">
        <v>2038</v>
      </c>
      <c r="J11" s="882"/>
      <c r="L11" s="882"/>
      <c r="M11" s="882"/>
    </row>
    <row r="12" spans="1:14" s="33" customFormat="1" ht="17.100000000000001" customHeight="1" x14ac:dyDescent="0.2">
      <c r="A12" s="301">
        <v>11301</v>
      </c>
      <c r="B12" s="299" t="s">
        <v>760</v>
      </c>
      <c r="C12" s="1012">
        <v>37389933</v>
      </c>
      <c r="D12" s="1090">
        <v>-930987</v>
      </c>
      <c r="E12" s="1008">
        <f>+C12+D12</f>
        <v>36458946</v>
      </c>
      <c r="F12" s="1009">
        <v>25954634</v>
      </c>
      <c r="G12" s="1009">
        <v>25954634</v>
      </c>
      <c r="H12" s="1008">
        <f>+E12-F12</f>
        <v>10504312</v>
      </c>
      <c r="I12" s="881">
        <f t="shared" ref="I12:I13" si="0">+F12/E12</f>
        <v>0.71188656962272034</v>
      </c>
      <c r="J12" s="882"/>
      <c r="K12" s="889"/>
      <c r="L12" s="882"/>
      <c r="M12" s="882"/>
      <c r="N12" s="889"/>
    </row>
    <row r="13" spans="1:14" s="33" customFormat="1" ht="17.100000000000001" customHeight="1" x14ac:dyDescent="0.2">
      <c r="A13" s="301">
        <v>11303</v>
      </c>
      <c r="B13" s="299" t="s">
        <v>1101</v>
      </c>
      <c r="C13" s="1012">
        <v>2716200</v>
      </c>
      <c r="D13" s="1007">
        <v>0</v>
      </c>
      <c r="E13" s="1008">
        <f>+C13+D13</f>
        <v>2716200</v>
      </c>
      <c r="F13" s="1009">
        <v>1621658</v>
      </c>
      <c r="G13" s="1009">
        <v>1541658</v>
      </c>
      <c r="H13" s="1008">
        <f>+E13-F13</f>
        <v>1094542</v>
      </c>
      <c r="I13" s="881">
        <f t="shared" si="0"/>
        <v>0.59703188277740959</v>
      </c>
      <c r="J13" s="882"/>
      <c r="K13" s="889"/>
      <c r="L13" s="882"/>
      <c r="M13" s="882"/>
      <c r="N13" s="889"/>
    </row>
    <row r="14" spans="1:14" s="33" customFormat="1" ht="17.100000000000001" customHeight="1" x14ac:dyDescent="0.2">
      <c r="A14" s="301">
        <v>11306</v>
      </c>
      <c r="B14" s="299" t="s">
        <v>761</v>
      </c>
      <c r="C14" s="1010"/>
      <c r="D14" s="1010"/>
      <c r="E14" s="1008"/>
      <c r="F14" s="1091"/>
      <c r="G14" s="1091"/>
      <c r="H14" s="1007"/>
      <c r="I14" s="497" t="s">
        <v>2038</v>
      </c>
      <c r="J14" s="882"/>
      <c r="K14" s="889"/>
      <c r="L14" s="882"/>
      <c r="M14" s="882"/>
      <c r="N14" s="889"/>
    </row>
    <row r="15" spans="1:14" s="33" customFormat="1" ht="17.100000000000001" customHeight="1" x14ac:dyDescent="0.2">
      <c r="A15" s="301">
        <v>11307</v>
      </c>
      <c r="B15" s="299" t="s">
        <v>762</v>
      </c>
      <c r="C15" s="1010"/>
      <c r="D15" s="1010"/>
      <c r="E15" s="1008"/>
      <c r="F15" s="1091"/>
      <c r="G15" s="1091"/>
      <c r="H15" s="1007"/>
      <c r="I15" s="497" t="s">
        <v>2038</v>
      </c>
      <c r="J15" s="882"/>
      <c r="K15" s="889"/>
      <c r="L15" s="882"/>
      <c r="M15" s="882"/>
      <c r="N15" s="889"/>
    </row>
    <row r="16" spans="1:14" s="33" customFormat="1" ht="17.100000000000001" customHeight="1" x14ac:dyDescent="0.2">
      <c r="A16" s="301">
        <v>11308</v>
      </c>
      <c r="B16" s="299" t="s">
        <v>1102</v>
      </c>
      <c r="C16" s="1012">
        <v>2643038</v>
      </c>
      <c r="D16" s="1007">
        <v>0</v>
      </c>
      <c r="E16" s="1008">
        <f>+C16+D16</f>
        <v>2643038</v>
      </c>
      <c r="F16" s="1009">
        <v>1783350</v>
      </c>
      <c r="G16" s="1009">
        <v>1783350</v>
      </c>
      <c r="H16" s="1008">
        <f>+E16-F16</f>
        <v>859688</v>
      </c>
      <c r="I16" s="881">
        <f t="shared" ref="I16" si="1">+F16/E16</f>
        <v>0.67473490733012542</v>
      </c>
      <c r="J16" s="882"/>
      <c r="K16" s="889"/>
      <c r="L16" s="882"/>
      <c r="M16" s="882"/>
      <c r="N16" s="889"/>
    </row>
    <row r="17" spans="1:14" s="33" customFormat="1" ht="17.100000000000001" customHeight="1" x14ac:dyDescent="0.2">
      <c r="A17" s="301">
        <v>11309</v>
      </c>
      <c r="B17" s="299" t="s">
        <v>763</v>
      </c>
      <c r="C17" s="1008"/>
      <c r="D17" s="1007"/>
      <c r="E17" s="1008"/>
      <c r="F17" s="1091"/>
      <c r="G17" s="1091"/>
      <c r="H17" s="1007"/>
      <c r="I17" s="497" t="s">
        <v>2038</v>
      </c>
      <c r="J17" s="882"/>
      <c r="K17" s="889"/>
      <c r="L17" s="882"/>
      <c r="M17" s="882"/>
      <c r="N17" s="889"/>
    </row>
    <row r="18" spans="1:14" s="33" customFormat="1" ht="17.100000000000001" customHeight="1" x14ac:dyDescent="0.2">
      <c r="A18" s="301">
        <v>11310</v>
      </c>
      <c r="B18" s="299" t="s">
        <v>764</v>
      </c>
      <c r="C18" s="1008"/>
      <c r="D18" s="1010"/>
      <c r="E18" s="1008"/>
      <c r="F18" s="1091"/>
      <c r="G18" s="1091"/>
      <c r="H18" s="1007"/>
      <c r="I18" s="497" t="s">
        <v>2038</v>
      </c>
      <c r="J18" s="882"/>
      <c r="K18" s="889"/>
      <c r="L18" s="882"/>
      <c r="M18" s="882"/>
      <c r="N18" s="889"/>
    </row>
    <row r="19" spans="1:14" s="33" customFormat="1" ht="17.100000000000001" customHeight="1" x14ac:dyDescent="0.2">
      <c r="A19" s="300">
        <v>121</v>
      </c>
      <c r="B19" s="299" t="s">
        <v>765</v>
      </c>
      <c r="C19" s="1008"/>
      <c r="D19" s="1010"/>
      <c r="E19" s="1008"/>
      <c r="F19" s="1091"/>
      <c r="G19" s="1091"/>
      <c r="H19" s="1007"/>
      <c r="I19" s="497" t="s">
        <v>2038</v>
      </c>
      <c r="J19" s="882"/>
      <c r="K19" s="889"/>
      <c r="L19" s="882"/>
      <c r="M19" s="882"/>
      <c r="N19" s="889"/>
    </row>
    <row r="20" spans="1:14" s="33" customFormat="1" ht="17.100000000000001" customHeight="1" x14ac:dyDescent="0.2">
      <c r="A20" s="301">
        <v>12101</v>
      </c>
      <c r="B20" s="299" t="s">
        <v>766</v>
      </c>
      <c r="C20" s="1012">
        <v>985777</v>
      </c>
      <c r="D20" s="1007">
        <v>-33022</v>
      </c>
      <c r="E20" s="1008">
        <f>+C20+D20</f>
        <v>952755</v>
      </c>
      <c r="F20" s="1009">
        <v>819068</v>
      </c>
      <c r="G20" s="1009">
        <v>819068</v>
      </c>
      <c r="H20" s="1008">
        <f>+E20-F20</f>
        <v>133687</v>
      </c>
      <c r="I20" s="881">
        <f t="shared" ref="I20" si="2">+F20/E20</f>
        <v>0.85968375920357276</v>
      </c>
      <c r="J20" s="882"/>
      <c r="K20" s="889"/>
      <c r="L20" s="882"/>
      <c r="M20" s="882"/>
      <c r="N20" s="889"/>
    </row>
    <row r="21" spans="1:14" s="33" customFormat="1" ht="17.100000000000001" customHeight="1" x14ac:dyDescent="0.2">
      <c r="A21" s="300">
        <v>122</v>
      </c>
      <c r="B21" s="299" t="s">
        <v>767</v>
      </c>
      <c r="C21" s="1008"/>
      <c r="D21" s="1007"/>
      <c r="E21" s="1008"/>
      <c r="F21" s="1091"/>
      <c r="G21" s="1091"/>
      <c r="H21" s="1007"/>
      <c r="I21" s="497" t="s">
        <v>2038</v>
      </c>
      <c r="J21" s="882"/>
      <c r="K21" s="889"/>
      <c r="L21" s="882"/>
      <c r="M21" s="882"/>
      <c r="N21" s="889"/>
    </row>
    <row r="22" spans="1:14" s="33" customFormat="1" ht="17.100000000000001" customHeight="1" x14ac:dyDescent="0.2">
      <c r="A22" s="301">
        <v>12201</v>
      </c>
      <c r="B22" s="299" t="s">
        <v>767</v>
      </c>
      <c r="C22" s="1008"/>
      <c r="D22" s="1010"/>
      <c r="E22" s="1008"/>
      <c r="F22" s="1091"/>
      <c r="G22" s="1091"/>
      <c r="H22" s="1007"/>
      <c r="I22" s="497" t="s">
        <v>2038</v>
      </c>
      <c r="J22" s="882"/>
      <c r="K22" s="889"/>
      <c r="L22" s="882"/>
      <c r="M22" s="882"/>
      <c r="N22" s="889"/>
    </row>
    <row r="23" spans="1:14" s="33" customFormat="1" ht="17.100000000000001" customHeight="1" x14ac:dyDescent="0.2">
      <c r="A23" s="298">
        <v>1300</v>
      </c>
      <c r="B23" s="299" t="s">
        <v>768</v>
      </c>
      <c r="C23" s="1008"/>
      <c r="D23" s="1010"/>
      <c r="E23" s="1008"/>
      <c r="F23" s="1091"/>
      <c r="G23" s="1091"/>
      <c r="H23" s="1007"/>
      <c r="I23" s="497" t="s">
        <v>2038</v>
      </c>
      <c r="J23" s="882"/>
      <c r="K23" s="889"/>
      <c r="L23" s="882"/>
      <c r="M23" s="882"/>
      <c r="N23" s="889"/>
    </row>
    <row r="24" spans="1:14" s="33" customFormat="1" ht="17.100000000000001" customHeight="1" x14ac:dyDescent="0.2">
      <c r="A24" s="300">
        <v>131</v>
      </c>
      <c r="B24" s="299" t="s">
        <v>769</v>
      </c>
      <c r="C24" s="1008"/>
      <c r="D24" s="1010"/>
      <c r="E24" s="1008"/>
      <c r="F24" s="1091"/>
      <c r="G24" s="1091"/>
      <c r="H24" s="1007"/>
      <c r="I24" s="497" t="s">
        <v>2038</v>
      </c>
      <c r="J24" s="882"/>
      <c r="K24" s="889"/>
      <c r="L24" s="882"/>
      <c r="M24" s="882"/>
      <c r="N24" s="889"/>
    </row>
    <row r="25" spans="1:14" s="33" customFormat="1" ht="17.100000000000001" customHeight="1" x14ac:dyDescent="0.2">
      <c r="A25" s="301">
        <v>13101</v>
      </c>
      <c r="B25" s="299" t="s">
        <v>770</v>
      </c>
      <c r="C25" s="1008"/>
      <c r="D25" s="1010"/>
      <c r="E25" s="1008"/>
      <c r="F25" s="1091"/>
      <c r="G25" s="1091"/>
      <c r="H25" s="1007"/>
      <c r="I25" s="497" t="s">
        <v>2038</v>
      </c>
      <c r="J25" s="882"/>
      <c r="K25" s="889"/>
      <c r="L25" s="882"/>
      <c r="M25" s="882"/>
      <c r="N25" s="889"/>
    </row>
    <row r="26" spans="1:14" s="33" customFormat="1" ht="17.100000000000001" customHeight="1" x14ac:dyDescent="0.2">
      <c r="A26" s="300">
        <v>132</v>
      </c>
      <c r="B26" s="299" t="s">
        <v>771</v>
      </c>
      <c r="C26" s="1008"/>
      <c r="D26" s="1010"/>
      <c r="E26" s="1008"/>
      <c r="F26" s="1091"/>
      <c r="G26" s="1091"/>
      <c r="H26" s="1007"/>
      <c r="I26" s="497" t="s">
        <v>2038</v>
      </c>
      <c r="J26" s="882"/>
      <c r="K26" s="889"/>
      <c r="L26" s="882"/>
      <c r="M26" s="882"/>
      <c r="N26" s="889"/>
    </row>
    <row r="27" spans="1:14" s="33" customFormat="1" ht="17.100000000000001" customHeight="1" x14ac:dyDescent="0.2">
      <c r="A27" s="301">
        <v>13201</v>
      </c>
      <c r="B27" s="299" t="s">
        <v>772</v>
      </c>
      <c r="C27" s="1012">
        <v>4103612</v>
      </c>
      <c r="D27" s="1007">
        <v>0</v>
      </c>
      <c r="E27" s="1008">
        <f t="shared" ref="E27:E28" si="3">+C27+D27</f>
        <v>4103612</v>
      </c>
      <c r="F27" s="1011">
        <v>2466207</v>
      </c>
      <c r="G27" s="1011">
        <v>2466207</v>
      </c>
      <c r="H27" s="1008">
        <f t="shared" ref="H27:H28" si="4">+E27-F27</f>
        <v>1637405</v>
      </c>
      <c r="I27" s="881">
        <f t="shared" ref="I27:I28" si="5">+F27/E27</f>
        <v>0.60098444979691057</v>
      </c>
      <c r="J27" s="882"/>
      <c r="K27" s="889"/>
      <c r="L27" s="882"/>
      <c r="M27" s="882"/>
      <c r="N27" s="889"/>
    </row>
    <row r="28" spans="1:14" s="33" customFormat="1" ht="17.100000000000001" customHeight="1" x14ac:dyDescent="0.2">
      <c r="A28" s="301">
        <v>13202</v>
      </c>
      <c r="B28" s="299" t="s">
        <v>773</v>
      </c>
      <c r="C28" s="1012">
        <v>7188619</v>
      </c>
      <c r="D28" s="1007">
        <v>0</v>
      </c>
      <c r="E28" s="1008">
        <f t="shared" si="3"/>
        <v>7188619</v>
      </c>
      <c r="F28" s="1010">
        <v>4363359</v>
      </c>
      <c r="G28" s="1010">
        <v>45582</v>
      </c>
      <c r="H28" s="1008">
        <f t="shared" si="4"/>
        <v>2825260</v>
      </c>
      <c r="I28" s="881">
        <f t="shared" si="5"/>
        <v>0.60698153567465463</v>
      </c>
      <c r="J28" s="882"/>
      <c r="K28" s="889"/>
      <c r="L28" s="882"/>
      <c r="M28" s="882"/>
      <c r="N28" s="889"/>
    </row>
    <row r="29" spans="1:14" s="33" customFormat="1" ht="17.100000000000001" customHeight="1" x14ac:dyDescent="0.2">
      <c r="A29" s="301">
        <v>13203</v>
      </c>
      <c r="B29" s="299" t="s">
        <v>774</v>
      </c>
      <c r="C29" s="1010"/>
      <c r="D29" s="1007"/>
      <c r="E29" s="1008"/>
      <c r="F29" s="1091"/>
      <c r="G29" s="1091"/>
      <c r="H29" s="1007"/>
      <c r="I29" s="497" t="s">
        <v>2038</v>
      </c>
      <c r="J29" s="882"/>
      <c r="K29" s="889"/>
      <c r="L29" s="882"/>
      <c r="M29" s="882"/>
      <c r="N29" s="889"/>
    </row>
    <row r="30" spans="1:14" s="33" customFormat="1" ht="17.100000000000001" customHeight="1" x14ac:dyDescent="0.2">
      <c r="A30" s="301">
        <v>13204</v>
      </c>
      <c r="B30" s="299" t="s">
        <v>775</v>
      </c>
      <c r="C30" s="1008"/>
      <c r="D30" s="1007"/>
      <c r="E30" s="1008"/>
      <c r="F30" s="1091"/>
      <c r="G30" s="1091"/>
      <c r="H30" s="1007"/>
      <c r="I30" s="497" t="s">
        <v>2038</v>
      </c>
      <c r="J30" s="882"/>
      <c r="K30" s="889"/>
      <c r="L30" s="882"/>
      <c r="M30" s="882"/>
      <c r="N30" s="889"/>
    </row>
    <row r="31" spans="1:14" s="33" customFormat="1" ht="17.100000000000001" customHeight="1" x14ac:dyDescent="0.2">
      <c r="A31" s="301">
        <v>13301</v>
      </c>
      <c r="B31" s="299" t="s">
        <v>1103</v>
      </c>
      <c r="C31" s="1010">
        <v>193832</v>
      </c>
      <c r="D31" s="1007">
        <v>2870</v>
      </c>
      <c r="E31" s="1008">
        <f t="shared" ref="E31" si="6">+C31+D31</f>
        <v>196702</v>
      </c>
      <c r="F31" s="1010">
        <v>89121</v>
      </c>
      <c r="G31" s="1010">
        <v>89121</v>
      </c>
      <c r="H31" s="1008">
        <f t="shared" ref="H31" si="7">+E31-F31</f>
        <v>107581</v>
      </c>
      <c r="I31" s="881">
        <f t="shared" ref="I31" si="8">+F31/E31</f>
        <v>0.4530762269829488</v>
      </c>
      <c r="J31" s="882"/>
      <c r="K31" s="889"/>
      <c r="L31" s="882"/>
      <c r="M31" s="882"/>
      <c r="N31" s="889"/>
    </row>
    <row r="32" spans="1:14" s="33" customFormat="1" ht="17.100000000000001" customHeight="1" x14ac:dyDescent="0.2">
      <c r="A32" s="300">
        <v>134</v>
      </c>
      <c r="B32" s="299" t="s">
        <v>776</v>
      </c>
      <c r="C32" s="1008"/>
      <c r="D32" s="1007"/>
      <c r="E32" s="1008"/>
      <c r="F32" s="1091"/>
      <c r="G32" s="1091"/>
      <c r="H32" s="1007"/>
      <c r="I32" s="497" t="s">
        <v>2038</v>
      </c>
      <c r="J32" s="882"/>
      <c r="K32" s="889"/>
      <c r="L32" s="882"/>
      <c r="M32" s="882"/>
      <c r="N32" s="889"/>
    </row>
    <row r="33" spans="1:14" s="33" customFormat="1" ht="17.100000000000001" customHeight="1" x14ac:dyDescent="0.2">
      <c r="A33" s="301">
        <v>13403</v>
      </c>
      <c r="B33" s="299" t="s">
        <v>777</v>
      </c>
      <c r="C33" s="1008"/>
      <c r="D33" s="1007"/>
      <c r="E33" s="1008"/>
      <c r="F33" s="1091"/>
      <c r="G33" s="1091"/>
      <c r="H33" s="1007"/>
      <c r="I33" s="497" t="s">
        <v>2038</v>
      </c>
      <c r="J33" s="882"/>
      <c r="K33" s="889"/>
      <c r="L33" s="882"/>
      <c r="M33" s="882"/>
      <c r="N33" s="889"/>
    </row>
    <row r="34" spans="1:14" s="33" customFormat="1" ht="17.100000000000001" customHeight="1" x14ac:dyDescent="0.2">
      <c r="A34" s="890">
        <v>141</v>
      </c>
      <c r="B34" s="299" t="s">
        <v>1104</v>
      </c>
      <c r="C34" s="1008"/>
      <c r="D34" s="1007"/>
      <c r="E34" s="1008"/>
      <c r="F34" s="1091"/>
      <c r="G34" s="1091"/>
      <c r="H34" s="1007"/>
      <c r="I34" s="497" t="s">
        <v>2038</v>
      </c>
      <c r="J34" s="882"/>
      <c r="K34" s="889"/>
      <c r="L34" s="882"/>
      <c r="M34" s="882"/>
      <c r="N34" s="889"/>
    </row>
    <row r="35" spans="1:14" s="33" customFormat="1" ht="17.100000000000001" customHeight="1" x14ac:dyDescent="0.2">
      <c r="A35" s="890">
        <v>14101</v>
      </c>
      <c r="B35" s="299" t="s">
        <v>1105</v>
      </c>
      <c r="C35" s="1012">
        <v>4773646</v>
      </c>
      <c r="D35" s="1007">
        <v>0</v>
      </c>
      <c r="E35" s="1008">
        <f t="shared" ref="E35:E46" si="9">+C35+D35</f>
        <v>4773646</v>
      </c>
      <c r="F35" s="1010">
        <v>3440315</v>
      </c>
      <c r="G35" s="1010">
        <v>3056126</v>
      </c>
      <c r="H35" s="1008">
        <f t="shared" ref="H35:H46" si="10">+E35-F35</f>
        <v>1333331</v>
      </c>
      <c r="I35" s="881">
        <f t="shared" ref="I35:I46" si="11">+F35/E35</f>
        <v>0.72068917552746892</v>
      </c>
      <c r="J35" s="882"/>
      <c r="K35" s="889"/>
      <c r="L35" s="882"/>
      <c r="M35" s="882"/>
      <c r="N35" s="889"/>
    </row>
    <row r="36" spans="1:14" s="33" customFormat="1" ht="17.100000000000001" customHeight="1" x14ac:dyDescent="0.2">
      <c r="A36" s="890">
        <v>14201</v>
      </c>
      <c r="B36" s="299" t="s">
        <v>1106</v>
      </c>
      <c r="C36" s="1012">
        <v>2218596</v>
      </c>
      <c r="D36" s="1007">
        <v>0</v>
      </c>
      <c r="E36" s="1008">
        <f t="shared" si="9"/>
        <v>2218596</v>
      </c>
      <c r="F36" s="1009">
        <v>1466434</v>
      </c>
      <c r="G36" s="1009">
        <v>1303972</v>
      </c>
      <c r="H36" s="1008">
        <f t="shared" si="10"/>
        <v>752162</v>
      </c>
      <c r="I36" s="881">
        <f t="shared" si="11"/>
        <v>0.66097387717277056</v>
      </c>
      <c r="J36" s="882"/>
      <c r="K36" s="889"/>
      <c r="L36" s="882"/>
      <c r="M36" s="882"/>
      <c r="N36" s="889"/>
    </row>
    <row r="37" spans="1:14" s="33" customFormat="1" ht="17.100000000000001" customHeight="1" x14ac:dyDescent="0.2">
      <c r="A37" s="890">
        <v>14301</v>
      </c>
      <c r="B37" s="299" t="s">
        <v>1107</v>
      </c>
      <c r="C37" s="1012">
        <v>2773675</v>
      </c>
      <c r="D37" s="1007">
        <v>0</v>
      </c>
      <c r="E37" s="1008">
        <f t="shared" si="9"/>
        <v>2773675</v>
      </c>
      <c r="F37" s="1010">
        <v>1831381</v>
      </c>
      <c r="G37" s="1010">
        <v>1627596</v>
      </c>
      <c r="H37" s="1008">
        <f t="shared" si="10"/>
        <v>942294</v>
      </c>
      <c r="I37" s="881">
        <f t="shared" si="11"/>
        <v>0.66027238230866991</v>
      </c>
      <c r="J37" s="882"/>
      <c r="K37" s="889"/>
      <c r="L37" s="882"/>
      <c r="M37" s="882"/>
      <c r="N37" s="889"/>
    </row>
    <row r="38" spans="1:14" s="33" customFormat="1" ht="17.100000000000001" customHeight="1" x14ac:dyDescent="0.2">
      <c r="A38" s="890">
        <v>150</v>
      </c>
      <c r="B38" s="299" t="s">
        <v>1108</v>
      </c>
      <c r="C38" s="1008"/>
      <c r="D38" s="1010"/>
      <c r="E38" s="1008"/>
      <c r="F38" s="1091"/>
      <c r="G38" s="1091"/>
      <c r="H38" s="1007"/>
      <c r="I38" s="497" t="s">
        <v>2038</v>
      </c>
      <c r="J38" s="882"/>
      <c r="K38" s="889"/>
      <c r="L38" s="882"/>
      <c r="M38" s="882"/>
      <c r="N38" s="889"/>
    </row>
    <row r="39" spans="1:14" s="33" customFormat="1" ht="17.100000000000001" customHeight="1" x14ac:dyDescent="0.2">
      <c r="A39" s="890">
        <v>15101</v>
      </c>
      <c r="B39" s="299" t="s">
        <v>1109</v>
      </c>
      <c r="C39" s="1012">
        <v>3329780</v>
      </c>
      <c r="D39" s="1010">
        <v>0</v>
      </c>
      <c r="E39" s="1008">
        <f t="shared" si="9"/>
        <v>3329780</v>
      </c>
      <c r="F39" s="1010">
        <v>2289340</v>
      </c>
      <c r="G39" s="1010">
        <v>0</v>
      </c>
      <c r="H39" s="1008">
        <f t="shared" si="10"/>
        <v>1040440</v>
      </c>
      <c r="I39" s="881">
        <f t="shared" si="11"/>
        <v>0.68753491221642271</v>
      </c>
      <c r="J39" s="882"/>
      <c r="K39" s="889"/>
      <c r="L39" s="882"/>
      <c r="M39" s="882"/>
      <c r="N39" s="889"/>
    </row>
    <row r="40" spans="1:14" s="33" customFormat="1" ht="17.100000000000001" customHeight="1" thickBot="1" x14ac:dyDescent="0.25">
      <c r="A40" s="998">
        <v>15201</v>
      </c>
      <c r="B40" s="999" t="s">
        <v>1110</v>
      </c>
      <c r="C40" s="1099">
        <v>0</v>
      </c>
      <c r="D40" s="1013">
        <v>148771</v>
      </c>
      <c r="E40" s="1014">
        <f t="shared" si="9"/>
        <v>148771</v>
      </c>
      <c r="F40" s="1013">
        <v>148771</v>
      </c>
      <c r="G40" s="1013">
        <v>147571</v>
      </c>
      <c r="H40" s="1014">
        <f t="shared" si="10"/>
        <v>0</v>
      </c>
      <c r="I40" s="897">
        <f t="shared" si="11"/>
        <v>1</v>
      </c>
      <c r="J40" s="882"/>
      <c r="K40" s="889"/>
      <c r="L40" s="882"/>
      <c r="M40" s="882"/>
      <c r="N40" s="889"/>
    </row>
    <row r="41" spans="1:14" s="33" customFormat="1" ht="17.100000000000001" customHeight="1" x14ac:dyDescent="0.2">
      <c r="A41" s="890">
        <v>15303</v>
      </c>
      <c r="B41" s="299" t="s">
        <v>1111</v>
      </c>
      <c r="C41" s="1012">
        <v>163800</v>
      </c>
      <c r="D41" s="1010">
        <v>16150</v>
      </c>
      <c r="E41" s="1008">
        <f t="shared" si="9"/>
        <v>179950</v>
      </c>
      <c r="F41" s="1010">
        <v>122850</v>
      </c>
      <c r="G41" s="1010">
        <v>122850</v>
      </c>
      <c r="H41" s="1008">
        <f t="shared" si="10"/>
        <v>57100</v>
      </c>
      <c r="I41" s="881">
        <f t="shared" si="11"/>
        <v>0.68268963601000276</v>
      </c>
      <c r="J41" s="882"/>
      <c r="K41" s="889"/>
      <c r="L41" s="882"/>
      <c r="M41" s="882"/>
      <c r="N41" s="889"/>
    </row>
    <row r="42" spans="1:14" s="33" customFormat="1" ht="17.100000000000001" customHeight="1" x14ac:dyDescent="0.2">
      <c r="A42" s="890">
        <v>15404</v>
      </c>
      <c r="B42" s="299" t="s">
        <v>1112</v>
      </c>
      <c r="C42" s="1012">
        <v>1258281</v>
      </c>
      <c r="D42" s="1095">
        <v>-219694</v>
      </c>
      <c r="E42" s="1008">
        <f t="shared" si="9"/>
        <v>1038587</v>
      </c>
      <c r="F42" s="1010">
        <v>318497</v>
      </c>
      <c r="G42" s="1010">
        <v>318497</v>
      </c>
      <c r="H42" s="1008">
        <f t="shared" si="10"/>
        <v>720090</v>
      </c>
      <c r="I42" s="881">
        <f t="shared" si="11"/>
        <v>0.30666376528880102</v>
      </c>
      <c r="J42" s="882"/>
      <c r="K42" s="889"/>
      <c r="L42" s="882"/>
      <c r="M42" s="882"/>
      <c r="N42" s="889"/>
    </row>
    <row r="43" spans="1:14" s="33" customFormat="1" ht="17.100000000000001" customHeight="1" x14ac:dyDescent="0.2">
      <c r="A43" s="890">
        <v>15413</v>
      </c>
      <c r="B43" s="299" t="s">
        <v>1113</v>
      </c>
      <c r="C43" s="1012">
        <v>10800</v>
      </c>
      <c r="D43" s="1007">
        <v>0</v>
      </c>
      <c r="E43" s="1008">
        <f t="shared" si="9"/>
        <v>10800</v>
      </c>
      <c r="F43" s="1010">
        <v>0</v>
      </c>
      <c r="G43" s="1010">
        <v>0</v>
      </c>
      <c r="H43" s="1008">
        <f t="shared" si="10"/>
        <v>10800</v>
      </c>
      <c r="I43" s="881">
        <f t="shared" si="11"/>
        <v>0</v>
      </c>
      <c r="J43" s="882"/>
      <c r="K43" s="889"/>
      <c r="L43" s="882"/>
      <c r="M43" s="882"/>
      <c r="N43" s="889"/>
    </row>
    <row r="44" spans="1:14" s="33" customFormat="1" ht="17.100000000000001" customHeight="1" x14ac:dyDescent="0.2">
      <c r="A44" s="890">
        <v>15901</v>
      </c>
      <c r="B44" s="299" t="s">
        <v>1114</v>
      </c>
      <c r="C44" s="1012">
        <v>1281233</v>
      </c>
      <c r="D44" s="1007">
        <v>632442</v>
      </c>
      <c r="E44" s="1008">
        <f t="shared" si="9"/>
        <v>1913675</v>
      </c>
      <c r="F44" s="1011">
        <v>1718734</v>
      </c>
      <c r="G44" s="1011">
        <v>893600</v>
      </c>
      <c r="H44" s="1008">
        <f t="shared" si="10"/>
        <v>194941</v>
      </c>
      <c r="I44" s="881">
        <f t="shared" si="11"/>
        <v>0.8981326505284335</v>
      </c>
      <c r="J44" s="882"/>
      <c r="K44" s="889"/>
      <c r="L44" s="882"/>
      <c r="M44" s="882"/>
      <c r="N44" s="889"/>
    </row>
    <row r="45" spans="1:14" s="33" customFormat="1" ht="17.100000000000001" customHeight="1" x14ac:dyDescent="0.2">
      <c r="A45" s="890">
        <v>170</v>
      </c>
      <c r="B45" s="299" t="s">
        <v>1115</v>
      </c>
      <c r="C45" s="1008"/>
      <c r="D45" s="1007"/>
      <c r="E45" s="1008"/>
      <c r="F45" s="1091"/>
      <c r="G45" s="1091"/>
      <c r="H45" s="1007"/>
      <c r="I45" s="497" t="s">
        <v>2038</v>
      </c>
      <c r="J45" s="882"/>
      <c r="K45" s="889"/>
      <c r="L45" s="882"/>
      <c r="M45" s="882"/>
      <c r="N45" s="889"/>
    </row>
    <row r="46" spans="1:14" s="33" customFormat="1" ht="17.100000000000001" customHeight="1" x14ac:dyDescent="0.2">
      <c r="A46" s="890">
        <v>17102</v>
      </c>
      <c r="B46" s="299" t="s">
        <v>1116</v>
      </c>
      <c r="C46" s="1012">
        <v>1981035</v>
      </c>
      <c r="D46" s="1007">
        <v>383471</v>
      </c>
      <c r="E46" s="1008">
        <f t="shared" si="9"/>
        <v>2364506</v>
      </c>
      <c r="F46" s="1011">
        <v>2211059</v>
      </c>
      <c r="G46" s="1011">
        <v>2211059</v>
      </c>
      <c r="H46" s="1008">
        <f t="shared" si="10"/>
        <v>153447</v>
      </c>
      <c r="I46" s="881">
        <f t="shared" si="11"/>
        <v>0.93510399212351336</v>
      </c>
      <c r="J46" s="882"/>
      <c r="K46" s="889"/>
      <c r="L46" s="882"/>
      <c r="M46" s="882"/>
      <c r="N46" s="889"/>
    </row>
    <row r="47" spans="1:14" s="33" customFormat="1" ht="9" customHeight="1" x14ac:dyDescent="0.2">
      <c r="A47" s="890"/>
      <c r="B47" s="299"/>
      <c r="C47" s="884"/>
      <c r="D47" s="1007"/>
      <c r="E47" s="884"/>
      <c r="F47" s="884"/>
      <c r="G47" s="991"/>
      <c r="H47" s="886"/>
      <c r="I47" s="497" t="s">
        <v>2038</v>
      </c>
      <c r="J47" s="882"/>
      <c r="K47" s="889"/>
      <c r="L47" s="882"/>
      <c r="M47" s="882"/>
      <c r="N47" s="889"/>
    </row>
    <row r="48" spans="1:14" s="33" customFormat="1" ht="17.100000000000001" customHeight="1" x14ac:dyDescent="0.2">
      <c r="A48" s="892" t="s">
        <v>1117</v>
      </c>
      <c r="B48" s="297" t="s">
        <v>1118</v>
      </c>
      <c r="C48" s="880">
        <f>SUM(C49:C67)-1</f>
        <v>976480</v>
      </c>
      <c r="D48" s="1015">
        <f>SUM(D49:D68)</f>
        <v>0</v>
      </c>
      <c r="E48" s="880">
        <f>SUM(E49:E67)-1</f>
        <v>976480</v>
      </c>
      <c r="F48" s="880">
        <f>SUM(F49:F67)+1</f>
        <v>682153</v>
      </c>
      <c r="G48" s="880">
        <f>SUM(G49:G67)+1</f>
        <v>682153</v>
      </c>
      <c r="H48" s="1015">
        <f>+E48-F48+1</f>
        <v>294328</v>
      </c>
      <c r="I48" s="881">
        <f t="shared" ref="I48:I69" si="12">+F48/E48</f>
        <v>0.69858368834999185</v>
      </c>
      <c r="J48" s="882"/>
      <c r="K48" s="889"/>
      <c r="L48" s="882"/>
      <c r="M48" s="882"/>
      <c r="N48" s="889"/>
    </row>
    <row r="49" spans="1:14" s="33" customFormat="1" ht="17.100000000000001" customHeight="1" x14ac:dyDescent="0.2">
      <c r="A49" s="890" t="s">
        <v>1119</v>
      </c>
      <c r="B49" s="299" t="s">
        <v>1120</v>
      </c>
      <c r="C49" s="884"/>
      <c r="D49" s="1096"/>
      <c r="E49" s="884"/>
      <c r="F49" s="884"/>
      <c r="G49" s="991"/>
      <c r="H49" s="886"/>
      <c r="I49" s="497" t="s">
        <v>2038</v>
      </c>
      <c r="J49" s="882"/>
      <c r="K49" s="889"/>
      <c r="L49" s="882"/>
      <c r="M49" s="882"/>
      <c r="N49" s="889"/>
    </row>
    <row r="50" spans="1:14" s="33" customFormat="1" ht="17.100000000000001" customHeight="1" x14ac:dyDescent="0.2">
      <c r="A50" s="890" t="s">
        <v>1121</v>
      </c>
      <c r="B50" s="299" t="s">
        <v>1122</v>
      </c>
      <c r="C50" s="891">
        <v>233140</v>
      </c>
      <c r="D50" s="1097">
        <v>-130215</v>
      </c>
      <c r="E50" s="1008">
        <f t="shared" ref="E50" si="13">+C50+D50</f>
        <v>102925</v>
      </c>
      <c r="F50" s="893">
        <v>63224</v>
      </c>
      <c r="G50" s="893">
        <v>63224</v>
      </c>
      <c r="H50" s="1008">
        <f t="shared" ref="H50:H76" si="14">+E50-F50</f>
        <v>39701</v>
      </c>
      <c r="I50" s="881">
        <v>0.17013811443767693</v>
      </c>
      <c r="J50" s="882"/>
      <c r="K50" s="889"/>
      <c r="L50" s="882"/>
      <c r="M50" s="882"/>
      <c r="N50" s="889"/>
    </row>
    <row r="51" spans="1:14" s="33" customFormat="1" ht="17.100000000000001" customHeight="1" x14ac:dyDescent="0.2">
      <c r="A51" s="890" t="s">
        <v>1123</v>
      </c>
      <c r="B51" s="299" t="s">
        <v>1124</v>
      </c>
      <c r="C51" s="990"/>
      <c r="D51" s="1091"/>
      <c r="E51" s="884"/>
      <c r="F51" s="1091"/>
      <c r="G51" s="1091"/>
      <c r="H51" s="1008"/>
      <c r="I51" s="881"/>
      <c r="J51" s="882"/>
      <c r="K51" s="889"/>
      <c r="L51" s="882"/>
      <c r="M51" s="882"/>
      <c r="N51" s="889"/>
    </row>
    <row r="52" spans="1:14" s="33" customFormat="1" ht="17.100000000000001" customHeight="1" x14ac:dyDescent="0.2">
      <c r="A52" s="890" t="s">
        <v>1125</v>
      </c>
      <c r="B52" s="299" t="s">
        <v>1126</v>
      </c>
      <c r="C52" s="891"/>
      <c r="D52" s="1091"/>
      <c r="E52" s="884"/>
      <c r="F52" s="1091"/>
      <c r="G52" s="1091"/>
      <c r="H52" s="1008"/>
      <c r="I52" s="881"/>
      <c r="J52" s="882"/>
      <c r="K52" s="889"/>
      <c r="L52" s="882"/>
      <c r="M52" s="882"/>
      <c r="N52" s="889"/>
    </row>
    <row r="53" spans="1:14" s="33" customFormat="1" ht="17.100000000000001" customHeight="1" x14ac:dyDescent="0.2">
      <c r="A53" s="890" t="s">
        <v>1127</v>
      </c>
      <c r="B53" s="299" t="s">
        <v>1128</v>
      </c>
      <c r="C53" s="891">
        <v>27002</v>
      </c>
      <c r="D53" s="1096">
        <v>2977</v>
      </c>
      <c r="E53" s="1008">
        <f t="shared" ref="E53:E67" si="15">+C53+D53</f>
        <v>29979</v>
      </c>
      <c r="F53" s="893">
        <v>6837</v>
      </c>
      <c r="G53" s="990">
        <v>6837</v>
      </c>
      <c r="H53" s="1008">
        <f t="shared" si="14"/>
        <v>23142</v>
      </c>
      <c r="I53" s="881">
        <v>0.15782961534262527</v>
      </c>
      <c r="J53" s="882"/>
      <c r="K53" s="889"/>
      <c r="L53" s="882"/>
      <c r="M53" s="882"/>
      <c r="N53" s="889"/>
    </row>
    <row r="54" spans="1:14" s="33" customFormat="1" ht="17.100000000000001" customHeight="1" x14ac:dyDescent="0.2">
      <c r="A54" s="890" t="s">
        <v>1129</v>
      </c>
      <c r="B54" s="299" t="s">
        <v>1130</v>
      </c>
      <c r="C54" s="884"/>
      <c r="D54" s="1091"/>
      <c r="E54" s="884"/>
      <c r="F54" s="1091"/>
      <c r="G54" s="1091"/>
      <c r="H54" s="1008"/>
      <c r="I54" s="881"/>
      <c r="J54" s="882"/>
      <c r="K54" s="889"/>
      <c r="L54" s="882"/>
      <c r="M54" s="882"/>
      <c r="N54" s="889"/>
    </row>
    <row r="55" spans="1:14" s="33" customFormat="1" ht="17.100000000000001" customHeight="1" x14ac:dyDescent="0.2">
      <c r="A55" s="890" t="s">
        <v>1131</v>
      </c>
      <c r="B55" s="299" t="s">
        <v>1132</v>
      </c>
      <c r="C55" s="891">
        <v>90363</v>
      </c>
      <c r="D55" s="1010">
        <v>1469</v>
      </c>
      <c r="E55" s="1008">
        <f t="shared" si="15"/>
        <v>91832</v>
      </c>
      <c r="F55" s="893">
        <v>50126</v>
      </c>
      <c r="G55" s="990">
        <v>50126</v>
      </c>
      <c r="H55" s="1008">
        <f t="shared" si="14"/>
        <v>41706</v>
      </c>
      <c r="I55" s="881">
        <v>0.30294450736126838</v>
      </c>
      <c r="J55" s="882"/>
      <c r="K55" s="889"/>
      <c r="L55" s="882"/>
      <c r="M55" s="882"/>
      <c r="N55" s="889"/>
    </row>
    <row r="56" spans="1:14" s="33" customFormat="1" ht="17.100000000000001" customHeight="1" x14ac:dyDescent="0.2">
      <c r="A56" s="890" t="s">
        <v>1133</v>
      </c>
      <c r="B56" s="299" t="s">
        <v>1134</v>
      </c>
      <c r="C56" s="884"/>
      <c r="D56" s="1091"/>
      <c r="E56" s="1008"/>
      <c r="F56" s="1091"/>
      <c r="G56" s="1091"/>
      <c r="H56" s="1008"/>
      <c r="I56" s="881"/>
      <c r="J56" s="882"/>
      <c r="K56" s="889"/>
      <c r="L56" s="882"/>
      <c r="M56" s="882"/>
      <c r="N56" s="889"/>
    </row>
    <row r="57" spans="1:14" s="33" customFormat="1" ht="17.100000000000001" customHeight="1" x14ac:dyDescent="0.2">
      <c r="A57" s="890" t="s">
        <v>1135</v>
      </c>
      <c r="B57" s="299" t="s">
        <v>1136</v>
      </c>
      <c r="C57" s="891">
        <v>818</v>
      </c>
      <c r="D57" s="1096">
        <v>0</v>
      </c>
      <c r="E57" s="1008">
        <f t="shared" si="15"/>
        <v>818</v>
      </c>
      <c r="F57" s="893">
        <v>0</v>
      </c>
      <c r="G57" s="893">
        <v>0</v>
      </c>
      <c r="H57" s="1008">
        <f t="shared" si="14"/>
        <v>818</v>
      </c>
      <c r="I57" s="881">
        <v>0</v>
      </c>
      <c r="J57" s="882"/>
      <c r="K57" s="889"/>
      <c r="L57" s="882"/>
      <c r="M57" s="882"/>
      <c r="N57" s="889"/>
    </row>
    <row r="58" spans="1:14" s="33" customFormat="1" ht="17.100000000000001" customHeight="1" x14ac:dyDescent="0.2">
      <c r="A58" s="890" t="s">
        <v>1137</v>
      </c>
      <c r="B58" s="299" t="s">
        <v>1138</v>
      </c>
      <c r="C58" s="891">
        <v>1752</v>
      </c>
      <c r="D58" s="1007">
        <v>0</v>
      </c>
      <c r="E58" s="1008">
        <f t="shared" si="15"/>
        <v>1752</v>
      </c>
      <c r="F58" s="884">
        <v>0</v>
      </c>
      <c r="G58" s="893">
        <v>0</v>
      </c>
      <c r="H58" s="1008">
        <f t="shared" si="14"/>
        <v>1752</v>
      </c>
      <c r="I58" s="881">
        <v>0</v>
      </c>
      <c r="J58" s="882"/>
      <c r="K58" s="889"/>
      <c r="L58" s="882"/>
      <c r="M58" s="882"/>
      <c r="N58" s="889"/>
    </row>
    <row r="59" spans="1:14" s="33" customFormat="1" ht="17.100000000000001" customHeight="1" x14ac:dyDescent="0.2">
      <c r="A59" s="890" t="s">
        <v>1139</v>
      </c>
      <c r="B59" s="299" t="s">
        <v>1140</v>
      </c>
      <c r="C59" s="884"/>
      <c r="D59" s="1091"/>
      <c r="E59" s="1008"/>
      <c r="F59" s="1091"/>
      <c r="G59" s="1091"/>
      <c r="H59" s="1008"/>
      <c r="I59" s="881"/>
      <c r="J59" s="882"/>
      <c r="K59" s="889"/>
      <c r="L59" s="882"/>
      <c r="M59" s="882"/>
      <c r="N59" s="889"/>
    </row>
    <row r="60" spans="1:14" s="33" customFormat="1" ht="17.100000000000001" customHeight="1" x14ac:dyDescent="0.2">
      <c r="A60" s="890" t="s">
        <v>1141</v>
      </c>
      <c r="B60" s="299" t="s">
        <v>1142</v>
      </c>
      <c r="C60" s="891">
        <v>90</v>
      </c>
      <c r="D60" s="1007">
        <v>0</v>
      </c>
      <c r="E60" s="1008">
        <f t="shared" si="15"/>
        <v>90</v>
      </c>
      <c r="F60" s="893">
        <v>0</v>
      </c>
      <c r="G60" s="893">
        <v>0</v>
      </c>
      <c r="H60" s="1008">
        <f t="shared" si="14"/>
        <v>90</v>
      </c>
      <c r="I60" s="881">
        <v>0</v>
      </c>
      <c r="J60" s="882"/>
      <c r="K60" s="889"/>
      <c r="L60" s="882"/>
      <c r="M60" s="882"/>
      <c r="N60" s="889"/>
    </row>
    <row r="61" spans="1:14" s="33" customFormat="1" ht="17.100000000000001" customHeight="1" x14ac:dyDescent="0.2">
      <c r="A61" s="890" t="s">
        <v>1143</v>
      </c>
      <c r="B61" s="299" t="s">
        <v>1144</v>
      </c>
      <c r="C61" s="884"/>
      <c r="D61" s="1091"/>
      <c r="E61" s="1008"/>
      <c r="F61" s="1091"/>
      <c r="G61" s="1091"/>
      <c r="H61" s="1008"/>
      <c r="I61" s="881"/>
      <c r="J61" s="882"/>
      <c r="K61" s="889"/>
      <c r="L61" s="882"/>
      <c r="M61" s="882"/>
      <c r="N61" s="889"/>
    </row>
    <row r="62" spans="1:14" s="33" customFormat="1" ht="17.100000000000001" customHeight="1" x14ac:dyDescent="0.2">
      <c r="A62" s="890" t="s">
        <v>1145</v>
      </c>
      <c r="B62" s="299" t="s">
        <v>1146</v>
      </c>
      <c r="C62" s="891">
        <v>548978</v>
      </c>
      <c r="D62" s="1007">
        <v>-3466</v>
      </c>
      <c r="E62" s="1008">
        <f t="shared" si="15"/>
        <v>545512</v>
      </c>
      <c r="F62" s="884">
        <v>395774</v>
      </c>
      <c r="G62" s="884">
        <v>395774</v>
      </c>
      <c r="H62" s="1008">
        <f t="shared" si="14"/>
        <v>149738</v>
      </c>
      <c r="I62" s="881">
        <v>0.44769371450222051</v>
      </c>
      <c r="J62" s="882"/>
      <c r="K62" s="889"/>
      <c r="L62" s="882"/>
      <c r="M62" s="882"/>
      <c r="N62" s="889"/>
    </row>
    <row r="63" spans="1:14" s="33" customFormat="1" ht="17.100000000000001" customHeight="1" x14ac:dyDescent="0.2">
      <c r="A63" s="890" t="s">
        <v>1147</v>
      </c>
      <c r="B63" s="299" t="s">
        <v>1148</v>
      </c>
      <c r="C63" s="884"/>
      <c r="D63" s="1091"/>
      <c r="E63" s="1008"/>
      <c r="F63" s="1091"/>
      <c r="G63" s="1091"/>
      <c r="H63" s="1008"/>
      <c r="I63" s="881"/>
      <c r="J63" s="882"/>
      <c r="K63" s="889"/>
      <c r="L63" s="882"/>
      <c r="M63" s="882"/>
      <c r="N63" s="889"/>
    </row>
    <row r="64" spans="1:14" s="33" customFormat="1" ht="17.100000000000001" customHeight="1" x14ac:dyDescent="0.2">
      <c r="A64" s="890" t="s">
        <v>1149</v>
      </c>
      <c r="B64" s="299" t="s">
        <v>1150</v>
      </c>
      <c r="C64" s="891">
        <v>13966</v>
      </c>
      <c r="D64" s="1010">
        <v>58034</v>
      </c>
      <c r="E64" s="1008">
        <f t="shared" si="15"/>
        <v>72000</v>
      </c>
      <c r="F64" s="891">
        <v>72000</v>
      </c>
      <c r="G64" s="891">
        <v>72000</v>
      </c>
      <c r="H64" s="1008">
        <f t="shared" si="14"/>
        <v>0</v>
      </c>
      <c r="I64" s="881">
        <v>0</v>
      </c>
      <c r="J64" s="882"/>
      <c r="K64" s="889"/>
      <c r="L64" s="882"/>
      <c r="M64" s="882"/>
      <c r="N64" s="889"/>
    </row>
    <row r="65" spans="1:14" s="33" customFormat="1" ht="17.100000000000001" customHeight="1" x14ac:dyDescent="0.2">
      <c r="A65" s="890" t="s">
        <v>1151</v>
      </c>
      <c r="B65" s="299" t="s">
        <v>1152</v>
      </c>
      <c r="C65" s="884"/>
      <c r="D65" s="1091"/>
      <c r="E65" s="1008"/>
      <c r="F65" s="1091"/>
      <c r="G65" s="1091"/>
      <c r="H65" s="1008"/>
      <c r="I65" s="881"/>
      <c r="J65" s="882"/>
      <c r="K65" s="889"/>
      <c r="L65" s="882"/>
      <c r="M65" s="882"/>
      <c r="N65" s="889"/>
    </row>
    <row r="66" spans="1:14" s="33" customFormat="1" ht="17.100000000000001" customHeight="1" x14ac:dyDescent="0.2">
      <c r="A66" s="890" t="s">
        <v>1153</v>
      </c>
      <c r="B66" s="299" t="s">
        <v>1154</v>
      </c>
      <c r="C66" s="891">
        <v>38094</v>
      </c>
      <c r="D66" s="1007">
        <v>0</v>
      </c>
      <c r="E66" s="1008">
        <f t="shared" si="15"/>
        <v>38094</v>
      </c>
      <c r="F66" s="884">
        <v>6615</v>
      </c>
      <c r="G66" s="884">
        <v>6615</v>
      </c>
      <c r="H66" s="1008">
        <f t="shared" si="14"/>
        <v>31479</v>
      </c>
      <c r="I66" s="881">
        <v>0</v>
      </c>
      <c r="J66" s="882"/>
      <c r="K66" s="889"/>
      <c r="L66" s="882"/>
      <c r="M66" s="882"/>
      <c r="N66" s="889"/>
    </row>
    <row r="67" spans="1:14" s="33" customFormat="1" ht="17.100000000000001" customHeight="1" x14ac:dyDescent="0.2">
      <c r="A67" s="890" t="s">
        <v>1155</v>
      </c>
      <c r="B67" s="299" t="s">
        <v>1156</v>
      </c>
      <c r="C67" s="891">
        <v>22278</v>
      </c>
      <c r="D67" s="1007">
        <v>71201</v>
      </c>
      <c r="E67" s="1008">
        <f t="shared" si="15"/>
        <v>93479</v>
      </c>
      <c r="F67" s="891">
        <v>87576</v>
      </c>
      <c r="G67" s="893">
        <v>87576</v>
      </c>
      <c r="H67" s="1008">
        <f t="shared" si="14"/>
        <v>5903</v>
      </c>
      <c r="I67" s="881">
        <v>0.29944339707334588</v>
      </c>
      <c r="J67" s="882"/>
      <c r="K67" s="889"/>
      <c r="L67" s="882"/>
      <c r="M67" s="882"/>
      <c r="N67" s="889"/>
    </row>
    <row r="68" spans="1:14" s="33" customFormat="1" ht="10.5" customHeight="1" x14ac:dyDescent="0.2">
      <c r="A68" s="890"/>
      <c r="B68" s="299"/>
      <c r="C68" s="884"/>
      <c r="D68" s="1007"/>
      <c r="E68" s="884"/>
      <c r="F68" s="884"/>
      <c r="G68" s="991"/>
      <c r="H68" s="886"/>
      <c r="I68" s="497"/>
      <c r="J68" s="882"/>
      <c r="K68" s="889"/>
      <c r="L68" s="882"/>
      <c r="M68" s="882"/>
      <c r="N68" s="889"/>
    </row>
    <row r="69" spans="1:14" s="33" customFormat="1" ht="17.100000000000001" customHeight="1" x14ac:dyDescent="0.2">
      <c r="A69" s="892" t="s">
        <v>1157</v>
      </c>
      <c r="B69" s="297" t="s">
        <v>1158</v>
      </c>
      <c r="C69" s="880">
        <f>SUM(C70:C118)</f>
        <v>15055399</v>
      </c>
      <c r="D69" s="1015">
        <f>SUM(D70:D118)</f>
        <v>0</v>
      </c>
      <c r="E69" s="880">
        <f>SUM(E70:E118)</f>
        <v>15055399</v>
      </c>
      <c r="F69" s="880">
        <f>SUM(F70:F118)-2</f>
        <v>8087765</v>
      </c>
      <c r="G69" s="880">
        <f>SUM(G70:G118)-2</f>
        <v>7950194</v>
      </c>
      <c r="H69" s="1015">
        <f>+E69-F69+1</f>
        <v>6967635</v>
      </c>
      <c r="I69" s="881">
        <f t="shared" si="12"/>
        <v>0.53720030933753404</v>
      </c>
      <c r="J69" s="882"/>
      <c r="K69" s="889"/>
      <c r="L69" s="882"/>
      <c r="M69" s="882"/>
      <c r="N69" s="889"/>
    </row>
    <row r="70" spans="1:14" s="33" customFormat="1" ht="14.25" customHeight="1" x14ac:dyDescent="0.2">
      <c r="A70" s="890" t="s">
        <v>1159</v>
      </c>
      <c r="B70" s="299" t="s">
        <v>1160</v>
      </c>
      <c r="C70" s="884"/>
      <c r="D70" s="1010"/>
      <c r="E70" s="884"/>
      <c r="F70" s="884"/>
      <c r="G70" s="886"/>
      <c r="H70" s="886"/>
      <c r="I70" s="497" t="s">
        <v>2038</v>
      </c>
      <c r="J70" s="882"/>
      <c r="K70" s="889"/>
      <c r="L70" s="882"/>
      <c r="M70" s="882"/>
      <c r="N70" s="889"/>
    </row>
    <row r="71" spans="1:14" s="33" customFormat="1" ht="17.100000000000001" customHeight="1" x14ac:dyDescent="0.2">
      <c r="A71" s="890" t="s">
        <v>1161</v>
      </c>
      <c r="B71" s="299" t="s">
        <v>1162</v>
      </c>
      <c r="C71" s="891">
        <v>1595778</v>
      </c>
      <c r="D71" s="1007">
        <v>0</v>
      </c>
      <c r="E71" s="1008">
        <f t="shared" ref="E71:E76" si="16">+C71+D71</f>
        <v>1595778</v>
      </c>
      <c r="F71" s="893">
        <v>1032862</v>
      </c>
      <c r="G71" s="893">
        <v>1032862</v>
      </c>
      <c r="H71" s="1008">
        <f t="shared" si="14"/>
        <v>562916</v>
      </c>
      <c r="I71" s="881">
        <v>0.36553142103726205</v>
      </c>
      <c r="J71" s="882"/>
      <c r="K71" s="889"/>
      <c r="L71" s="882"/>
      <c r="M71" s="882"/>
      <c r="N71" s="889"/>
    </row>
    <row r="72" spans="1:14" s="33" customFormat="1" ht="17.100000000000001" customHeight="1" x14ac:dyDescent="0.2">
      <c r="A72" s="890" t="s">
        <v>1163</v>
      </c>
      <c r="B72" s="299" t="s">
        <v>1164</v>
      </c>
      <c r="C72" s="891">
        <v>95681</v>
      </c>
      <c r="D72" s="1007">
        <v>0</v>
      </c>
      <c r="E72" s="1008">
        <f t="shared" si="16"/>
        <v>95681</v>
      </c>
      <c r="F72" s="893">
        <v>41628</v>
      </c>
      <c r="G72" s="893">
        <v>41628</v>
      </c>
      <c r="H72" s="1008">
        <f t="shared" si="14"/>
        <v>54053</v>
      </c>
      <c r="I72" s="881">
        <v>0.25336273659347208</v>
      </c>
      <c r="J72" s="882"/>
      <c r="K72" s="889"/>
      <c r="L72" s="882"/>
      <c r="M72" s="882"/>
      <c r="N72" s="889"/>
    </row>
    <row r="73" spans="1:14" s="33" customFormat="1" ht="17.100000000000001" customHeight="1" thickBot="1" x14ac:dyDescent="0.25">
      <c r="A73" s="998" t="s">
        <v>1165</v>
      </c>
      <c r="B73" s="999" t="s">
        <v>1166</v>
      </c>
      <c r="C73" s="1100">
        <v>299758</v>
      </c>
      <c r="D73" s="1013">
        <v>0</v>
      </c>
      <c r="E73" s="1014">
        <f t="shared" si="16"/>
        <v>299758</v>
      </c>
      <c r="F73" s="1000">
        <v>191883</v>
      </c>
      <c r="G73" s="1000">
        <v>191883</v>
      </c>
      <c r="H73" s="1014">
        <f t="shared" si="14"/>
        <v>107875</v>
      </c>
      <c r="I73" s="897">
        <v>0.48103470132573611</v>
      </c>
      <c r="J73" s="882"/>
      <c r="K73" s="889"/>
      <c r="L73" s="882"/>
      <c r="M73" s="882"/>
      <c r="N73" s="889"/>
    </row>
    <row r="74" spans="1:14" s="33" customFormat="1" ht="17.100000000000001" customHeight="1" x14ac:dyDescent="0.2">
      <c r="A74" s="890" t="s">
        <v>1167</v>
      </c>
      <c r="B74" s="299" t="s">
        <v>1168</v>
      </c>
      <c r="C74" s="891">
        <v>36926</v>
      </c>
      <c r="D74" s="1010">
        <v>0</v>
      </c>
      <c r="E74" s="1008">
        <f t="shared" si="16"/>
        <v>36926</v>
      </c>
      <c r="F74" s="893">
        <v>0</v>
      </c>
      <c r="G74" s="893">
        <v>0</v>
      </c>
      <c r="H74" s="1008">
        <f t="shared" si="14"/>
        <v>36926</v>
      </c>
      <c r="I74" s="881">
        <v>0</v>
      </c>
      <c r="J74" s="882"/>
      <c r="K74" s="889"/>
      <c r="L74" s="882"/>
      <c r="M74" s="882"/>
      <c r="N74" s="889"/>
    </row>
    <row r="75" spans="1:14" s="33" customFormat="1" ht="17.100000000000001" customHeight="1" x14ac:dyDescent="0.2">
      <c r="A75" s="890" t="s">
        <v>1169</v>
      </c>
      <c r="B75" s="299" t="s">
        <v>1170</v>
      </c>
      <c r="C75" s="891">
        <v>436904</v>
      </c>
      <c r="D75" s="1007">
        <v>-2000</v>
      </c>
      <c r="E75" s="1008">
        <f t="shared" si="16"/>
        <v>434904</v>
      </c>
      <c r="F75" s="893">
        <v>311343</v>
      </c>
      <c r="G75" s="893">
        <v>311343</v>
      </c>
      <c r="H75" s="1008">
        <f t="shared" si="14"/>
        <v>123561</v>
      </c>
      <c r="I75" s="881">
        <v>0.48628203005720805</v>
      </c>
      <c r="J75" s="882"/>
      <c r="K75" s="889"/>
      <c r="L75" s="882"/>
      <c r="M75" s="882"/>
      <c r="N75" s="889"/>
    </row>
    <row r="76" spans="1:14" s="33" customFormat="1" ht="17.100000000000001" customHeight="1" x14ac:dyDescent="0.2">
      <c r="A76" s="890" t="s">
        <v>1171</v>
      </c>
      <c r="B76" s="299" t="s">
        <v>1172</v>
      </c>
      <c r="C76" s="891">
        <v>4903</v>
      </c>
      <c r="D76" s="1007">
        <v>-563</v>
      </c>
      <c r="E76" s="1008">
        <f t="shared" si="16"/>
        <v>4340</v>
      </c>
      <c r="F76" s="893">
        <v>2220</v>
      </c>
      <c r="G76" s="893">
        <v>2220</v>
      </c>
      <c r="H76" s="1008">
        <f t="shared" si="14"/>
        <v>2120</v>
      </c>
      <c r="I76" s="881">
        <v>0.32580500894454384</v>
      </c>
      <c r="J76" s="882"/>
      <c r="K76" s="889"/>
      <c r="L76" s="882"/>
      <c r="M76" s="882"/>
      <c r="N76" s="889"/>
    </row>
    <row r="77" spans="1:14" s="33" customFormat="1" ht="17.100000000000001" customHeight="1" x14ac:dyDescent="0.2">
      <c r="A77" s="890" t="s">
        <v>1173</v>
      </c>
      <c r="B77" s="299" t="s">
        <v>1174</v>
      </c>
      <c r="C77" s="891"/>
      <c r="D77" s="1091"/>
      <c r="E77" s="884"/>
      <c r="F77" s="1091"/>
      <c r="G77" s="1091"/>
      <c r="H77" s="1008"/>
      <c r="I77" s="497"/>
      <c r="J77" s="882"/>
      <c r="K77" s="889"/>
      <c r="L77" s="882"/>
      <c r="M77" s="882"/>
      <c r="N77" s="889"/>
    </row>
    <row r="78" spans="1:14" s="33" customFormat="1" ht="14.25" customHeight="1" x14ac:dyDescent="0.2">
      <c r="A78" s="890" t="s">
        <v>1175</v>
      </c>
      <c r="B78" s="299" t="s">
        <v>1176</v>
      </c>
      <c r="C78" s="990"/>
      <c r="D78" s="1091"/>
      <c r="E78" s="884"/>
      <c r="F78" s="1091"/>
      <c r="G78" s="1091"/>
      <c r="H78" s="1008"/>
      <c r="I78" s="497" t="s">
        <v>2038</v>
      </c>
      <c r="J78" s="882"/>
      <c r="K78" s="889"/>
      <c r="L78" s="882"/>
      <c r="M78" s="882"/>
      <c r="N78" s="889"/>
    </row>
    <row r="79" spans="1:14" s="33" customFormat="1" ht="17.100000000000001" customHeight="1" x14ac:dyDescent="0.2">
      <c r="A79" s="890" t="s">
        <v>1177</v>
      </c>
      <c r="B79" s="299" t="s">
        <v>1178</v>
      </c>
      <c r="C79" s="884">
        <v>99624</v>
      </c>
      <c r="D79" s="1007">
        <v>-7155</v>
      </c>
      <c r="E79" s="1008">
        <f t="shared" ref="E79:E82" si="17">+C79+D79</f>
        <v>92469</v>
      </c>
      <c r="F79" s="893">
        <v>73996</v>
      </c>
      <c r="G79" s="893">
        <v>73996</v>
      </c>
      <c r="H79" s="1008">
        <f t="shared" ref="H79:H82" si="18">+E79-F79</f>
        <v>18473</v>
      </c>
      <c r="I79" s="881">
        <v>0.51251483664077635</v>
      </c>
      <c r="J79" s="882"/>
      <c r="K79" s="889"/>
      <c r="L79" s="882"/>
      <c r="M79" s="882"/>
      <c r="N79" s="889"/>
    </row>
    <row r="80" spans="1:14" s="33" customFormat="1" ht="17.100000000000001" customHeight="1" x14ac:dyDescent="0.2">
      <c r="A80" s="890" t="s">
        <v>1179</v>
      </c>
      <c r="B80" s="299" t="s">
        <v>1180</v>
      </c>
      <c r="C80" s="891">
        <v>0</v>
      </c>
      <c r="D80" s="1007">
        <v>32198</v>
      </c>
      <c r="E80" s="1008">
        <f t="shared" si="17"/>
        <v>32198</v>
      </c>
      <c r="F80" s="884">
        <v>32198</v>
      </c>
      <c r="G80" s="884">
        <v>32198</v>
      </c>
      <c r="H80" s="1008">
        <f t="shared" si="18"/>
        <v>0</v>
      </c>
      <c r="I80" s="881">
        <v>1</v>
      </c>
      <c r="J80" s="882"/>
      <c r="K80" s="889"/>
      <c r="L80" s="882"/>
      <c r="M80" s="882"/>
      <c r="N80" s="889"/>
    </row>
    <row r="81" spans="1:14" s="33" customFormat="1" ht="17.100000000000001" customHeight="1" x14ac:dyDescent="0.2">
      <c r="A81" s="890" t="s">
        <v>1181</v>
      </c>
      <c r="B81" s="299" t="s">
        <v>1182</v>
      </c>
      <c r="C81" s="891">
        <v>129144</v>
      </c>
      <c r="D81" s="1007">
        <v>0</v>
      </c>
      <c r="E81" s="1008">
        <f t="shared" si="17"/>
        <v>129144</v>
      </c>
      <c r="F81" s="884">
        <v>89434</v>
      </c>
      <c r="G81" s="884">
        <v>79037</v>
      </c>
      <c r="H81" s="1008">
        <f t="shared" si="18"/>
        <v>39710</v>
      </c>
      <c r="I81" s="881">
        <v>0.45796939850089824</v>
      </c>
      <c r="J81" s="882"/>
      <c r="K81" s="889"/>
      <c r="L81" s="882"/>
      <c r="M81" s="882"/>
      <c r="N81" s="889"/>
    </row>
    <row r="82" spans="1:14" s="33" customFormat="1" ht="17.100000000000001" customHeight="1" x14ac:dyDescent="0.2">
      <c r="A82" s="890" t="s">
        <v>1183</v>
      </c>
      <c r="B82" s="299" t="s">
        <v>1184</v>
      </c>
      <c r="C82" s="891">
        <v>17017</v>
      </c>
      <c r="D82" s="1007">
        <v>0</v>
      </c>
      <c r="E82" s="1008">
        <f t="shared" si="17"/>
        <v>17017</v>
      </c>
      <c r="F82" s="884">
        <v>0</v>
      </c>
      <c r="G82" s="884">
        <v>0</v>
      </c>
      <c r="H82" s="1008">
        <f t="shared" si="18"/>
        <v>17017</v>
      </c>
      <c r="I82" s="881">
        <v>0</v>
      </c>
      <c r="J82" s="882"/>
      <c r="K82" s="889"/>
      <c r="L82" s="882"/>
      <c r="M82" s="882"/>
      <c r="N82" s="889"/>
    </row>
    <row r="83" spans="1:14" s="33" customFormat="1" ht="17.100000000000001" customHeight="1" x14ac:dyDescent="0.2">
      <c r="A83" s="890">
        <v>32701</v>
      </c>
      <c r="B83" s="299" t="s">
        <v>1185</v>
      </c>
      <c r="C83" s="990"/>
      <c r="D83" s="1091"/>
      <c r="E83" s="884"/>
      <c r="F83" s="1091"/>
      <c r="G83" s="1091"/>
      <c r="H83" s="1008"/>
      <c r="I83" s="497" t="s">
        <v>2038</v>
      </c>
      <c r="J83" s="882"/>
      <c r="K83" s="889"/>
      <c r="L83" s="882"/>
      <c r="M83" s="882"/>
      <c r="N83" s="889"/>
    </row>
    <row r="84" spans="1:14" s="33" customFormat="1" ht="17.100000000000001" customHeight="1" x14ac:dyDescent="0.2">
      <c r="A84" s="890">
        <v>32901</v>
      </c>
      <c r="B84" s="299" t="s">
        <v>1186</v>
      </c>
      <c r="C84" s="990"/>
      <c r="D84" s="1091"/>
      <c r="E84" s="884"/>
      <c r="F84" s="1091"/>
      <c r="G84" s="1091"/>
      <c r="H84" s="1008"/>
      <c r="I84" s="497" t="s">
        <v>2038</v>
      </c>
      <c r="J84" s="882"/>
      <c r="K84" s="889"/>
      <c r="L84" s="882"/>
      <c r="M84" s="882"/>
      <c r="N84" s="889"/>
    </row>
    <row r="85" spans="1:14" s="33" customFormat="1" ht="13.5" customHeight="1" x14ac:dyDescent="0.2">
      <c r="A85" s="890" t="s">
        <v>1187</v>
      </c>
      <c r="B85" s="299" t="s">
        <v>1188</v>
      </c>
      <c r="C85" s="990"/>
      <c r="D85" s="1091"/>
      <c r="E85" s="884"/>
      <c r="F85" s="1091"/>
      <c r="G85" s="1091"/>
      <c r="H85" s="1008"/>
      <c r="I85" s="497" t="s">
        <v>2038</v>
      </c>
      <c r="J85" s="882"/>
      <c r="K85" s="889"/>
      <c r="L85" s="882"/>
      <c r="M85" s="882"/>
      <c r="N85" s="889"/>
    </row>
    <row r="86" spans="1:14" s="33" customFormat="1" ht="17.100000000000001" customHeight="1" x14ac:dyDescent="0.2">
      <c r="A86" s="890" t="s">
        <v>1189</v>
      </c>
      <c r="B86" s="299" t="s">
        <v>1190</v>
      </c>
      <c r="C86" s="891">
        <v>3504019</v>
      </c>
      <c r="D86" s="1007">
        <v>-88586</v>
      </c>
      <c r="E86" s="1008">
        <f t="shared" ref="E86:E102" si="19">+C86+D86</f>
        <v>3415433</v>
      </c>
      <c r="F86" s="884">
        <v>1040740</v>
      </c>
      <c r="G86" s="884">
        <v>1039280</v>
      </c>
      <c r="H86" s="1008">
        <f t="shared" ref="H86:H102" si="20">+E86-F86</f>
        <v>2374693</v>
      </c>
      <c r="I86" s="881">
        <v>0.13537312813030974</v>
      </c>
      <c r="J86" s="882"/>
      <c r="K86" s="889"/>
      <c r="L86" s="882"/>
      <c r="M86" s="882"/>
      <c r="N86" s="889"/>
    </row>
    <row r="87" spans="1:14" s="33" customFormat="1" ht="17.100000000000001" customHeight="1" x14ac:dyDescent="0.2">
      <c r="A87" s="890" t="s">
        <v>1191</v>
      </c>
      <c r="B87" s="299" t="s">
        <v>1192</v>
      </c>
      <c r="C87" s="891">
        <v>30000</v>
      </c>
      <c r="D87" s="1007">
        <v>0</v>
      </c>
      <c r="E87" s="1008">
        <f t="shared" si="19"/>
        <v>30000</v>
      </c>
      <c r="F87" s="884">
        <v>29790</v>
      </c>
      <c r="G87" s="884">
        <v>29790</v>
      </c>
      <c r="H87" s="1008">
        <f t="shared" si="20"/>
        <v>210</v>
      </c>
      <c r="I87" s="881">
        <v>6.4000000000000001E-2</v>
      </c>
      <c r="J87" s="882"/>
      <c r="K87" s="889"/>
      <c r="L87" s="882"/>
      <c r="M87" s="882"/>
      <c r="N87" s="889"/>
    </row>
    <row r="88" spans="1:14" s="33" customFormat="1" ht="17.100000000000001" customHeight="1" x14ac:dyDescent="0.2">
      <c r="A88" s="890" t="s">
        <v>1193</v>
      </c>
      <c r="B88" s="299" t="s">
        <v>1194</v>
      </c>
      <c r="C88" s="891">
        <v>11953</v>
      </c>
      <c r="D88" s="1007">
        <v>0</v>
      </c>
      <c r="E88" s="1008">
        <f t="shared" si="19"/>
        <v>11953</v>
      </c>
      <c r="F88" s="884">
        <v>0</v>
      </c>
      <c r="G88" s="884">
        <v>0</v>
      </c>
      <c r="H88" s="1008">
        <f t="shared" si="20"/>
        <v>11953</v>
      </c>
      <c r="I88" s="881">
        <v>0</v>
      </c>
      <c r="J88" s="882"/>
      <c r="K88" s="889"/>
      <c r="L88" s="882"/>
      <c r="M88" s="882"/>
      <c r="N88" s="889"/>
    </row>
    <row r="89" spans="1:14" s="33" customFormat="1" ht="17.100000000000001" customHeight="1" x14ac:dyDescent="0.2">
      <c r="A89" s="890">
        <v>33603</v>
      </c>
      <c r="B89" s="299" t="s">
        <v>1195</v>
      </c>
      <c r="C89" s="990"/>
      <c r="D89" s="1091"/>
      <c r="E89" s="884"/>
      <c r="F89" s="1091"/>
      <c r="G89" s="1091"/>
      <c r="H89" s="1008"/>
      <c r="I89" s="497" t="s">
        <v>2038</v>
      </c>
      <c r="J89" s="882"/>
      <c r="K89" s="889"/>
      <c r="L89" s="882"/>
      <c r="M89" s="882"/>
      <c r="N89" s="889"/>
    </row>
    <row r="90" spans="1:14" s="33" customFormat="1" ht="17.100000000000001" customHeight="1" x14ac:dyDescent="0.2">
      <c r="A90" s="890" t="s">
        <v>1196</v>
      </c>
      <c r="B90" s="299" t="s">
        <v>1197</v>
      </c>
      <c r="C90" s="884">
        <v>4291</v>
      </c>
      <c r="D90" s="1010">
        <v>0</v>
      </c>
      <c r="E90" s="1008">
        <f t="shared" si="19"/>
        <v>4291</v>
      </c>
      <c r="F90" s="884">
        <v>3065</v>
      </c>
      <c r="G90" s="884">
        <v>3065</v>
      </c>
      <c r="H90" s="1008">
        <f t="shared" si="20"/>
        <v>1226</v>
      </c>
      <c r="I90" s="881">
        <v>0.47611279422046143</v>
      </c>
      <c r="J90" s="882"/>
      <c r="K90" s="889"/>
      <c r="L90" s="882"/>
      <c r="M90" s="882"/>
      <c r="N90" s="889"/>
    </row>
    <row r="91" spans="1:14" s="33" customFormat="1" ht="13.5" customHeight="1" x14ac:dyDescent="0.2">
      <c r="A91" s="890" t="s">
        <v>1198</v>
      </c>
      <c r="B91" s="299" t="s">
        <v>1199</v>
      </c>
      <c r="C91" s="990"/>
      <c r="D91" s="1091"/>
      <c r="E91" s="884"/>
      <c r="F91" s="1091"/>
      <c r="G91" s="1091"/>
      <c r="H91" s="1008"/>
      <c r="I91" s="497" t="s">
        <v>2038</v>
      </c>
      <c r="J91" s="882"/>
      <c r="K91" s="889"/>
      <c r="L91" s="882"/>
      <c r="M91" s="882"/>
      <c r="N91" s="889"/>
    </row>
    <row r="92" spans="1:14" s="33" customFormat="1" ht="17.100000000000001" customHeight="1" x14ac:dyDescent="0.2">
      <c r="A92" s="890" t="s">
        <v>1200</v>
      </c>
      <c r="B92" s="299" t="s">
        <v>1201</v>
      </c>
      <c r="C92" s="891">
        <v>188407</v>
      </c>
      <c r="D92" s="1010">
        <v>0</v>
      </c>
      <c r="E92" s="1008">
        <f t="shared" si="19"/>
        <v>188407</v>
      </c>
      <c r="F92" s="884">
        <v>130826</v>
      </c>
      <c r="G92" s="884">
        <v>130826</v>
      </c>
      <c r="H92" s="1008">
        <f t="shared" si="20"/>
        <v>57581</v>
      </c>
      <c r="I92" s="881">
        <v>0.48228569002213295</v>
      </c>
      <c r="J92" s="882"/>
      <c r="K92" s="889"/>
      <c r="L92" s="882"/>
      <c r="M92" s="882"/>
      <c r="N92" s="889"/>
    </row>
    <row r="93" spans="1:14" s="33" customFormat="1" ht="17.100000000000001" customHeight="1" x14ac:dyDescent="0.2">
      <c r="A93" s="890">
        <v>34401</v>
      </c>
      <c r="B93" s="299" t="s">
        <v>1202</v>
      </c>
      <c r="C93" s="990"/>
      <c r="D93" s="1091"/>
      <c r="E93" s="884"/>
      <c r="F93" s="1091"/>
      <c r="G93" s="1091"/>
      <c r="H93" s="1008"/>
      <c r="I93" s="497" t="s">
        <v>2038</v>
      </c>
      <c r="J93" s="882"/>
      <c r="K93" s="889"/>
      <c r="L93" s="882"/>
      <c r="M93" s="882"/>
      <c r="N93" s="889"/>
    </row>
    <row r="94" spans="1:14" s="33" customFormat="1" ht="17.100000000000001" customHeight="1" x14ac:dyDescent="0.2">
      <c r="A94" s="890" t="s">
        <v>1203</v>
      </c>
      <c r="B94" s="299" t="s">
        <v>1204</v>
      </c>
      <c r="C94" s="891">
        <v>543004</v>
      </c>
      <c r="D94" s="1007">
        <v>-2504</v>
      </c>
      <c r="E94" s="1008">
        <f t="shared" si="19"/>
        <v>540500</v>
      </c>
      <c r="F94" s="884">
        <v>391892</v>
      </c>
      <c r="G94" s="884">
        <v>391892</v>
      </c>
      <c r="H94" s="1008">
        <f t="shared" si="20"/>
        <v>148608</v>
      </c>
      <c r="I94" s="881">
        <v>0.46849562802483957</v>
      </c>
      <c r="J94" s="882"/>
      <c r="K94" s="889"/>
      <c r="L94" s="882"/>
      <c r="M94" s="882"/>
      <c r="N94" s="889"/>
    </row>
    <row r="95" spans="1:14" s="33" customFormat="1" ht="17.100000000000001" customHeight="1" x14ac:dyDescent="0.2">
      <c r="A95" s="890">
        <v>34701</v>
      </c>
      <c r="B95" s="299" t="s">
        <v>1205</v>
      </c>
      <c r="C95" s="891">
        <v>0</v>
      </c>
      <c r="D95" s="1007">
        <v>900</v>
      </c>
      <c r="E95" s="1008">
        <f t="shared" si="19"/>
        <v>900</v>
      </c>
      <c r="F95" s="884">
        <v>900</v>
      </c>
      <c r="G95" s="884">
        <v>900</v>
      </c>
      <c r="H95" s="1008">
        <f t="shared" si="20"/>
        <v>0</v>
      </c>
      <c r="I95" s="881">
        <v>1</v>
      </c>
      <c r="J95" s="882"/>
      <c r="K95" s="889"/>
      <c r="L95" s="882"/>
      <c r="M95" s="882"/>
      <c r="N95" s="889"/>
    </row>
    <row r="96" spans="1:14" s="33" customFormat="1" ht="17.100000000000001" customHeight="1" x14ac:dyDescent="0.2">
      <c r="A96" s="890" t="s">
        <v>1206</v>
      </c>
      <c r="B96" s="299" t="s">
        <v>1207</v>
      </c>
      <c r="C96" s="891">
        <v>375930</v>
      </c>
      <c r="D96" s="1007">
        <v>0</v>
      </c>
      <c r="E96" s="1008">
        <f t="shared" si="19"/>
        <v>375930</v>
      </c>
      <c r="F96" s="893">
        <v>295811</v>
      </c>
      <c r="G96" s="893">
        <v>295811</v>
      </c>
      <c r="H96" s="1008">
        <f t="shared" si="20"/>
        <v>80119</v>
      </c>
      <c r="I96" s="881">
        <v>0.43075306573032213</v>
      </c>
      <c r="J96" s="882"/>
      <c r="K96" s="889"/>
      <c r="L96" s="882"/>
      <c r="M96" s="882"/>
      <c r="N96" s="889"/>
    </row>
    <row r="97" spans="1:14" s="33" customFormat="1" ht="12.75" customHeight="1" x14ac:dyDescent="0.2">
      <c r="A97" s="890" t="s">
        <v>1208</v>
      </c>
      <c r="B97" s="299" t="s">
        <v>1209</v>
      </c>
      <c r="C97" s="990"/>
      <c r="D97" s="1091"/>
      <c r="E97" s="884"/>
      <c r="F97" s="1091"/>
      <c r="G97" s="1091"/>
      <c r="H97" s="1008"/>
      <c r="I97" s="497" t="s">
        <v>2038</v>
      </c>
      <c r="J97" s="882"/>
      <c r="K97" s="889"/>
      <c r="L97" s="882"/>
      <c r="M97" s="882"/>
      <c r="N97" s="889"/>
    </row>
    <row r="98" spans="1:14" s="33" customFormat="1" ht="17.100000000000001" customHeight="1" x14ac:dyDescent="0.2">
      <c r="A98" s="890" t="s">
        <v>1210</v>
      </c>
      <c r="B98" s="299" t="s">
        <v>1211</v>
      </c>
      <c r="C98" s="891">
        <v>172573</v>
      </c>
      <c r="D98" s="1007">
        <v>22226</v>
      </c>
      <c r="E98" s="1008">
        <f t="shared" si="19"/>
        <v>194799</v>
      </c>
      <c r="F98" s="893">
        <v>134639</v>
      </c>
      <c r="G98" s="893">
        <v>134639</v>
      </c>
      <c r="H98" s="1008">
        <f t="shared" si="20"/>
        <v>60160</v>
      </c>
      <c r="I98" s="881">
        <v>3.8526639738411236E-2</v>
      </c>
      <c r="J98" s="882"/>
      <c r="K98" s="889"/>
      <c r="L98" s="882"/>
      <c r="M98" s="882"/>
      <c r="N98" s="889"/>
    </row>
    <row r="99" spans="1:14" s="33" customFormat="1" ht="17.100000000000001" customHeight="1" x14ac:dyDescent="0.2">
      <c r="A99" s="890" t="s">
        <v>1212</v>
      </c>
      <c r="B99" s="299" t="s">
        <v>1213</v>
      </c>
      <c r="C99" s="884">
        <v>28455</v>
      </c>
      <c r="D99" s="1010">
        <v>67090</v>
      </c>
      <c r="E99" s="1008">
        <f t="shared" si="19"/>
        <v>95545</v>
      </c>
      <c r="F99" s="893">
        <v>82250</v>
      </c>
      <c r="G99" s="893">
        <v>82250</v>
      </c>
      <c r="H99" s="1008">
        <f t="shared" si="20"/>
        <v>13295</v>
      </c>
      <c r="I99" s="881">
        <v>0.83171129464990268</v>
      </c>
      <c r="J99" s="882"/>
      <c r="K99" s="889"/>
      <c r="L99" s="882"/>
      <c r="M99" s="882"/>
      <c r="N99" s="889"/>
    </row>
    <row r="100" spans="1:14" s="33" customFormat="1" ht="17.100000000000001" customHeight="1" x14ac:dyDescent="0.2">
      <c r="A100" s="890" t="s">
        <v>1214</v>
      </c>
      <c r="B100" s="299" t="s">
        <v>1215</v>
      </c>
      <c r="C100" s="891">
        <v>451110</v>
      </c>
      <c r="D100" s="1010">
        <v>-86874</v>
      </c>
      <c r="E100" s="1008">
        <f t="shared" si="19"/>
        <v>364236</v>
      </c>
      <c r="F100" s="893">
        <v>18182</v>
      </c>
      <c r="G100" s="893">
        <v>18182</v>
      </c>
      <c r="H100" s="1008">
        <f t="shared" si="20"/>
        <v>346054</v>
      </c>
      <c r="I100" s="881">
        <v>4.8890669577913957E-2</v>
      </c>
      <c r="J100" s="882"/>
      <c r="K100" s="889"/>
      <c r="L100" s="882"/>
      <c r="M100" s="882"/>
      <c r="N100" s="889"/>
    </row>
    <row r="101" spans="1:14" s="33" customFormat="1" ht="17.100000000000001" customHeight="1" x14ac:dyDescent="0.2">
      <c r="A101" s="890" t="s">
        <v>1216</v>
      </c>
      <c r="B101" s="299" t="s">
        <v>1217</v>
      </c>
      <c r="C101" s="990">
        <v>183578</v>
      </c>
      <c r="D101" s="1010">
        <v>3698</v>
      </c>
      <c r="E101" s="1008">
        <f t="shared" si="19"/>
        <v>187276</v>
      </c>
      <c r="F101" s="893">
        <v>115427</v>
      </c>
      <c r="G101" s="893">
        <v>115427</v>
      </c>
      <c r="H101" s="1008">
        <f t="shared" si="20"/>
        <v>71849</v>
      </c>
      <c r="I101" s="881">
        <v>0.43165526097628376</v>
      </c>
      <c r="J101" s="882"/>
      <c r="K101" s="889"/>
      <c r="L101" s="882"/>
      <c r="M101" s="882"/>
      <c r="N101" s="889"/>
    </row>
    <row r="102" spans="1:14" s="33" customFormat="1" ht="17.100000000000001" customHeight="1" x14ac:dyDescent="0.2">
      <c r="A102" s="890" t="s">
        <v>1218</v>
      </c>
      <c r="B102" s="299" t="s">
        <v>1219</v>
      </c>
      <c r="C102" s="891">
        <v>450597</v>
      </c>
      <c r="D102" s="1010">
        <v>-6892</v>
      </c>
      <c r="E102" s="1008">
        <f t="shared" si="19"/>
        <v>443705</v>
      </c>
      <c r="F102" s="884">
        <v>127087</v>
      </c>
      <c r="G102" s="884">
        <v>105007</v>
      </c>
      <c r="H102" s="1008">
        <f t="shared" si="20"/>
        <v>316618</v>
      </c>
      <c r="I102" s="881">
        <v>6.5065753146797984E-3</v>
      </c>
      <c r="J102" s="882"/>
      <c r="K102" s="889"/>
      <c r="L102" s="882"/>
      <c r="M102" s="882"/>
      <c r="N102" s="889"/>
    </row>
    <row r="103" spans="1:14" s="33" customFormat="1" ht="17.100000000000001" customHeight="1" x14ac:dyDescent="0.2">
      <c r="A103" s="890" t="s">
        <v>1220</v>
      </c>
      <c r="B103" s="299" t="s">
        <v>1221</v>
      </c>
      <c r="C103" s="990"/>
      <c r="D103" s="1091"/>
      <c r="E103" s="884"/>
      <c r="F103" s="1091"/>
      <c r="G103" s="1091"/>
      <c r="H103" s="1008"/>
      <c r="I103" s="497"/>
      <c r="J103" s="882"/>
      <c r="K103" s="889"/>
      <c r="L103" s="882"/>
      <c r="M103" s="882"/>
      <c r="N103" s="889"/>
    </row>
    <row r="104" spans="1:14" s="33" customFormat="1" ht="17.100000000000001" customHeight="1" x14ac:dyDescent="0.2">
      <c r="A104" s="890" t="s">
        <v>1222</v>
      </c>
      <c r="B104" s="299" t="s">
        <v>1223</v>
      </c>
      <c r="C104" s="891"/>
      <c r="D104" s="1091"/>
      <c r="E104" s="884"/>
      <c r="F104" s="1091"/>
      <c r="G104" s="1091"/>
      <c r="H104" s="1008"/>
      <c r="I104" s="497" t="s">
        <v>2038</v>
      </c>
      <c r="J104" s="882"/>
      <c r="K104" s="889"/>
      <c r="L104" s="882"/>
      <c r="M104" s="882"/>
      <c r="N104" s="889"/>
    </row>
    <row r="105" spans="1:14" s="33" customFormat="1" ht="17.100000000000001" customHeight="1" x14ac:dyDescent="0.2">
      <c r="A105" s="890" t="s">
        <v>1224</v>
      </c>
      <c r="B105" s="299" t="s">
        <v>1225</v>
      </c>
      <c r="C105" s="990">
        <v>0</v>
      </c>
      <c r="D105" s="1010">
        <v>6892</v>
      </c>
      <c r="E105" s="1008">
        <f t="shared" ref="E105:E110" si="21">+C105+D105</f>
        <v>6892</v>
      </c>
      <c r="F105" s="884">
        <v>6892</v>
      </c>
      <c r="G105" s="884">
        <v>6892</v>
      </c>
      <c r="H105" s="1008">
        <f t="shared" ref="H105:H110" si="22">+E105-F105</f>
        <v>0</v>
      </c>
      <c r="I105" s="881">
        <v>1</v>
      </c>
      <c r="J105" s="882"/>
      <c r="K105" s="889"/>
      <c r="L105" s="882"/>
      <c r="M105" s="882"/>
      <c r="N105" s="889"/>
    </row>
    <row r="106" spans="1:14" s="33" customFormat="1" ht="13.5" customHeight="1" thickBot="1" x14ac:dyDescent="0.25">
      <c r="A106" s="996" t="s">
        <v>1226</v>
      </c>
      <c r="B106" s="997" t="s">
        <v>1227</v>
      </c>
      <c r="C106" s="1101">
        <v>232470</v>
      </c>
      <c r="D106" s="1102">
        <v>-34176</v>
      </c>
      <c r="E106" s="1014">
        <f t="shared" si="21"/>
        <v>198294</v>
      </c>
      <c r="F106" s="1000">
        <v>99177</v>
      </c>
      <c r="G106" s="1000">
        <v>99177</v>
      </c>
      <c r="H106" s="1014">
        <f t="shared" si="22"/>
        <v>99117</v>
      </c>
      <c r="I106" s="897">
        <v>0.23470097797345682</v>
      </c>
      <c r="J106" s="882"/>
      <c r="K106" s="889"/>
      <c r="L106" s="882"/>
      <c r="M106" s="882"/>
      <c r="N106" s="889"/>
    </row>
    <row r="107" spans="1:14" s="33" customFormat="1" ht="17.100000000000001" customHeight="1" x14ac:dyDescent="0.2">
      <c r="A107" s="890" t="s">
        <v>1228</v>
      </c>
      <c r="B107" s="299" t="s">
        <v>1229</v>
      </c>
      <c r="C107" s="891">
        <v>44100</v>
      </c>
      <c r="D107" s="1010">
        <v>0</v>
      </c>
      <c r="E107" s="1008">
        <f t="shared" si="21"/>
        <v>44100</v>
      </c>
      <c r="F107" s="893">
        <v>36900</v>
      </c>
      <c r="G107" s="893">
        <v>36900</v>
      </c>
      <c r="H107" s="1008">
        <f t="shared" si="22"/>
        <v>7200</v>
      </c>
      <c r="I107" s="881">
        <v>0.55782312925170063</v>
      </c>
      <c r="J107" s="882"/>
      <c r="K107" s="889"/>
      <c r="L107" s="882"/>
      <c r="M107" s="882"/>
      <c r="N107" s="889"/>
    </row>
    <row r="108" spans="1:14" s="33" customFormat="1" ht="17.100000000000001" customHeight="1" x14ac:dyDescent="0.2">
      <c r="A108" s="890" t="s">
        <v>1230</v>
      </c>
      <c r="B108" s="299" t="s">
        <v>1231</v>
      </c>
      <c r="C108" s="990"/>
      <c r="D108" s="1091"/>
      <c r="E108" s="884"/>
      <c r="F108" s="1091"/>
      <c r="G108" s="1091"/>
      <c r="H108" s="1008"/>
      <c r="I108" s="497" t="s">
        <v>2038</v>
      </c>
      <c r="J108" s="882"/>
      <c r="K108" s="889"/>
      <c r="L108" s="882"/>
      <c r="M108" s="882"/>
      <c r="N108" s="889"/>
    </row>
    <row r="109" spans="1:14" s="33" customFormat="1" ht="17.100000000000001" customHeight="1" x14ac:dyDescent="0.2">
      <c r="A109" s="890">
        <v>37201</v>
      </c>
      <c r="B109" s="299" t="s">
        <v>1232</v>
      </c>
      <c r="C109" s="891">
        <v>2974</v>
      </c>
      <c r="D109" s="1010">
        <v>0</v>
      </c>
      <c r="E109" s="1008">
        <f t="shared" si="21"/>
        <v>2974</v>
      </c>
      <c r="F109" s="893">
        <v>1133</v>
      </c>
      <c r="G109" s="893">
        <v>1133</v>
      </c>
      <c r="H109" s="1008">
        <f t="shared" si="22"/>
        <v>1841</v>
      </c>
      <c r="I109" s="881">
        <v>0.29186281102891726</v>
      </c>
      <c r="J109" s="882"/>
      <c r="K109" s="889"/>
      <c r="L109" s="882"/>
      <c r="M109" s="882"/>
      <c r="N109" s="889"/>
    </row>
    <row r="110" spans="1:14" s="33" customFormat="1" ht="17.100000000000001" customHeight="1" x14ac:dyDescent="0.2">
      <c r="A110" s="890" t="s">
        <v>1233</v>
      </c>
      <c r="B110" s="299" t="s">
        <v>1234</v>
      </c>
      <c r="C110" s="891">
        <v>112698</v>
      </c>
      <c r="D110" s="1010">
        <v>22285</v>
      </c>
      <c r="E110" s="1008">
        <f t="shared" si="21"/>
        <v>134983</v>
      </c>
      <c r="F110" s="893">
        <v>91425</v>
      </c>
      <c r="G110" s="893">
        <v>91425</v>
      </c>
      <c r="H110" s="1008">
        <f t="shared" si="22"/>
        <v>43558</v>
      </c>
      <c r="I110" s="881">
        <v>0.41009275118766764</v>
      </c>
      <c r="J110" s="882"/>
      <c r="K110" s="889"/>
      <c r="L110" s="882"/>
      <c r="M110" s="882"/>
      <c r="N110" s="889"/>
    </row>
    <row r="111" spans="1:14" s="33" customFormat="1" ht="17.100000000000001" customHeight="1" x14ac:dyDescent="0.2">
      <c r="A111" s="890">
        <v>37601</v>
      </c>
      <c r="B111" s="299" t="s">
        <v>1235</v>
      </c>
      <c r="C111" s="990"/>
      <c r="D111" s="1010"/>
      <c r="E111" s="884"/>
      <c r="F111" s="1091"/>
      <c r="G111" s="893"/>
      <c r="H111" s="1008"/>
      <c r="I111" s="497" t="s">
        <v>2038</v>
      </c>
      <c r="J111" s="882"/>
      <c r="K111" s="889"/>
      <c r="L111" s="882"/>
      <c r="M111" s="882"/>
      <c r="N111" s="889"/>
    </row>
    <row r="112" spans="1:14" s="33" customFormat="1" ht="17.100000000000001" customHeight="1" x14ac:dyDescent="0.2">
      <c r="A112" s="890" t="s">
        <v>1236</v>
      </c>
      <c r="B112" s="299" t="s">
        <v>1237</v>
      </c>
      <c r="C112" s="990"/>
      <c r="D112" s="1091"/>
      <c r="E112" s="884"/>
      <c r="F112" s="1091"/>
      <c r="G112" s="1091"/>
      <c r="H112" s="1008"/>
      <c r="I112" s="497" t="s">
        <v>2038</v>
      </c>
      <c r="J112" s="882"/>
      <c r="K112" s="889"/>
      <c r="L112" s="882"/>
      <c r="M112" s="882"/>
      <c r="N112" s="889"/>
    </row>
    <row r="113" spans="1:14" s="33" customFormat="1" ht="17.100000000000001" customHeight="1" x14ac:dyDescent="0.2">
      <c r="A113" s="890" t="s">
        <v>1238</v>
      </c>
      <c r="B113" s="299" t="s">
        <v>1239</v>
      </c>
      <c r="C113" s="891">
        <v>118168</v>
      </c>
      <c r="D113" s="1010">
        <v>55163</v>
      </c>
      <c r="E113" s="1008">
        <f t="shared" ref="E113:E118" si="23">+C113+D113</f>
        <v>173331</v>
      </c>
      <c r="F113" s="884">
        <v>59989</v>
      </c>
      <c r="G113" s="884">
        <v>59989</v>
      </c>
      <c r="H113" s="1008">
        <f t="shared" ref="H113:H118" si="24">+E113-F113</f>
        <v>113342</v>
      </c>
      <c r="I113" s="881">
        <v>0.34609504358712523</v>
      </c>
      <c r="J113" s="882"/>
      <c r="K113" s="889"/>
      <c r="L113" s="882"/>
      <c r="M113" s="882"/>
      <c r="N113" s="889"/>
    </row>
    <row r="114" spans="1:14" s="33" customFormat="1" ht="17.100000000000001" customHeight="1" x14ac:dyDescent="0.2">
      <c r="A114" s="890" t="s">
        <v>1240</v>
      </c>
      <c r="B114" s="299" t="s">
        <v>1241</v>
      </c>
      <c r="C114" s="891">
        <v>15000</v>
      </c>
      <c r="D114" s="1010">
        <v>0</v>
      </c>
      <c r="E114" s="1008">
        <f t="shared" si="23"/>
        <v>15000</v>
      </c>
      <c r="F114" s="893">
        <v>15000</v>
      </c>
      <c r="G114" s="893">
        <v>15000</v>
      </c>
      <c r="H114" s="1008">
        <f t="shared" si="24"/>
        <v>0</v>
      </c>
      <c r="I114" s="881">
        <v>1</v>
      </c>
      <c r="J114" s="882"/>
      <c r="K114" s="889"/>
      <c r="L114" s="882"/>
      <c r="M114" s="882"/>
      <c r="N114" s="889"/>
    </row>
    <row r="115" spans="1:14" s="33" customFormat="1" ht="17.100000000000001" customHeight="1" x14ac:dyDescent="0.2">
      <c r="A115" s="890" t="s">
        <v>1242</v>
      </c>
      <c r="B115" s="299" t="s">
        <v>1243</v>
      </c>
      <c r="C115" s="990"/>
      <c r="D115" s="1091"/>
      <c r="E115" s="884"/>
      <c r="F115" s="1091"/>
      <c r="G115" s="1091"/>
      <c r="H115" s="1008"/>
      <c r="I115" s="497" t="s">
        <v>2038</v>
      </c>
      <c r="J115" s="882"/>
      <c r="K115" s="889"/>
      <c r="L115" s="882"/>
      <c r="M115" s="882"/>
      <c r="N115" s="889"/>
    </row>
    <row r="116" spans="1:14" s="33" customFormat="1" ht="17.100000000000001" customHeight="1" x14ac:dyDescent="0.2">
      <c r="A116" s="890" t="s">
        <v>1244</v>
      </c>
      <c r="B116" s="299" t="s">
        <v>1245</v>
      </c>
      <c r="C116" s="891">
        <v>116086</v>
      </c>
      <c r="D116" s="1010">
        <v>18298</v>
      </c>
      <c r="E116" s="1008">
        <f t="shared" si="23"/>
        <v>134384</v>
      </c>
      <c r="F116" s="893">
        <v>133571</v>
      </c>
      <c r="G116" s="893">
        <v>133571</v>
      </c>
      <c r="H116" s="1008">
        <f t="shared" si="24"/>
        <v>813</v>
      </c>
      <c r="I116" s="881">
        <v>0.43266199197146943</v>
      </c>
      <c r="J116" s="882"/>
      <c r="K116" s="889"/>
      <c r="L116" s="882"/>
      <c r="M116" s="882"/>
      <c r="N116" s="889"/>
    </row>
    <row r="117" spans="1:14" s="33" customFormat="1" ht="17.100000000000001" customHeight="1" x14ac:dyDescent="0.2">
      <c r="A117" s="890" t="s">
        <v>1246</v>
      </c>
      <c r="B117" s="299" t="s">
        <v>1247</v>
      </c>
      <c r="C117" s="884">
        <v>4007189</v>
      </c>
      <c r="D117" s="1010">
        <v>0</v>
      </c>
      <c r="E117" s="1008">
        <f t="shared" si="23"/>
        <v>4007189</v>
      </c>
      <c r="F117" s="893">
        <v>2464891</v>
      </c>
      <c r="G117" s="893">
        <v>2464891</v>
      </c>
      <c r="H117" s="1008">
        <f t="shared" si="24"/>
        <v>1542298</v>
      </c>
      <c r="I117" s="881">
        <v>0.59104050245695927</v>
      </c>
      <c r="J117" s="882"/>
      <c r="K117" s="889"/>
      <c r="L117" s="882"/>
      <c r="M117" s="882"/>
      <c r="N117" s="889"/>
    </row>
    <row r="118" spans="1:14" s="33" customFormat="1" ht="17.100000000000001" customHeight="1" x14ac:dyDescent="0.2">
      <c r="A118" s="890" t="s">
        <v>1248</v>
      </c>
      <c r="B118" s="299" t="s">
        <v>1249</v>
      </c>
      <c r="C118" s="884">
        <v>1747062</v>
      </c>
      <c r="D118" s="1010">
        <v>0</v>
      </c>
      <c r="E118" s="1008">
        <f t="shared" si="23"/>
        <v>1747062</v>
      </c>
      <c r="F118" s="884">
        <v>1032616</v>
      </c>
      <c r="G118" s="893">
        <v>928982</v>
      </c>
      <c r="H118" s="1008">
        <f t="shared" si="24"/>
        <v>714446</v>
      </c>
      <c r="I118" s="881">
        <v>0.40545384193577561</v>
      </c>
      <c r="J118" s="882"/>
      <c r="K118" s="889"/>
      <c r="L118" s="882"/>
      <c r="M118" s="882"/>
      <c r="N118" s="889"/>
    </row>
    <row r="119" spans="1:14" s="33" customFormat="1" ht="17.100000000000001" customHeight="1" x14ac:dyDescent="0.2">
      <c r="A119" s="890"/>
      <c r="B119" s="299"/>
      <c r="C119" s="884"/>
      <c r="D119" s="1010"/>
      <c r="E119" s="884"/>
      <c r="F119" s="884"/>
      <c r="G119" s="884"/>
      <c r="H119" s="884"/>
      <c r="I119" s="881"/>
      <c r="J119" s="882"/>
      <c r="K119" s="889"/>
      <c r="L119" s="882"/>
      <c r="M119" s="882"/>
      <c r="N119" s="889"/>
    </row>
    <row r="120" spans="1:14" s="33" customFormat="1" ht="10.5" customHeight="1" x14ac:dyDescent="0.2">
      <c r="A120" s="890"/>
      <c r="B120" s="299"/>
      <c r="C120" s="884"/>
      <c r="D120" s="1010"/>
      <c r="E120" s="884"/>
      <c r="F120" s="884"/>
      <c r="G120" s="886"/>
      <c r="H120" s="972"/>
      <c r="I120" s="497" t="s">
        <v>2038</v>
      </c>
      <c r="J120" s="882"/>
      <c r="K120" s="889"/>
      <c r="L120" s="882"/>
      <c r="M120" s="882"/>
      <c r="N120" s="889"/>
    </row>
    <row r="121" spans="1:14" s="33" customFormat="1" ht="17.100000000000001" customHeight="1" x14ac:dyDescent="0.2">
      <c r="A121" s="892" t="s">
        <v>1250</v>
      </c>
      <c r="B121" s="297" t="s">
        <v>1251</v>
      </c>
      <c r="C121" s="880">
        <v>0</v>
      </c>
      <c r="D121" s="1015">
        <v>0</v>
      </c>
      <c r="E121" s="884">
        <f t="shared" ref="E121:E128" si="25">+C121+D121</f>
        <v>0</v>
      </c>
      <c r="F121" s="880">
        <v>0</v>
      </c>
      <c r="G121" s="880">
        <v>0</v>
      </c>
      <c r="H121" s="880">
        <v>0</v>
      </c>
      <c r="I121" s="881">
        <v>0</v>
      </c>
      <c r="J121" s="882"/>
      <c r="K121" s="889"/>
      <c r="L121" s="882"/>
      <c r="M121" s="882"/>
      <c r="N121" s="889"/>
    </row>
    <row r="122" spans="1:14" s="33" customFormat="1" ht="17.100000000000001" customHeight="1" x14ac:dyDescent="0.2">
      <c r="A122" s="890">
        <v>51201</v>
      </c>
      <c r="B122" s="299" t="s">
        <v>1252</v>
      </c>
      <c r="C122" s="884">
        <v>0</v>
      </c>
      <c r="D122" s="1010">
        <v>0</v>
      </c>
      <c r="E122" s="884">
        <f t="shared" si="25"/>
        <v>0</v>
      </c>
      <c r="F122" s="884">
        <v>0</v>
      </c>
      <c r="G122" s="884">
        <v>0</v>
      </c>
      <c r="H122" s="884">
        <f t="shared" ref="H122:H128" si="26">+E122-F122</f>
        <v>0</v>
      </c>
      <c r="I122" s="881">
        <v>0</v>
      </c>
      <c r="J122" s="882"/>
      <c r="K122" s="889"/>
      <c r="L122" s="882"/>
      <c r="M122" s="882"/>
      <c r="N122" s="889"/>
    </row>
    <row r="123" spans="1:14" s="33" customFormat="1" ht="17.100000000000001" customHeight="1" x14ac:dyDescent="0.2">
      <c r="A123" s="890">
        <v>51501</v>
      </c>
      <c r="B123" s="299" t="s">
        <v>1253</v>
      </c>
      <c r="C123" s="884">
        <v>0</v>
      </c>
      <c r="D123" s="1010">
        <v>0</v>
      </c>
      <c r="E123" s="884">
        <f t="shared" si="25"/>
        <v>0</v>
      </c>
      <c r="F123" s="886">
        <v>0</v>
      </c>
      <c r="G123" s="886">
        <v>0</v>
      </c>
      <c r="H123" s="884">
        <f t="shared" si="26"/>
        <v>0</v>
      </c>
      <c r="I123" s="881">
        <v>0</v>
      </c>
      <c r="J123" s="882"/>
      <c r="K123" s="889"/>
      <c r="L123" s="882"/>
      <c r="M123" s="882"/>
      <c r="N123" s="889"/>
    </row>
    <row r="124" spans="1:14" s="33" customFormat="1" ht="17.100000000000001" customHeight="1" x14ac:dyDescent="0.2">
      <c r="A124" s="890">
        <v>52101</v>
      </c>
      <c r="B124" s="299" t="s">
        <v>1254</v>
      </c>
      <c r="C124" s="884">
        <v>0</v>
      </c>
      <c r="D124" s="1010">
        <v>0</v>
      </c>
      <c r="E124" s="884">
        <f t="shared" si="25"/>
        <v>0</v>
      </c>
      <c r="F124" s="886">
        <v>0</v>
      </c>
      <c r="G124" s="886">
        <v>0</v>
      </c>
      <c r="H124" s="884">
        <f t="shared" si="26"/>
        <v>0</v>
      </c>
      <c r="I124" s="881">
        <v>0</v>
      </c>
      <c r="J124" s="882"/>
      <c r="K124" s="889"/>
      <c r="L124" s="882"/>
      <c r="M124" s="882"/>
      <c r="N124" s="889"/>
    </row>
    <row r="125" spans="1:14" s="33" customFormat="1" ht="17.100000000000001" customHeight="1" x14ac:dyDescent="0.2">
      <c r="A125" s="890">
        <v>52301</v>
      </c>
      <c r="B125" s="299" t="s">
        <v>1255</v>
      </c>
      <c r="C125" s="884">
        <v>0</v>
      </c>
      <c r="D125" s="1010">
        <v>0</v>
      </c>
      <c r="E125" s="884">
        <f t="shared" si="25"/>
        <v>0</v>
      </c>
      <c r="F125" s="886">
        <v>0</v>
      </c>
      <c r="G125" s="886">
        <v>0</v>
      </c>
      <c r="H125" s="884">
        <f t="shared" si="26"/>
        <v>0</v>
      </c>
      <c r="I125" s="881">
        <v>0</v>
      </c>
      <c r="J125" s="882"/>
      <c r="K125" s="889"/>
      <c r="L125" s="882"/>
      <c r="M125" s="882"/>
      <c r="N125" s="889"/>
    </row>
    <row r="126" spans="1:14" s="33" customFormat="1" ht="17.100000000000001" customHeight="1" x14ac:dyDescent="0.2">
      <c r="A126" s="890">
        <v>56401</v>
      </c>
      <c r="B126" s="299" t="s">
        <v>1256</v>
      </c>
      <c r="C126" s="884">
        <v>0</v>
      </c>
      <c r="D126" s="1015">
        <v>0</v>
      </c>
      <c r="E126" s="884">
        <f t="shared" si="25"/>
        <v>0</v>
      </c>
      <c r="F126" s="886">
        <v>0</v>
      </c>
      <c r="G126" s="886">
        <v>0</v>
      </c>
      <c r="H126" s="884">
        <f t="shared" si="26"/>
        <v>0</v>
      </c>
      <c r="I126" s="881">
        <v>0</v>
      </c>
      <c r="J126" s="882"/>
      <c r="K126" s="889"/>
      <c r="L126" s="882"/>
      <c r="M126" s="882"/>
      <c r="N126" s="889"/>
    </row>
    <row r="127" spans="1:14" s="33" customFormat="1" ht="17.100000000000001" customHeight="1" x14ac:dyDescent="0.2">
      <c r="A127" s="890">
        <v>56501</v>
      </c>
      <c r="B127" s="299" t="s">
        <v>1257</v>
      </c>
      <c r="C127" s="884">
        <v>0</v>
      </c>
      <c r="D127" s="1008">
        <v>0</v>
      </c>
      <c r="E127" s="884">
        <f t="shared" si="25"/>
        <v>0</v>
      </c>
      <c r="F127" s="886">
        <v>0</v>
      </c>
      <c r="G127" s="886">
        <v>0</v>
      </c>
      <c r="H127" s="884">
        <f t="shared" si="26"/>
        <v>0</v>
      </c>
      <c r="I127" s="881">
        <v>0</v>
      </c>
      <c r="J127" s="882"/>
      <c r="K127" s="889"/>
      <c r="L127" s="882"/>
      <c r="M127" s="882"/>
      <c r="N127" s="889"/>
    </row>
    <row r="128" spans="1:14" s="33" customFormat="1" ht="17.100000000000001" customHeight="1" x14ac:dyDescent="0.2">
      <c r="A128" s="890">
        <v>56601</v>
      </c>
      <c r="B128" s="299" t="s">
        <v>1258</v>
      </c>
      <c r="C128" s="884">
        <v>0</v>
      </c>
      <c r="D128" s="1007">
        <v>0</v>
      </c>
      <c r="E128" s="884">
        <f t="shared" si="25"/>
        <v>0</v>
      </c>
      <c r="F128" s="886">
        <v>0</v>
      </c>
      <c r="G128" s="886">
        <v>0</v>
      </c>
      <c r="H128" s="884">
        <f t="shared" si="26"/>
        <v>0</v>
      </c>
      <c r="I128" s="881">
        <v>0</v>
      </c>
      <c r="J128" s="882"/>
      <c r="K128" s="889"/>
      <c r="L128" s="882"/>
      <c r="M128" s="882"/>
      <c r="N128" s="889"/>
    </row>
    <row r="129" spans="1:14" s="33" customFormat="1" ht="9.75" customHeight="1" x14ac:dyDescent="0.2">
      <c r="A129" s="890"/>
      <c r="B129" s="299"/>
      <c r="C129" s="884"/>
      <c r="D129" s="1007"/>
      <c r="E129" s="884"/>
      <c r="F129" s="884"/>
      <c r="G129" s="886"/>
      <c r="H129" s="886"/>
      <c r="I129" s="497"/>
      <c r="J129" s="882"/>
      <c r="K129" s="889"/>
      <c r="L129" s="882"/>
      <c r="M129" s="882"/>
      <c r="N129" s="889"/>
    </row>
    <row r="130" spans="1:14" s="33" customFormat="1" ht="17.100000000000001" customHeight="1" x14ac:dyDescent="0.2">
      <c r="A130" s="892">
        <v>90000</v>
      </c>
      <c r="B130" s="297" t="s">
        <v>555</v>
      </c>
      <c r="C130" s="880">
        <f>SUM(C131:C132)</f>
        <v>14500000</v>
      </c>
      <c r="D130" s="1015">
        <f t="shared" ref="D130:H130" si="27">SUM(D131:D132)</f>
        <v>0</v>
      </c>
      <c r="E130" s="880">
        <f t="shared" ref="E130" si="28">+C130+D130</f>
        <v>14500000</v>
      </c>
      <c r="F130" s="880">
        <f t="shared" si="27"/>
        <v>9499193</v>
      </c>
      <c r="G130" s="880">
        <f t="shared" si="27"/>
        <v>9499193</v>
      </c>
      <c r="H130" s="880">
        <f t="shared" si="27"/>
        <v>5000807</v>
      </c>
      <c r="I130" s="881">
        <f t="shared" ref="I130" si="29">+F130/E130</f>
        <v>0.65511675862068963</v>
      </c>
      <c r="J130" s="882"/>
      <c r="K130" s="889"/>
      <c r="L130" s="882"/>
      <c r="M130" s="882"/>
      <c r="N130" s="889"/>
    </row>
    <row r="131" spans="1:14" s="33" customFormat="1" ht="17.100000000000001" customHeight="1" x14ac:dyDescent="0.2">
      <c r="A131" s="890">
        <v>91101</v>
      </c>
      <c r="B131" s="1098" t="s">
        <v>1259</v>
      </c>
      <c r="C131" s="886">
        <v>10000000</v>
      </c>
      <c r="D131" s="1007">
        <v>0</v>
      </c>
      <c r="E131" s="884">
        <v>10000000</v>
      </c>
      <c r="F131" s="886">
        <v>7499988</v>
      </c>
      <c r="G131" s="886">
        <v>7499988</v>
      </c>
      <c r="H131" s="1008">
        <f t="shared" ref="H131:H132" si="30">+E131-F131</f>
        <v>2500012</v>
      </c>
      <c r="I131" s="881">
        <v>0.49999919999999998</v>
      </c>
      <c r="J131" s="882"/>
      <c r="K131" s="889"/>
      <c r="L131" s="882"/>
      <c r="M131" s="882"/>
      <c r="N131" s="889"/>
    </row>
    <row r="132" spans="1:14" s="33" customFormat="1" ht="17.100000000000001" customHeight="1" x14ac:dyDescent="0.2">
      <c r="A132" s="890">
        <v>92101</v>
      </c>
      <c r="B132" s="1098" t="s">
        <v>1260</v>
      </c>
      <c r="C132" s="886">
        <v>4500000</v>
      </c>
      <c r="D132" s="1007">
        <v>0</v>
      </c>
      <c r="E132" s="884">
        <v>4500000</v>
      </c>
      <c r="F132" s="886">
        <v>1999205</v>
      </c>
      <c r="G132" s="886">
        <v>1999205</v>
      </c>
      <c r="H132" s="1008">
        <f t="shared" si="30"/>
        <v>2500795</v>
      </c>
      <c r="I132" s="881">
        <v>0.28896888888888889</v>
      </c>
      <c r="J132" s="882"/>
      <c r="K132" s="889"/>
      <c r="L132" s="882"/>
      <c r="M132" s="882"/>
      <c r="N132" s="889"/>
    </row>
    <row r="133" spans="1:14" s="33" customFormat="1" ht="10.5" customHeight="1" x14ac:dyDescent="0.2">
      <c r="A133" s="892"/>
      <c r="B133" s="297"/>
      <c r="C133" s="884"/>
      <c r="D133" s="886"/>
      <c r="E133" s="884"/>
      <c r="F133" s="886"/>
      <c r="G133" s="886"/>
      <c r="H133" s="886"/>
      <c r="I133" s="497"/>
      <c r="J133" s="882"/>
      <c r="K133" s="889"/>
      <c r="L133" s="882"/>
      <c r="M133" s="882"/>
      <c r="N133" s="889"/>
    </row>
    <row r="134" spans="1:14" s="6" customFormat="1" ht="20.25" customHeight="1" thickBot="1" x14ac:dyDescent="0.25">
      <c r="A134" s="894"/>
      <c r="B134" s="895" t="s">
        <v>558</v>
      </c>
      <c r="C134" s="896">
        <f>+C9+C48+C69+C121+C130</f>
        <v>103543736</v>
      </c>
      <c r="D134" s="896">
        <f>+D9+D48+D69+D121+D130</f>
        <v>0</v>
      </c>
      <c r="E134" s="995">
        <f>+C134+D134</f>
        <v>103543736</v>
      </c>
      <c r="F134" s="896">
        <f>+F9+F48+F69+F121+F130</f>
        <v>68913890</v>
      </c>
      <c r="G134" s="896">
        <f>+G9+G48+G69+G121+G130</f>
        <v>60512433</v>
      </c>
      <c r="H134" s="896">
        <f>+H9+H48+H69+H121+H130-1</f>
        <v>34629847</v>
      </c>
      <c r="I134" s="881">
        <f>+F134/E134</f>
        <v>0.6655534430397605</v>
      </c>
      <c r="J134" s="882"/>
      <c r="K134" s="898"/>
      <c r="L134" s="882"/>
      <c r="M134" s="882"/>
    </row>
    <row r="135" spans="1:14" x14ac:dyDescent="0.3">
      <c r="H135" s="1368"/>
      <c r="I135" s="1369"/>
    </row>
    <row r="136" spans="1:14" x14ac:dyDescent="0.3">
      <c r="H136" s="994"/>
      <c r="I136" s="934"/>
    </row>
  </sheetData>
  <mergeCells count="8">
    <mergeCell ref="A6:B7"/>
    <mergeCell ref="H135:I135"/>
    <mergeCell ref="A1:I1"/>
    <mergeCell ref="A2:I2"/>
    <mergeCell ref="A3:I3"/>
    <mergeCell ref="A4:I4"/>
    <mergeCell ref="C5:E5"/>
    <mergeCell ref="H5:I5"/>
  </mergeCells>
  <printOptions horizontalCentered="1"/>
  <pageMargins left="0.39370078740157483" right="0.39370078740157483" top="0.51181102362204722" bottom="0.39370078740157483" header="0.31496062992125984" footer="0.15748031496062992"/>
  <pageSetup scale="80" orientation="landscape" r:id="rId1"/>
  <headerFooter>
    <oddFooter>Página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view="pageBreakPreview" zoomScale="110" zoomScaleNormal="100" zoomScaleSheetLayoutView="110" workbookViewId="0">
      <selection activeCell="A3" sqref="A3:G3"/>
    </sheetView>
  </sheetViews>
  <sheetFormatPr baseColWidth="10" defaultColWidth="11.42578125" defaultRowHeight="15" x14ac:dyDescent="0.25"/>
  <cols>
    <col min="1" max="1" width="32.140625" customWidth="1"/>
    <col min="2" max="2" width="13.5703125" bestFit="1" customWidth="1"/>
    <col min="3" max="3" width="13" customWidth="1"/>
  </cols>
  <sheetData>
    <row r="1" spans="1:9" ht="15.75" x14ac:dyDescent="0.25">
      <c r="A1" s="1146" t="str">
        <f>'ETCA-I-01'!A1:G1</f>
        <v>TELEVISORA DE HERMOSILLO, S.A. DE C.V.</v>
      </c>
      <c r="B1" s="1146"/>
      <c r="C1" s="1146"/>
      <c r="D1" s="1146"/>
      <c r="E1" s="1146"/>
      <c r="F1" s="1146"/>
      <c r="G1" s="1146"/>
      <c r="H1" s="619"/>
      <c r="I1" s="619"/>
    </row>
    <row r="2" spans="1:9" ht="15.75" customHeight="1" x14ac:dyDescent="0.25">
      <c r="A2" s="1144" t="s">
        <v>778</v>
      </c>
      <c r="B2" s="1144"/>
      <c r="C2" s="1144"/>
      <c r="D2" s="1144"/>
      <c r="E2" s="1144"/>
      <c r="F2" s="1144"/>
      <c r="G2" s="1144"/>
      <c r="H2" s="620"/>
      <c r="I2" s="620"/>
    </row>
    <row r="3" spans="1:9" ht="15.75" customHeight="1" x14ac:dyDescent="0.25">
      <c r="A3" s="1144" t="s">
        <v>779</v>
      </c>
      <c r="B3" s="1144"/>
      <c r="C3" s="1144"/>
      <c r="D3" s="1144"/>
      <c r="E3" s="1144"/>
      <c r="F3" s="1144"/>
      <c r="G3" s="1144"/>
      <c r="H3" s="620"/>
      <c r="I3" s="620"/>
    </row>
    <row r="4" spans="1:9" ht="15.75" customHeight="1" x14ac:dyDescent="0.25">
      <c r="A4" s="1381" t="str">
        <f>'ETCA-I-03'!A3:D3</f>
        <v>Del 01 de Enero al 30 de Septiembre de 2021</v>
      </c>
      <c r="B4" s="1381"/>
      <c r="C4" s="1381"/>
      <c r="D4" s="1381"/>
      <c r="E4" s="1381"/>
      <c r="F4" s="1381"/>
      <c r="G4" s="1381"/>
      <c r="H4" s="621"/>
      <c r="I4" s="621"/>
    </row>
    <row r="5" spans="1:9" ht="15.75" customHeight="1" thickBot="1" x14ac:dyDescent="0.3">
      <c r="A5" s="1189" t="s">
        <v>84</v>
      </c>
      <c r="B5" s="1189"/>
      <c r="C5" s="1189"/>
      <c r="D5" s="1189"/>
      <c r="E5" s="1189"/>
      <c r="F5" s="1189"/>
      <c r="G5" s="1189"/>
      <c r="H5" s="622"/>
      <c r="I5" s="622"/>
    </row>
    <row r="6" spans="1:9" ht="15.75" thickBot="1" x14ac:dyDescent="0.3">
      <c r="A6" s="1374" t="s">
        <v>85</v>
      </c>
      <c r="B6" s="1376" t="s">
        <v>561</v>
      </c>
      <c r="C6" s="1377"/>
      <c r="D6" s="1377"/>
      <c r="E6" s="1377"/>
      <c r="F6" s="1378"/>
      <c r="G6" s="1379" t="s">
        <v>562</v>
      </c>
    </row>
    <row r="7" spans="1:9" ht="20.25" thickBot="1" x14ac:dyDescent="0.3">
      <c r="A7" s="1375"/>
      <c r="B7" s="597" t="s">
        <v>563</v>
      </c>
      <c r="C7" s="597" t="s">
        <v>564</v>
      </c>
      <c r="D7" s="597" t="s">
        <v>565</v>
      </c>
      <c r="E7" s="597" t="s">
        <v>780</v>
      </c>
      <c r="F7" s="597" t="s">
        <v>661</v>
      </c>
      <c r="G7" s="1380"/>
    </row>
    <row r="8" spans="1:9" ht="19.5" x14ac:dyDescent="0.25">
      <c r="A8" s="613" t="s">
        <v>781</v>
      </c>
      <c r="B8" s="671">
        <f>B9+B10+B11+B12+B13+B14+B15+B18</f>
        <v>73011857</v>
      </c>
      <c r="C8" s="671">
        <f t="shared" ref="C8:G8" si="0">C9+C10+C11+C12+C13+C14+C15+C18</f>
        <v>0</v>
      </c>
      <c r="D8" s="671">
        <f t="shared" si="0"/>
        <v>73011857</v>
      </c>
      <c r="E8" s="671">
        <f t="shared" si="0"/>
        <v>50644779</v>
      </c>
      <c r="F8" s="671">
        <f t="shared" si="0"/>
        <v>42380893</v>
      </c>
      <c r="G8" s="671">
        <f t="shared" si="0"/>
        <v>22367078</v>
      </c>
    </row>
    <row r="9" spans="1:9" ht="19.5" x14ac:dyDescent="0.25">
      <c r="A9" s="614" t="s">
        <v>782</v>
      </c>
      <c r="B9" s="673">
        <f>+'ETCA-II-13'!C9</f>
        <v>73011857</v>
      </c>
      <c r="C9" s="673">
        <f>+'ETCA-II-13'!D9</f>
        <v>0</v>
      </c>
      <c r="D9" s="672">
        <f>B9+C9</f>
        <v>73011857</v>
      </c>
      <c r="E9" s="673">
        <f>+'ETCA-II-13'!F9</f>
        <v>50644779</v>
      </c>
      <c r="F9" s="673">
        <f>+'ETCA-II-13'!G9</f>
        <v>42380893</v>
      </c>
      <c r="G9" s="672">
        <f>D9-E9</f>
        <v>22367078</v>
      </c>
    </row>
    <row r="10" spans="1:9" x14ac:dyDescent="0.25">
      <c r="A10" s="614" t="s">
        <v>783</v>
      </c>
      <c r="B10" s="673"/>
      <c r="C10" s="674"/>
      <c r="D10" s="672">
        <f t="shared" ref="D10:D18" si="1">B10+C10</f>
        <v>0</v>
      </c>
      <c r="E10" s="674"/>
      <c r="F10" s="674"/>
      <c r="G10" s="672">
        <f t="shared" ref="G10:G14" si="2">D10-E10</f>
        <v>0</v>
      </c>
    </row>
    <row r="11" spans="1:9" x14ac:dyDescent="0.25">
      <c r="A11" s="614" t="s">
        <v>784</v>
      </c>
      <c r="B11" s="673"/>
      <c r="C11" s="674"/>
      <c r="D11" s="672">
        <f t="shared" si="1"/>
        <v>0</v>
      </c>
      <c r="E11" s="674"/>
      <c r="F11" s="674"/>
      <c r="G11" s="672">
        <f t="shared" si="2"/>
        <v>0</v>
      </c>
    </row>
    <row r="12" spans="1:9" x14ac:dyDescent="0.25">
      <c r="A12" s="614" t="s">
        <v>785</v>
      </c>
      <c r="B12" s="673"/>
      <c r="C12" s="674"/>
      <c r="D12" s="672">
        <f t="shared" si="1"/>
        <v>0</v>
      </c>
      <c r="E12" s="674"/>
      <c r="F12" s="674"/>
      <c r="G12" s="672">
        <f t="shared" si="2"/>
        <v>0</v>
      </c>
    </row>
    <row r="13" spans="1:9" x14ac:dyDescent="0.25">
      <c r="A13" s="614" t="s">
        <v>786</v>
      </c>
      <c r="B13" s="673"/>
      <c r="C13" s="674"/>
      <c r="D13" s="672">
        <f t="shared" si="1"/>
        <v>0</v>
      </c>
      <c r="E13" s="674"/>
      <c r="F13" s="674"/>
      <c r="G13" s="672">
        <f t="shared" si="2"/>
        <v>0</v>
      </c>
    </row>
    <row r="14" spans="1:9" x14ac:dyDescent="0.25">
      <c r="A14" s="614" t="s">
        <v>787</v>
      </c>
      <c r="B14" s="673"/>
      <c r="C14" s="674"/>
      <c r="D14" s="672">
        <f t="shared" si="1"/>
        <v>0</v>
      </c>
      <c r="E14" s="674"/>
      <c r="F14" s="674"/>
      <c r="G14" s="672">
        <f t="shared" si="2"/>
        <v>0</v>
      </c>
    </row>
    <row r="15" spans="1:9" ht="29.25" x14ac:dyDescent="0.25">
      <c r="A15" s="614" t="s">
        <v>788</v>
      </c>
      <c r="B15" s="671">
        <f>B16+B17</f>
        <v>0</v>
      </c>
      <c r="C15" s="671">
        <f t="shared" ref="C15:G15" si="3">C16+C17</f>
        <v>0</v>
      </c>
      <c r="D15" s="671">
        <f t="shared" si="3"/>
        <v>0</v>
      </c>
      <c r="E15" s="671">
        <f t="shared" si="3"/>
        <v>0</v>
      </c>
      <c r="F15" s="671">
        <f t="shared" si="3"/>
        <v>0</v>
      </c>
      <c r="G15" s="671">
        <f t="shared" si="3"/>
        <v>0</v>
      </c>
    </row>
    <row r="16" spans="1:9" x14ac:dyDescent="0.25">
      <c r="A16" s="615" t="s">
        <v>789</v>
      </c>
      <c r="B16" s="673"/>
      <c r="C16" s="674"/>
      <c r="D16" s="672">
        <f t="shared" si="1"/>
        <v>0</v>
      </c>
      <c r="E16" s="674"/>
      <c r="F16" s="674"/>
      <c r="G16" s="672">
        <f t="shared" ref="G16:G18" si="4">D16-E16</f>
        <v>0</v>
      </c>
    </row>
    <row r="17" spans="1:7" x14ac:dyDescent="0.25">
      <c r="A17" s="615" t="s">
        <v>790</v>
      </c>
      <c r="B17" s="673"/>
      <c r="C17" s="674"/>
      <c r="D17" s="672">
        <f t="shared" si="1"/>
        <v>0</v>
      </c>
      <c r="E17" s="674"/>
      <c r="F17" s="674"/>
      <c r="G17" s="672">
        <f t="shared" si="4"/>
        <v>0</v>
      </c>
    </row>
    <row r="18" spans="1:7" x14ac:dyDescent="0.25">
      <c r="A18" s="614" t="s">
        <v>791</v>
      </c>
      <c r="B18" s="673"/>
      <c r="C18" s="674"/>
      <c r="D18" s="672">
        <f t="shared" si="1"/>
        <v>0</v>
      </c>
      <c r="E18" s="674"/>
      <c r="F18" s="674"/>
      <c r="G18" s="672">
        <f t="shared" si="4"/>
        <v>0</v>
      </c>
    </row>
    <row r="19" spans="1:7" x14ac:dyDescent="0.25">
      <c r="A19" s="614"/>
      <c r="B19" s="671"/>
      <c r="C19" s="672"/>
      <c r="D19" s="672"/>
      <c r="E19" s="672"/>
      <c r="F19" s="672"/>
      <c r="G19" s="672"/>
    </row>
    <row r="20" spans="1:7" ht="19.5" x14ac:dyDescent="0.25">
      <c r="A20" s="613" t="s">
        <v>792</v>
      </c>
      <c r="B20" s="671">
        <f>B21+B22+B23+B24+B25+B26+B27+B30</f>
        <v>0</v>
      </c>
      <c r="C20" s="671">
        <f t="shared" ref="C20:G20" si="5">C21+C22+C23+C24+C25+C26+C27+C30</f>
        <v>0</v>
      </c>
      <c r="D20" s="671">
        <f t="shared" si="5"/>
        <v>0</v>
      </c>
      <c r="E20" s="671">
        <f t="shared" si="5"/>
        <v>0</v>
      </c>
      <c r="F20" s="671">
        <f t="shared" si="5"/>
        <v>0</v>
      </c>
      <c r="G20" s="671">
        <f t="shared" si="5"/>
        <v>0</v>
      </c>
    </row>
    <row r="21" spans="1:7" ht="19.5" x14ac:dyDescent="0.25">
      <c r="A21" s="614" t="s">
        <v>782</v>
      </c>
      <c r="B21" s="673"/>
      <c r="C21" s="674"/>
      <c r="D21" s="672">
        <f>B21+C21</f>
        <v>0</v>
      </c>
      <c r="E21" s="674"/>
      <c r="F21" s="674"/>
      <c r="G21" s="672">
        <f t="shared" ref="G21:G26" si="6">D21-E21</f>
        <v>0</v>
      </c>
    </row>
    <row r="22" spans="1:7" x14ac:dyDescent="0.25">
      <c r="A22" s="614" t="s">
        <v>783</v>
      </c>
      <c r="B22" s="673"/>
      <c r="C22" s="674"/>
      <c r="D22" s="672">
        <f t="shared" ref="D22:D26" si="7">B22+C22</f>
        <v>0</v>
      </c>
      <c r="E22" s="674"/>
      <c r="F22" s="674"/>
      <c r="G22" s="672">
        <f t="shared" si="6"/>
        <v>0</v>
      </c>
    </row>
    <row r="23" spans="1:7" x14ac:dyDescent="0.25">
      <c r="A23" s="614" t="s">
        <v>784</v>
      </c>
      <c r="B23" s="673"/>
      <c r="C23" s="674"/>
      <c r="D23" s="672">
        <f t="shared" si="7"/>
        <v>0</v>
      </c>
      <c r="E23" s="674"/>
      <c r="F23" s="674"/>
      <c r="G23" s="672">
        <f t="shared" si="6"/>
        <v>0</v>
      </c>
    </row>
    <row r="24" spans="1:7" x14ac:dyDescent="0.25">
      <c r="A24" s="614" t="s">
        <v>785</v>
      </c>
      <c r="B24" s="673"/>
      <c r="C24" s="674"/>
      <c r="D24" s="672">
        <f t="shared" si="7"/>
        <v>0</v>
      </c>
      <c r="E24" s="674"/>
      <c r="F24" s="674"/>
      <c r="G24" s="672">
        <f t="shared" si="6"/>
        <v>0</v>
      </c>
    </row>
    <row r="25" spans="1:7" x14ac:dyDescent="0.25">
      <c r="A25" s="614" t="s">
        <v>786</v>
      </c>
      <c r="B25" s="673"/>
      <c r="C25" s="674"/>
      <c r="D25" s="672">
        <f t="shared" si="7"/>
        <v>0</v>
      </c>
      <c r="E25" s="674"/>
      <c r="F25" s="674"/>
      <c r="G25" s="672">
        <f t="shared" si="6"/>
        <v>0</v>
      </c>
    </row>
    <row r="26" spans="1:7" x14ac:dyDescent="0.25">
      <c r="A26" s="614" t="s">
        <v>787</v>
      </c>
      <c r="B26" s="673"/>
      <c r="C26" s="674"/>
      <c r="D26" s="672">
        <f t="shared" si="7"/>
        <v>0</v>
      </c>
      <c r="E26" s="674"/>
      <c r="F26" s="674"/>
      <c r="G26" s="672">
        <f t="shared" si="6"/>
        <v>0</v>
      </c>
    </row>
    <row r="27" spans="1:7" ht="29.25" x14ac:dyDescent="0.25">
      <c r="A27" s="614" t="s">
        <v>788</v>
      </c>
      <c r="B27" s="671">
        <f>B28+B29</f>
        <v>0</v>
      </c>
      <c r="C27" s="671">
        <f t="shared" ref="C27:G27" si="8">C28+C29</f>
        <v>0</v>
      </c>
      <c r="D27" s="671">
        <f t="shared" si="8"/>
        <v>0</v>
      </c>
      <c r="E27" s="671">
        <f t="shared" si="8"/>
        <v>0</v>
      </c>
      <c r="F27" s="671">
        <f t="shared" si="8"/>
        <v>0</v>
      </c>
      <c r="G27" s="671">
        <f t="shared" si="8"/>
        <v>0</v>
      </c>
    </row>
    <row r="28" spans="1:7" x14ac:dyDescent="0.25">
      <c r="A28" s="615" t="s">
        <v>789</v>
      </c>
      <c r="B28" s="673"/>
      <c r="C28" s="674"/>
      <c r="D28" s="672">
        <f>B28+C28</f>
        <v>0</v>
      </c>
      <c r="E28" s="674"/>
      <c r="F28" s="674"/>
      <c r="G28" s="672">
        <f t="shared" ref="G28:G30" si="9">D28-E28</f>
        <v>0</v>
      </c>
    </row>
    <row r="29" spans="1:7" x14ac:dyDescent="0.25">
      <c r="A29" s="615" t="s">
        <v>790</v>
      </c>
      <c r="B29" s="673"/>
      <c r="C29" s="674"/>
      <c r="D29" s="672">
        <f>B29+C29</f>
        <v>0</v>
      </c>
      <c r="E29" s="674"/>
      <c r="F29" s="674"/>
      <c r="G29" s="672">
        <f t="shared" si="9"/>
        <v>0</v>
      </c>
    </row>
    <row r="30" spans="1:7" x14ac:dyDescent="0.25">
      <c r="A30" s="614" t="s">
        <v>791</v>
      </c>
      <c r="B30" s="673"/>
      <c r="C30" s="674"/>
      <c r="D30" s="672">
        <f>B30+C30</f>
        <v>0</v>
      </c>
      <c r="E30" s="674"/>
      <c r="F30" s="674"/>
      <c r="G30" s="672">
        <f t="shared" si="9"/>
        <v>0</v>
      </c>
    </row>
    <row r="31" spans="1:7" ht="19.5" x14ac:dyDescent="0.25">
      <c r="A31" s="613" t="s">
        <v>793</v>
      </c>
      <c r="B31" s="671">
        <f>B8+B20</f>
        <v>73011857</v>
      </c>
      <c r="C31" s="671">
        <f t="shared" ref="C31:G31" si="10">C8+C20</f>
        <v>0</v>
      </c>
      <c r="D31" s="671">
        <f t="shared" si="10"/>
        <v>73011857</v>
      </c>
      <c r="E31" s="671">
        <f t="shared" si="10"/>
        <v>50644779</v>
      </c>
      <c r="F31" s="671">
        <f t="shared" si="10"/>
        <v>42380893</v>
      </c>
      <c r="G31" s="671">
        <f t="shared" si="10"/>
        <v>22367078</v>
      </c>
    </row>
    <row r="32" spans="1:7" ht="15.75" thickBot="1" x14ac:dyDescent="0.3">
      <c r="A32" s="616"/>
      <c r="B32" s="617"/>
      <c r="C32" s="618"/>
      <c r="D32" s="618"/>
      <c r="E32" s="618"/>
      <c r="F32" s="618"/>
      <c r="G32" s="618"/>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FFFF00"/>
    <pageSetUpPr fitToPage="1"/>
  </sheetPr>
  <dimension ref="A1:D48"/>
  <sheetViews>
    <sheetView view="pageBreakPreview" zoomScale="110" zoomScaleNormal="100" zoomScaleSheetLayoutView="110" workbookViewId="0">
      <selection activeCell="B62" sqref="B62"/>
    </sheetView>
  </sheetViews>
  <sheetFormatPr baseColWidth="10" defaultColWidth="11.28515625" defaultRowHeight="16.5" x14ac:dyDescent="0.25"/>
  <cols>
    <col min="1" max="1" width="64.5703125" style="258" customWidth="1"/>
    <col min="2" max="2" width="25.7109375" style="258" customWidth="1"/>
    <col min="3" max="3" width="25.7109375" style="379" customWidth="1"/>
    <col min="4" max="4" width="89.140625" style="258" customWidth="1"/>
    <col min="5" max="16384" width="11.28515625" style="258"/>
  </cols>
  <sheetData>
    <row r="1" spans="1:4" x14ac:dyDescent="0.25">
      <c r="A1" s="1171" t="str">
        <f>'ETCA-I-01'!A1:G1</f>
        <v>TELEVISORA DE HERMOSILLO, S.A. DE C.V.</v>
      </c>
      <c r="B1" s="1171"/>
      <c r="C1" s="1171"/>
      <c r="D1" s="399"/>
    </row>
    <row r="2" spans="1:4" s="259" customFormat="1" ht="15.75" x14ac:dyDescent="0.25">
      <c r="A2" s="1171" t="s">
        <v>13</v>
      </c>
      <c r="B2" s="1171"/>
      <c r="C2" s="1171"/>
    </row>
    <row r="3" spans="1:4" s="259" customFormat="1" x14ac:dyDescent="0.25">
      <c r="A3" s="1172" t="str">
        <f>'ETCA-I-01'!A3:G3</f>
        <v>Al 30 de Septiembre de 2021</v>
      </c>
      <c r="B3" s="1172"/>
      <c r="C3" s="1172"/>
    </row>
    <row r="4" spans="1:4" s="260" customFormat="1" ht="17.25" thickBot="1" x14ac:dyDescent="0.3">
      <c r="A4" s="368"/>
      <c r="B4" s="502"/>
      <c r="C4" s="369"/>
    </row>
    <row r="5" spans="1:4" s="371" customFormat="1" ht="27" customHeight="1" thickBot="1" x14ac:dyDescent="0.3">
      <c r="A5" s="370" t="s">
        <v>794</v>
      </c>
      <c r="B5" s="155"/>
      <c r="C5" s="230">
        <f>'ETCA II-04'!E80</f>
        <v>68913890</v>
      </c>
      <c r="D5" s="380" t="str">
        <f>IF((C5-'ETCA II-04'!E80)&gt;0.9,"ERROR!!!!! EL MONTO NO COINCIDE CON LO REPORTADO EN EL FORMATO ETCA-II-04, EN EL TOTAL DE EGRESOS DEVENGADO ANUAL","")</f>
        <v/>
      </c>
    </row>
    <row r="6" spans="1:4" s="371" customFormat="1" ht="9.75" customHeight="1" x14ac:dyDescent="0.25">
      <c r="A6" s="372"/>
      <c r="B6" s="247"/>
      <c r="C6" s="381"/>
      <c r="D6" s="380"/>
    </row>
    <row r="7" spans="1:4" s="371" customFormat="1" ht="17.25" customHeight="1" thickBot="1" x14ac:dyDescent="0.3">
      <c r="A7" s="373"/>
      <c r="B7" s="250"/>
      <c r="C7" s="382"/>
      <c r="D7" s="380"/>
    </row>
    <row r="8" spans="1:4" ht="20.100000000000001" customHeight="1" x14ac:dyDescent="0.25">
      <c r="A8" s="374" t="s">
        <v>946</v>
      </c>
      <c r="B8" s="759"/>
      <c r="C8" s="383">
        <f>SUM(B9:B29)</f>
        <v>7499988</v>
      </c>
      <c r="D8" s="384"/>
    </row>
    <row r="9" spans="1:4" ht="20.100000000000001" customHeight="1" x14ac:dyDescent="0.25">
      <c r="A9" s="375" t="s">
        <v>947</v>
      </c>
      <c r="B9" s="794"/>
      <c r="C9" s="385"/>
      <c r="D9" s="384"/>
    </row>
    <row r="10" spans="1:4" ht="20.100000000000001" customHeight="1" x14ac:dyDescent="0.25">
      <c r="A10" s="375" t="s">
        <v>948</v>
      </c>
      <c r="B10" s="794"/>
      <c r="C10" s="385"/>
      <c r="D10" s="384"/>
    </row>
    <row r="11" spans="1:4" ht="20.100000000000001" customHeight="1" x14ac:dyDescent="0.25">
      <c r="A11" s="375" t="s">
        <v>536</v>
      </c>
      <c r="B11" s="794">
        <v>0</v>
      </c>
      <c r="C11" s="385"/>
      <c r="D11" s="384"/>
    </row>
    <row r="12" spans="1:4" x14ac:dyDescent="0.25">
      <c r="A12" s="375" t="s">
        <v>537</v>
      </c>
      <c r="B12" s="794"/>
      <c r="C12" s="385"/>
      <c r="D12" s="384"/>
    </row>
    <row r="13" spans="1:4" ht="20.100000000000001" customHeight="1" x14ac:dyDescent="0.25">
      <c r="A13" s="375" t="s">
        <v>538</v>
      </c>
      <c r="B13" s="794"/>
      <c r="C13" s="385"/>
      <c r="D13" s="384"/>
    </row>
    <row r="14" spans="1:4" ht="20.100000000000001" customHeight="1" x14ac:dyDescent="0.25">
      <c r="A14" s="375" t="s">
        <v>539</v>
      </c>
      <c r="B14" s="794"/>
      <c r="C14" s="385"/>
      <c r="D14" s="384"/>
    </row>
    <row r="15" spans="1:4" ht="20.100000000000001" customHeight="1" x14ac:dyDescent="0.25">
      <c r="A15" s="375" t="s">
        <v>540</v>
      </c>
      <c r="B15" s="794"/>
      <c r="C15" s="385"/>
      <c r="D15" s="384"/>
    </row>
    <row r="16" spans="1:4" ht="20.100000000000001" customHeight="1" x14ac:dyDescent="0.25">
      <c r="A16" s="375" t="s">
        <v>541</v>
      </c>
      <c r="B16" s="794">
        <v>0</v>
      </c>
      <c r="C16" s="385"/>
      <c r="D16" s="384"/>
    </row>
    <row r="17" spans="1:4" ht="20.100000000000001" customHeight="1" x14ac:dyDescent="0.25">
      <c r="A17" s="375" t="s">
        <v>979</v>
      </c>
      <c r="B17" s="794"/>
      <c r="C17" s="385"/>
      <c r="D17" s="384"/>
    </row>
    <row r="18" spans="1:4" ht="20.100000000000001" customHeight="1" x14ac:dyDescent="0.25">
      <c r="A18" s="375" t="s">
        <v>543</v>
      </c>
      <c r="B18" s="794"/>
      <c r="C18" s="385"/>
      <c r="D18" s="384"/>
    </row>
    <row r="19" spans="1:4" ht="20.100000000000001" customHeight="1" x14ac:dyDescent="0.25">
      <c r="A19" s="375" t="s">
        <v>54</v>
      </c>
      <c r="B19" s="794"/>
      <c r="C19" s="385"/>
      <c r="D19" s="384"/>
    </row>
    <row r="20" spans="1:4" ht="20.100000000000001" customHeight="1" x14ac:dyDescent="0.25">
      <c r="A20" s="375" t="s">
        <v>544</v>
      </c>
      <c r="B20" s="794"/>
      <c r="C20" s="385"/>
      <c r="D20" s="384"/>
    </row>
    <row r="21" spans="1:4" ht="20.100000000000001" customHeight="1" x14ac:dyDescent="0.25">
      <c r="A21" s="375" t="s">
        <v>545</v>
      </c>
      <c r="B21" s="794"/>
      <c r="C21" s="385"/>
      <c r="D21" s="384"/>
    </row>
    <row r="22" spans="1:4" ht="20.100000000000001" customHeight="1" x14ac:dyDescent="0.25">
      <c r="A22" s="375" t="s">
        <v>549</v>
      </c>
      <c r="B22" s="794"/>
      <c r="C22" s="385"/>
      <c r="D22" s="384"/>
    </row>
    <row r="23" spans="1:4" ht="20.100000000000001" customHeight="1" x14ac:dyDescent="0.25">
      <c r="A23" s="375" t="s">
        <v>550</v>
      </c>
      <c r="B23" s="794"/>
      <c r="C23" s="385"/>
      <c r="D23" s="384"/>
    </row>
    <row r="24" spans="1:4" ht="20.100000000000001" customHeight="1" x14ac:dyDescent="0.25">
      <c r="A24" s="375" t="s">
        <v>551</v>
      </c>
      <c r="B24" s="794"/>
      <c r="C24" s="385"/>
      <c r="D24" s="384"/>
    </row>
    <row r="25" spans="1:4" ht="20.100000000000001" customHeight="1" x14ac:dyDescent="0.25">
      <c r="A25" s="375" t="s">
        <v>552</v>
      </c>
      <c r="B25" s="794"/>
      <c r="C25" s="385"/>
      <c r="D25" s="384"/>
    </row>
    <row r="26" spans="1:4" ht="20.100000000000001" customHeight="1" x14ac:dyDescent="0.25">
      <c r="A26" s="375" t="s">
        <v>554</v>
      </c>
      <c r="B26" s="794"/>
      <c r="C26" s="385"/>
      <c r="D26" s="384"/>
    </row>
    <row r="27" spans="1:4" ht="20.100000000000001" customHeight="1" x14ac:dyDescent="0.25">
      <c r="A27" s="375" t="s">
        <v>980</v>
      </c>
      <c r="B27" s="794">
        <v>7499988</v>
      </c>
      <c r="C27" s="385"/>
      <c r="D27" s="384"/>
    </row>
    <row r="28" spans="1:4" ht="20.100000000000001" customHeight="1" x14ac:dyDescent="0.25">
      <c r="A28" s="375" t="s">
        <v>981</v>
      </c>
      <c r="B28" s="794"/>
      <c r="C28" s="385"/>
      <c r="D28" s="384"/>
    </row>
    <row r="29" spans="1:4" ht="20.100000000000001" customHeight="1" thickBot="1" x14ac:dyDescent="0.3">
      <c r="A29" s="375" t="s">
        <v>795</v>
      </c>
      <c r="B29" s="795"/>
      <c r="C29" s="386"/>
      <c r="D29" s="384"/>
    </row>
    <row r="30" spans="1:4" ht="7.5" customHeight="1" x14ac:dyDescent="0.25">
      <c r="A30" s="376"/>
      <c r="B30" s="247"/>
      <c r="C30" s="387"/>
      <c r="D30" s="384"/>
    </row>
    <row r="31" spans="1:4" ht="20.100000000000001" customHeight="1" thickBot="1" x14ac:dyDescent="0.3">
      <c r="A31" s="377"/>
      <c r="B31" s="250"/>
      <c r="C31" s="388"/>
      <c r="D31" s="384"/>
    </row>
    <row r="32" spans="1:4" ht="20.100000000000001" customHeight="1" x14ac:dyDescent="0.25">
      <c r="A32" s="374" t="s">
        <v>949</v>
      </c>
      <c r="B32" s="796"/>
      <c r="C32" s="383">
        <f>SUM(B33:B39)</f>
        <v>9035269</v>
      </c>
      <c r="D32" s="384"/>
    </row>
    <row r="33" spans="1:4" x14ac:dyDescent="0.25">
      <c r="A33" s="375" t="s">
        <v>234</v>
      </c>
      <c r="B33" s="794">
        <v>9035150</v>
      </c>
      <c r="C33" s="385"/>
      <c r="D33" s="384"/>
    </row>
    <row r="34" spans="1:4" ht="20.100000000000001" customHeight="1" x14ac:dyDescent="0.25">
      <c r="A34" s="375" t="s">
        <v>235</v>
      </c>
      <c r="B34" s="794"/>
      <c r="C34" s="385"/>
      <c r="D34" s="392" t="str">
        <f>IF(B33&lt;&gt;'ETCA-I-03'!C52,"ERROR!!!!! EL MONTO NO COINCIDE CON LO REPORTADO EN EL FORMATO ETCA-I-02 POR CONCEPTO DE ESTIMACIONES, DEPRECIACIONES, ETC..","")</f>
        <v/>
      </c>
    </row>
    <row r="35" spans="1:4" ht="20.100000000000001" customHeight="1" x14ac:dyDescent="0.25">
      <c r="A35" s="375" t="s">
        <v>236</v>
      </c>
      <c r="B35" s="794"/>
      <c r="C35" s="385"/>
      <c r="D35" s="384"/>
    </row>
    <row r="36" spans="1:4" ht="25.5" customHeight="1" x14ac:dyDescent="0.25">
      <c r="A36" s="375" t="s">
        <v>970</v>
      </c>
      <c r="B36" s="794"/>
      <c r="C36" s="385"/>
      <c r="D36" s="384"/>
    </row>
    <row r="37" spans="1:4" ht="20.100000000000001" customHeight="1" x14ac:dyDescent="0.25">
      <c r="A37" s="375" t="s">
        <v>237</v>
      </c>
      <c r="B37" s="794"/>
      <c r="C37" s="385"/>
      <c r="D37" s="384"/>
    </row>
    <row r="38" spans="1:4" ht="20.100000000000001" customHeight="1" x14ac:dyDescent="0.25">
      <c r="A38" s="375" t="s">
        <v>238</v>
      </c>
      <c r="B38" s="794">
        <v>119</v>
      </c>
      <c r="C38" s="385"/>
      <c r="D38" s="384"/>
    </row>
    <row r="39" spans="1:4" ht="20.100000000000001" customHeight="1" x14ac:dyDescent="0.25">
      <c r="A39" s="375" t="s">
        <v>796</v>
      </c>
      <c r="B39" s="794"/>
      <c r="C39" s="385"/>
      <c r="D39" s="384"/>
    </row>
    <row r="40" spans="1:4" ht="20.100000000000001" customHeight="1" thickBot="1" x14ac:dyDescent="0.3">
      <c r="A40" s="378"/>
      <c r="B40" s="797"/>
      <c r="C40" s="386"/>
      <c r="D40" s="384"/>
    </row>
    <row r="41" spans="1:4" ht="20.100000000000001" customHeight="1" thickBot="1" x14ac:dyDescent="0.3">
      <c r="A41" s="477" t="s">
        <v>797</v>
      </c>
      <c r="B41" s="798"/>
      <c r="C41" s="230">
        <f>C5-C8+C32</f>
        <v>70449171</v>
      </c>
      <c r="D41" s="384"/>
    </row>
    <row r="42" spans="1:4" ht="20.100000000000001" customHeight="1" x14ac:dyDescent="0.25">
      <c r="A42" s="476"/>
      <c r="B42" s="474"/>
      <c r="C42" s="475"/>
      <c r="D42" s="384" t="str">
        <f>IF((C41-'ETCA-I-03'!C61)&gt;0.9,"ERROR!!!!! EL MONTO NO COINCIDE CON LO REPORTADO EN EL FORMATO ETCA-I-03, EN EL MISMO RUBRO","")</f>
        <v/>
      </c>
    </row>
    <row r="43" spans="1:4" ht="20.100000000000001" customHeight="1" x14ac:dyDescent="0.25">
      <c r="A43" s="473"/>
      <c r="B43" s="474"/>
      <c r="C43" s="475"/>
      <c r="D43" s="384"/>
    </row>
    <row r="44" spans="1:4" ht="20.100000000000001" customHeight="1" x14ac:dyDescent="0.25">
      <c r="A44" s="473"/>
      <c r="B44" s="474"/>
      <c r="C44" s="475"/>
      <c r="D44" s="384"/>
    </row>
    <row r="45" spans="1:4" ht="20.100000000000001" customHeight="1" x14ac:dyDescent="0.25">
      <c r="A45" s="473"/>
      <c r="B45" s="474"/>
      <c r="C45" s="475"/>
      <c r="D45" s="384"/>
    </row>
    <row r="46" spans="1:4" ht="20.100000000000001" customHeight="1" x14ac:dyDescent="0.25">
      <c r="A46" s="473"/>
      <c r="B46" s="474"/>
      <c r="C46" s="475"/>
      <c r="D46" s="384"/>
    </row>
    <row r="47" spans="1:4" ht="26.25" customHeight="1" x14ac:dyDescent="0.25">
      <c r="A47" s="476"/>
      <c r="B47" s="474"/>
      <c r="C47" s="475"/>
      <c r="D47" s="384"/>
    </row>
    <row r="48" spans="1:4" x14ac:dyDescent="0.25">
      <c r="D48" s="384"/>
    </row>
  </sheetData>
  <sheetProtection formatColumns="0" formatRows="0" insertHyperlinks="0"/>
  <mergeCells count="3">
    <mergeCell ref="A1:C1"/>
    <mergeCell ref="A2:C2"/>
    <mergeCell ref="A3:C3"/>
  </mergeCells>
  <printOptions horizontalCentered="1"/>
  <pageMargins left="0.39370078740157483" right="0.39370078740157483" top="0.74803149606299213" bottom="0.74803149606299213" header="0.31496062992125984" footer="0.31496062992125984"/>
  <pageSetup scale="7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dimension ref="A1:J37"/>
  <sheetViews>
    <sheetView view="pageBreakPreview" zoomScaleNormal="100" zoomScaleSheetLayoutView="100" workbookViewId="0">
      <selection activeCell="D9" sqref="D9"/>
    </sheetView>
  </sheetViews>
  <sheetFormatPr baseColWidth="10" defaultColWidth="11.28515625" defaultRowHeight="16.5" x14ac:dyDescent="0.3"/>
  <cols>
    <col min="1" max="1" width="4.28515625" style="118" customWidth="1"/>
    <col min="2" max="2" width="41.7109375" style="100" customWidth="1"/>
    <col min="3" max="5" width="16.7109375" style="100" customWidth="1"/>
    <col min="6" max="16384" width="11.28515625" style="100"/>
  </cols>
  <sheetData>
    <row r="1" spans="1:5" x14ac:dyDescent="0.3">
      <c r="A1" s="1382" t="str">
        <f>'ETCA-I-01'!A1:G1</f>
        <v>TELEVISORA DE HERMOSILLO, S.A. DE C.V.</v>
      </c>
      <c r="B1" s="1382"/>
      <c r="C1" s="1382"/>
      <c r="D1" s="1382"/>
      <c r="E1" s="1382"/>
    </row>
    <row r="2" spans="1:5" x14ac:dyDescent="0.3">
      <c r="A2" s="1386" t="s">
        <v>270</v>
      </c>
      <c r="B2" s="1386"/>
      <c r="C2" s="1386"/>
      <c r="D2" s="1386"/>
      <c r="E2" s="1386"/>
    </row>
    <row r="3" spans="1:5" x14ac:dyDescent="0.3">
      <c r="A3" s="1163" t="str">
        <f>'ETCA-I-03'!A3:D3</f>
        <v>Del 01 de Enero al 30 de Septiembre de 2021</v>
      </c>
      <c r="B3" s="1163"/>
      <c r="C3" s="1163"/>
      <c r="D3" s="1163"/>
      <c r="E3" s="1163"/>
    </row>
    <row r="4" spans="1:5" ht="17.25" thickBot="1" x14ac:dyDescent="0.35">
      <c r="A4" s="304"/>
      <c r="B4" s="1386" t="s">
        <v>798</v>
      </c>
      <c r="C4" s="1386"/>
      <c r="D4" s="49"/>
      <c r="E4" s="304"/>
    </row>
    <row r="5" spans="1:5" s="185" customFormat="1" ht="30" customHeight="1" x14ac:dyDescent="0.25">
      <c r="A5" s="1387" t="s">
        <v>799</v>
      </c>
      <c r="B5" s="1388"/>
      <c r="C5" s="305" t="s">
        <v>800</v>
      </c>
      <c r="D5" s="306" t="s">
        <v>801</v>
      </c>
      <c r="E5" s="307" t="s">
        <v>270</v>
      </c>
    </row>
    <row r="6" spans="1:5" s="185" customFormat="1" ht="30" customHeight="1" thickBot="1" x14ac:dyDescent="0.3">
      <c r="A6" s="1389"/>
      <c r="B6" s="1390"/>
      <c r="C6" s="308" t="s">
        <v>802</v>
      </c>
      <c r="D6" s="308" t="s">
        <v>803</v>
      </c>
      <c r="E6" s="309" t="s">
        <v>804</v>
      </c>
    </row>
    <row r="7" spans="1:5" s="185" customFormat="1" ht="21" customHeight="1" x14ac:dyDescent="0.25">
      <c r="A7" s="1391" t="s">
        <v>805</v>
      </c>
      <c r="B7" s="1392"/>
      <c r="C7" s="1392"/>
      <c r="D7" s="1392"/>
      <c r="E7" s="1393"/>
    </row>
    <row r="8" spans="1:5" s="185" customFormat="1" ht="20.25" customHeight="1" x14ac:dyDescent="0.25">
      <c r="A8" s="310">
        <v>1</v>
      </c>
      <c r="B8" s="315" t="s">
        <v>1090</v>
      </c>
      <c r="C8" s="312"/>
      <c r="D8" s="313">
        <v>7499988</v>
      </c>
      <c r="E8" s="323">
        <f>IF(B8="","",C8-D8)</f>
        <v>-7499988</v>
      </c>
    </row>
    <row r="9" spans="1:5" s="185" customFormat="1" ht="20.25" customHeight="1" x14ac:dyDescent="0.25">
      <c r="A9" s="310">
        <v>2</v>
      </c>
      <c r="B9" s="311"/>
      <c r="C9" s="312"/>
      <c r="D9" s="313"/>
      <c r="E9" s="323" t="str">
        <f t="shared" ref="E9:E17" si="0">IF(B9="","",C9-D9)</f>
        <v/>
      </c>
    </row>
    <row r="10" spans="1:5" s="185" customFormat="1" ht="20.25" customHeight="1" x14ac:dyDescent="0.25">
      <c r="A10" s="310">
        <v>3</v>
      </c>
      <c r="B10" s="311"/>
      <c r="C10" s="312"/>
      <c r="D10" s="313"/>
      <c r="E10" s="323" t="str">
        <f t="shared" si="0"/>
        <v/>
      </c>
    </row>
    <row r="11" spans="1:5" s="185" customFormat="1" ht="20.25" customHeight="1" x14ac:dyDescent="0.25">
      <c r="A11" s="310">
        <v>4</v>
      </c>
      <c r="B11" s="311"/>
      <c r="C11" s="312"/>
      <c r="D11" s="313"/>
      <c r="E11" s="323" t="str">
        <f t="shared" si="0"/>
        <v/>
      </c>
    </row>
    <row r="12" spans="1:5" s="185" customFormat="1" ht="20.25" customHeight="1" x14ac:dyDescent="0.25">
      <c r="A12" s="310">
        <v>5</v>
      </c>
      <c r="B12" s="311"/>
      <c r="C12" s="312"/>
      <c r="D12" s="313"/>
      <c r="E12" s="323" t="str">
        <f t="shared" si="0"/>
        <v/>
      </c>
    </row>
    <row r="13" spans="1:5" s="185" customFormat="1" ht="20.25" customHeight="1" x14ac:dyDescent="0.25">
      <c r="A13" s="310">
        <v>6</v>
      </c>
      <c r="B13" s="311"/>
      <c r="C13" s="312"/>
      <c r="D13" s="313"/>
      <c r="E13" s="323" t="str">
        <f t="shared" si="0"/>
        <v/>
      </c>
    </row>
    <row r="14" spans="1:5" s="185" customFormat="1" ht="20.25" customHeight="1" x14ac:dyDescent="0.25">
      <c r="A14" s="310">
        <v>7</v>
      </c>
      <c r="B14" s="311"/>
      <c r="C14" s="312"/>
      <c r="D14" s="313"/>
      <c r="E14" s="323" t="str">
        <f t="shared" si="0"/>
        <v/>
      </c>
    </row>
    <row r="15" spans="1:5" s="185" customFormat="1" ht="20.25" customHeight="1" x14ac:dyDescent="0.25">
      <c r="A15" s="310">
        <v>8</v>
      </c>
      <c r="B15" s="311"/>
      <c r="C15" s="312"/>
      <c r="D15" s="313"/>
      <c r="E15" s="323" t="str">
        <f t="shared" si="0"/>
        <v/>
      </c>
    </row>
    <row r="16" spans="1:5" s="185" customFormat="1" ht="20.25" customHeight="1" x14ac:dyDescent="0.25">
      <c r="A16" s="310">
        <v>9</v>
      </c>
      <c r="B16" s="311"/>
      <c r="C16" s="312"/>
      <c r="D16" s="313"/>
      <c r="E16" s="323" t="str">
        <f t="shared" si="0"/>
        <v/>
      </c>
    </row>
    <row r="17" spans="1:5" s="185" customFormat="1" ht="20.25" customHeight="1" x14ac:dyDescent="0.25">
      <c r="A17" s="310">
        <v>10</v>
      </c>
      <c r="B17" s="311"/>
      <c r="C17" s="312"/>
      <c r="D17" s="313"/>
      <c r="E17" s="323" t="str">
        <f t="shared" si="0"/>
        <v/>
      </c>
    </row>
    <row r="18" spans="1:5" s="185" customFormat="1" ht="20.25" customHeight="1" x14ac:dyDescent="0.25">
      <c r="A18" s="310"/>
      <c r="B18" s="315" t="s">
        <v>806</v>
      </c>
      <c r="C18" s="321">
        <f>SUM(C8:C17)</f>
        <v>0</v>
      </c>
      <c r="D18" s="322">
        <f>SUM(D8:D17)</f>
        <v>7499988</v>
      </c>
      <c r="E18" s="323">
        <f>SUM(E8:E17)</f>
        <v>-7499988</v>
      </c>
    </row>
    <row r="19" spans="1:5" s="185" customFormat="1" ht="21" customHeight="1" x14ac:dyDescent="0.25">
      <c r="A19" s="1383" t="s">
        <v>807</v>
      </c>
      <c r="B19" s="1384"/>
      <c r="C19" s="1384"/>
      <c r="D19" s="1384"/>
      <c r="E19" s="1385"/>
    </row>
    <row r="20" spans="1:5" s="185" customFormat="1" ht="20.25" customHeight="1" x14ac:dyDescent="0.25">
      <c r="A20" s="310">
        <v>1</v>
      </c>
      <c r="B20" s="311"/>
      <c r="C20" s="312"/>
      <c r="D20" s="313"/>
      <c r="E20" s="323" t="str">
        <f>IF(B20="","",C20-D20)</f>
        <v/>
      </c>
    </row>
    <row r="21" spans="1:5" s="185" customFormat="1" ht="20.25" customHeight="1" x14ac:dyDescent="0.25">
      <c r="A21" s="310">
        <v>2</v>
      </c>
      <c r="B21" s="311"/>
      <c r="C21" s="312"/>
      <c r="D21" s="313"/>
      <c r="E21" s="323" t="str">
        <f t="shared" ref="E21:E29" si="1">IF(B21="","",C21-D21)</f>
        <v/>
      </c>
    </row>
    <row r="22" spans="1:5" s="185" customFormat="1" ht="20.25" customHeight="1" x14ac:dyDescent="0.25">
      <c r="A22" s="310">
        <v>3</v>
      </c>
      <c r="B22" s="311"/>
      <c r="C22" s="312"/>
      <c r="D22" s="313"/>
      <c r="E22" s="323" t="str">
        <f t="shared" si="1"/>
        <v/>
      </c>
    </row>
    <row r="23" spans="1:5" s="185" customFormat="1" ht="20.25" customHeight="1" x14ac:dyDescent="0.25">
      <c r="A23" s="310">
        <v>4</v>
      </c>
      <c r="B23" s="311"/>
      <c r="C23" s="312"/>
      <c r="D23" s="313"/>
      <c r="E23" s="323" t="str">
        <f t="shared" si="1"/>
        <v/>
      </c>
    </row>
    <row r="24" spans="1:5" s="185" customFormat="1" ht="20.25" customHeight="1" x14ac:dyDescent="0.25">
      <c r="A24" s="310">
        <v>5</v>
      </c>
      <c r="B24" s="311"/>
      <c r="C24" s="312"/>
      <c r="D24" s="313"/>
      <c r="E24" s="323" t="str">
        <f t="shared" si="1"/>
        <v/>
      </c>
    </row>
    <row r="25" spans="1:5" s="185" customFormat="1" ht="20.25" customHeight="1" x14ac:dyDescent="0.25">
      <c r="A25" s="310">
        <v>6</v>
      </c>
      <c r="B25" s="311"/>
      <c r="C25" s="312"/>
      <c r="D25" s="313"/>
      <c r="E25" s="323" t="str">
        <f t="shared" si="1"/>
        <v/>
      </c>
    </row>
    <row r="26" spans="1:5" s="185" customFormat="1" ht="20.25" customHeight="1" x14ac:dyDescent="0.25">
      <c r="A26" s="310">
        <v>7</v>
      </c>
      <c r="B26" s="311"/>
      <c r="C26" s="312"/>
      <c r="D26" s="313"/>
      <c r="E26" s="323" t="str">
        <f t="shared" si="1"/>
        <v/>
      </c>
    </row>
    <row r="27" spans="1:5" s="185" customFormat="1" ht="20.25" customHeight="1" x14ac:dyDescent="0.25">
      <c r="A27" s="310">
        <v>8</v>
      </c>
      <c r="B27" s="311"/>
      <c r="C27" s="312"/>
      <c r="D27" s="313"/>
      <c r="E27" s="323" t="str">
        <f>IF(B27="","",C27-D28)</f>
        <v/>
      </c>
    </row>
    <row r="28" spans="1:5" s="185" customFormat="1" ht="20.25" customHeight="1" x14ac:dyDescent="0.25">
      <c r="A28" s="310">
        <v>9</v>
      </c>
      <c r="B28" s="311"/>
      <c r="C28" s="312"/>
      <c r="D28" s="313"/>
      <c r="E28" s="323" t="str">
        <f>IF(B28="","",C28-#REF!)</f>
        <v/>
      </c>
    </row>
    <row r="29" spans="1:5" s="185" customFormat="1" ht="20.25" customHeight="1" x14ac:dyDescent="0.25">
      <c r="A29" s="310">
        <v>10</v>
      </c>
      <c r="B29" s="311"/>
      <c r="C29" s="312"/>
      <c r="D29" s="313"/>
      <c r="E29" s="323" t="str">
        <f t="shared" si="1"/>
        <v/>
      </c>
    </row>
    <row r="30" spans="1:5" s="317" customFormat="1" ht="39.950000000000003" customHeight="1" thickBot="1" x14ac:dyDescent="0.35">
      <c r="A30" s="310"/>
      <c r="B30" s="316" t="s">
        <v>808</v>
      </c>
      <c r="C30" s="321">
        <f>SUM(C20:C29)</f>
        <v>0</v>
      </c>
      <c r="D30" s="322">
        <f>SUM(D20:D29)</f>
        <v>0</v>
      </c>
      <c r="E30" s="323">
        <f>SUM(E20:E29)</f>
        <v>0</v>
      </c>
    </row>
    <row r="31" spans="1:5" ht="30" customHeight="1" thickBot="1" x14ac:dyDescent="0.35">
      <c r="A31" s="318"/>
      <c r="B31" s="319" t="s">
        <v>809</v>
      </c>
      <c r="C31" s="324">
        <f>SUM(C18,C30)</f>
        <v>0</v>
      </c>
      <c r="D31" s="324">
        <f>SUM(D18,D30)</f>
        <v>7499988</v>
      </c>
      <c r="E31" s="325">
        <f>SUM(E18,E30)</f>
        <v>-7499988</v>
      </c>
    </row>
    <row r="32" spans="1:5" ht="17.100000000000001" customHeight="1" x14ac:dyDescent="0.3">
      <c r="A32" s="412" t="s">
        <v>81</v>
      </c>
    </row>
    <row r="33" spans="1:10" ht="17.100000000000001" customHeight="1" x14ac:dyDescent="0.3">
      <c r="A33" s="478"/>
      <c r="B33" s="479"/>
      <c r="C33" s="480"/>
      <c r="D33" s="480"/>
      <c r="E33" s="480"/>
    </row>
    <row r="34" spans="1:10" ht="17.100000000000001" customHeight="1" x14ac:dyDescent="0.3">
      <c r="A34" s="478"/>
      <c r="B34" s="479"/>
      <c r="C34" s="480"/>
      <c r="D34" s="480"/>
      <c r="E34" s="480"/>
    </row>
    <row r="35" spans="1:10" ht="17.100000000000001" customHeight="1" x14ac:dyDescent="0.3">
      <c r="A35" s="478"/>
      <c r="B35" s="479"/>
      <c r="C35" s="480"/>
      <c r="D35" s="480"/>
      <c r="E35" s="480"/>
    </row>
    <row r="36" spans="1:10" ht="17.100000000000001" customHeight="1" x14ac:dyDescent="0.3">
      <c r="A36" s="478"/>
      <c r="B36" s="479"/>
      <c r="C36" s="480"/>
      <c r="D36" s="480"/>
      <c r="E36" s="480"/>
    </row>
    <row r="37" spans="1:10" ht="17.100000000000001" customHeight="1" x14ac:dyDescent="0.3">
      <c r="A37" s="48" t="s">
        <v>244</v>
      </c>
      <c r="J37" s="320"/>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view="pageBreakPreview" topLeftCell="A49" zoomScale="120" zoomScaleNormal="100" zoomScaleSheetLayoutView="120" workbookViewId="0">
      <selection activeCell="F56" sqref="F56"/>
    </sheetView>
  </sheetViews>
  <sheetFormatPr baseColWidth="10" defaultColWidth="11.42578125" defaultRowHeight="15" x14ac:dyDescent="0.25"/>
  <cols>
    <col min="1" max="1" width="40.28515625" customWidth="1"/>
    <col min="2" max="2" width="15.140625" customWidth="1"/>
    <col min="3" max="3" width="15.28515625" customWidth="1"/>
    <col min="4" max="4" width="1.28515625" customWidth="1"/>
    <col min="5" max="5" width="40.28515625" customWidth="1"/>
    <col min="6" max="6" width="14" customWidth="1"/>
    <col min="7" max="7" width="15.5703125" customWidth="1"/>
  </cols>
  <sheetData>
    <row r="1" spans="1:7" ht="15.75" x14ac:dyDescent="0.25">
      <c r="A1" s="1146" t="str">
        <f>'ETCA-I-01'!A1:G1</f>
        <v>TELEVISORA DE HERMOSILLO, S.A. DE C.V.</v>
      </c>
      <c r="B1" s="1146"/>
      <c r="C1" s="1146"/>
      <c r="D1" s="1146"/>
      <c r="E1" s="1146"/>
      <c r="F1" s="1146"/>
      <c r="G1" s="1146"/>
    </row>
    <row r="2" spans="1:7" ht="14.25" customHeight="1" x14ac:dyDescent="0.25">
      <c r="A2" s="1144" t="s">
        <v>83</v>
      </c>
      <c r="B2" s="1144"/>
      <c r="C2" s="1144"/>
      <c r="D2" s="1144"/>
      <c r="E2" s="1144"/>
      <c r="F2" s="1144"/>
      <c r="G2" s="1144"/>
    </row>
    <row r="3" spans="1:7" ht="12.75" customHeight="1" x14ac:dyDescent="0.25">
      <c r="A3" s="1147" t="s">
        <v>2205</v>
      </c>
      <c r="B3" s="1147"/>
      <c r="C3" s="1147"/>
      <c r="D3" s="1147"/>
      <c r="E3" s="1147"/>
      <c r="F3" s="1147"/>
      <c r="G3" s="1147"/>
    </row>
    <row r="4" spans="1:7" ht="12" customHeight="1" thickBot="1" x14ac:dyDescent="0.3">
      <c r="A4" s="1148" t="s">
        <v>84</v>
      </c>
      <c r="B4" s="1148"/>
      <c r="C4" s="1148"/>
      <c r="D4" s="1148"/>
      <c r="E4" s="1148"/>
      <c r="F4" s="1148"/>
      <c r="G4" s="1148"/>
    </row>
    <row r="5" spans="1:7" ht="15.75" thickBot="1" x14ac:dyDescent="0.3">
      <c r="A5" s="645" t="s">
        <v>85</v>
      </c>
      <c r="B5" s="787">
        <v>2021</v>
      </c>
      <c r="C5" s="787">
        <v>2020</v>
      </c>
      <c r="D5" s="646"/>
      <c r="E5" s="647" t="s">
        <v>85</v>
      </c>
      <c r="F5" s="787">
        <v>2021</v>
      </c>
      <c r="G5" s="787">
        <v>2020</v>
      </c>
    </row>
    <row r="6" spans="1:7" ht="15.75" customHeight="1" x14ac:dyDescent="0.25">
      <c r="A6" s="576" t="s">
        <v>23</v>
      </c>
      <c r="B6" s="651"/>
      <c r="C6" s="651"/>
      <c r="D6" s="652"/>
      <c r="E6" s="651" t="s">
        <v>24</v>
      </c>
      <c r="F6" s="651"/>
      <c r="G6" s="651"/>
    </row>
    <row r="7" spans="1:7" ht="10.5" customHeight="1" x14ac:dyDescent="0.25">
      <c r="A7" s="576" t="s">
        <v>25</v>
      </c>
      <c r="B7" s="653"/>
      <c r="C7" s="653"/>
      <c r="D7" s="652"/>
      <c r="E7" s="651" t="s">
        <v>26</v>
      </c>
      <c r="F7" s="653"/>
      <c r="G7" s="653"/>
    </row>
    <row r="8" spans="1:7" s="623" customFormat="1" ht="25.5" x14ac:dyDescent="0.25">
      <c r="A8" s="576" t="s">
        <v>86</v>
      </c>
      <c r="B8" s="631">
        <f>SUM(B9:B15)</f>
        <v>4155531</v>
      </c>
      <c r="C8" s="631">
        <f>SUM(C9:C15)</f>
        <v>3210455</v>
      </c>
      <c r="D8" s="654"/>
      <c r="E8" s="651" t="s">
        <v>87</v>
      </c>
      <c r="F8" s="631">
        <f>SUM(F9:F17)-1</f>
        <v>92101778</v>
      </c>
      <c r="G8" s="631">
        <f>SUM(G9:G17)</f>
        <v>55808548</v>
      </c>
    </row>
    <row r="9" spans="1:7" x14ac:dyDescent="0.25">
      <c r="A9" s="655" t="s">
        <v>88</v>
      </c>
      <c r="B9" s="656">
        <v>11000</v>
      </c>
      <c r="C9" s="656">
        <v>16000</v>
      </c>
      <c r="D9" s="652"/>
      <c r="E9" s="653" t="s">
        <v>89</v>
      </c>
      <c r="F9" s="656">
        <v>0</v>
      </c>
      <c r="G9" s="656">
        <v>0</v>
      </c>
    </row>
    <row r="10" spans="1:7" x14ac:dyDescent="0.25">
      <c r="A10" s="655" t="s">
        <v>90</v>
      </c>
      <c r="B10" s="656">
        <v>0</v>
      </c>
      <c r="C10" s="656">
        <v>0</v>
      </c>
      <c r="D10" s="652"/>
      <c r="E10" s="653" t="s">
        <v>91</v>
      </c>
      <c r="F10" s="656">
        <v>1326804</v>
      </c>
      <c r="G10" s="656">
        <v>1714105</v>
      </c>
    </row>
    <row r="11" spans="1:7" x14ac:dyDescent="0.25">
      <c r="A11" s="655" t="s">
        <v>92</v>
      </c>
      <c r="B11" s="656">
        <v>4144531</v>
      </c>
      <c r="C11" s="656">
        <v>3194455</v>
      </c>
      <c r="D11" s="652"/>
      <c r="E11" s="653" t="s">
        <v>93</v>
      </c>
      <c r="F11" s="656">
        <v>0</v>
      </c>
      <c r="G11" s="656">
        <v>0</v>
      </c>
    </row>
    <row r="12" spans="1:7" x14ac:dyDescent="0.25">
      <c r="A12" s="655" t="s">
        <v>94</v>
      </c>
      <c r="B12" s="656">
        <v>0</v>
      </c>
      <c r="C12" s="656">
        <v>0</v>
      </c>
      <c r="D12" s="652"/>
      <c r="E12" s="653" t="s">
        <v>95</v>
      </c>
      <c r="F12" s="656">
        <v>0</v>
      </c>
      <c r="G12" s="656">
        <v>0</v>
      </c>
    </row>
    <row r="13" spans="1:7" x14ac:dyDescent="0.25">
      <c r="A13" s="655" t="s">
        <v>96</v>
      </c>
      <c r="B13" s="656">
        <v>0</v>
      </c>
      <c r="C13" s="656">
        <v>0</v>
      </c>
      <c r="D13" s="652"/>
      <c r="E13" s="653" t="s">
        <v>97</v>
      </c>
      <c r="F13" s="656">
        <v>0</v>
      </c>
      <c r="G13" s="656">
        <v>0</v>
      </c>
    </row>
    <row r="14" spans="1:7" ht="25.5" x14ac:dyDescent="0.25">
      <c r="A14" s="655" t="s">
        <v>98</v>
      </c>
      <c r="B14" s="656">
        <v>0</v>
      </c>
      <c r="C14" s="656">
        <v>0</v>
      </c>
      <c r="D14" s="652"/>
      <c r="E14" s="653" t="s">
        <v>99</v>
      </c>
      <c r="F14" s="656">
        <v>0</v>
      </c>
      <c r="G14" s="656">
        <v>0</v>
      </c>
    </row>
    <row r="15" spans="1:7" x14ac:dyDescent="0.25">
      <c r="A15" s="655" t="s">
        <v>100</v>
      </c>
      <c r="B15" s="656">
        <v>0</v>
      </c>
      <c r="C15" s="656">
        <v>0</v>
      </c>
      <c r="D15" s="652"/>
      <c r="E15" s="653" t="s">
        <v>101</v>
      </c>
      <c r="F15" s="656">
        <v>22744473</v>
      </c>
      <c r="G15" s="656">
        <v>35990101</v>
      </c>
    </row>
    <row r="16" spans="1:7" ht="25.5" x14ac:dyDescent="0.25">
      <c r="A16" s="585" t="s">
        <v>102</v>
      </c>
      <c r="B16" s="631">
        <f>SUM(B17:B23)</f>
        <v>17427865</v>
      </c>
      <c r="C16" s="631">
        <f>SUM(C17:C23)</f>
        <v>17719921</v>
      </c>
      <c r="D16" s="652"/>
      <c r="E16" s="653" t="s">
        <v>103</v>
      </c>
      <c r="F16" s="656">
        <v>0</v>
      </c>
      <c r="G16" s="656">
        <v>0</v>
      </c>
    </row>
    <row r="17" spans="1:7" x14ac:dyDescent="0.25">
      <c r="A17" s="657" t="s">
        <v>104</v>
      </c>
      <c r="B17" s="656">
        <v>0</v>
      </c>
      <c r="C17" s="656">
        <v>0</v>
      </c>
      <c r="D17" s="652"/>
      <c r="E17" s="653" t="s">
        <v>105</v>
      </c>
      <c r="F17" s="656">
        <v>68030502</v>
      </c>
      <c r="G17" s="656">
        <v>18104342</v>
      </c>
    </row>
    <row r="18" spans="1:7" ht="19.5" customHeight="1" x14ac:dyDescent="0.25">
      <c r="A18" s="657" t="s">
        <v>106</v>
      </c>
      <c r="B18" s="656">
        <v>13191242</v>
      </c>
      <c r="C18" s="656">
        <v>13718610</v>
      </c>
      <c r="D18" s="652"/>
      <c r="E18" s="651" t="s">
        <v>107</v>
      </c>
      <c r="F18" s="631">
        <f>SUM(F19:F21)</f>
        <v>0</v>
      </c>
      <c r="G18" s="631">
        <f>SUM(G19:G21)</f>
        <v>0</v>
      </c>
    </row>
    <row r="19" spans="1:7" ht="15.75" customHeight="1" x14ac:dyDescent="0.25">
      <c r="A19" s="657" t="s">
        <v>108</v>
      </c>
      <c r="B19" s="656">
        <v>3459</v>
      </c>
      <c r="C19" s="656">
        <v>5909</v>
      </c>
      <c r="D19" s="652"/>
      <c r="E19" s="653" t="s">
        <v>109</v>
      </c>
      <c r="F19" s="656">
        <v>0</v>
      </c>
      <c r="G19" s="656">
        <v>0</v>
      </c>
    </row>
    <row r="20" spans="1:7" ht="25.5" x14ac:dyDescent="0.25">
      <c r="A20" s="657" t="s">
        <v>110</v>
      </c>
      <c r="B20" s="656">
        <v>0</v>
      </c>
      <c r="C20" s="656">
        <v>0</v>
      </c>
      <c r="D20" s="652"/>
      <c r="E20" s="653" t="s">
        <v>111</v>
      </c>
      <c r="F20" s="656">
        <v>0</v>
      </c>
      <c r="G20" s="656">
        <v>0</v>
      </c>
    </row>
    <row r="21" spans="1:7" ht="14.25" customHeight="1" x14ac:dyDescent="0.25">
      <c r="A21" s="657" t="s">
        <v>112</v>
      </c>
      <c r="B21" s="656">
        <v>0</v>
      </c>
      <c r="C21" s="656">
        <v>0</v>
      </c>
      <c r="D21" s="652"/>
      <c r="E21" s="653" t="s">
        <v>113</v>
      </c>
      <c r="F21" s="656">
        <v>0</v>
      </c>
      <c r="G21" s="656">
        <v>0</v>
      </c>
    </row>
    <row r="22" spans="1:7" ht="25.5" x14ac:dyDescent="0.25">
      <c r="A22" s="657" t="s">
        <v>114</v>
      </c>
      <c r="B22" s="656">
        <v>0</v>
      </c>
      <c r="C22" s="656">
        <v>0</v>
      </c>
      <c r="D22" s="652"/>
      <c r="E22" s="651" t="s">
        <v>115</v>
      </c>
      <c r="F22" s="631">
        <f>SUM(F23:F24)</f>
        <v>2499996</v>
      </c>
      <c r="G22" s="631">
        <f>SUM(G23:G24)</f>
        <v>0</v>
      </c>
    </row>
    <row r="23" spans="1:7" ht="25.5" x14ac:dyDescent="0.25">
      <c r="A23" s="657" t="s">
        <v>116</v>
      </c>
      <c r="B23" s="656">
        <v>4233164</v>
      </c>
      <c r="C23" s="656">
        <v>3995402</v>
      </c>
      <c r="D23" s="652"/>
      <c r="E23" s="653" t="s">
        <v>117</v>
      </c>
      <c r="F23" s="656">
        <v>2499996</v>
      </c>
      <c r="G23" s="656">
        <v>0</v>
      </c>
    </row>
    <row r="24" spans="1:7" ht="25.5" x14ac:dyDescent="0.25">
      <c r="A24" s="576" t="s">
        <v>118</v>
      </c>
      <c r="B24" s="631">
        <f>SUM(B25:B29)</f>
        <v>75977</v>
      </c>
      <c r="C24" s="631">
        <f>SUM(C25:C29)</f>
        <v>84133</v>
      </c>
      <c r="D24" s="652"/>
      <c r="E24" s="653" t="s">
        <v>119</v>
      </c>
      <c r="F24" s="656">
        <v>0</v>
      </c>
      <c r="G24" s="656">
        <v>0</v>
      </c>
    </row>
    <row r="25" spans="1:7" ht="25.5" x14ac:dyDescent="0.25">
      <c r="A25" s="657" t="s">
        <v>120</v>
      </c>
      <c r="B25" s="656">
        <v>75977</v>
      </c>
      <c r="C25" s="656">
        <v>84133</v>
      </c>
      <c r="D25" s="652"/>
      <c r="E25" s="653" t="s">
        <v>121</v>
      </c>
      <c r="F25" s="656">
        <v>0</v>
      </c>
      <c r="G25" s="656">
        <v>0</v>
      </c>
    </row>
    <row r="26" spans="1:7" ht="25.5" x14ac:dyDescent="0.25">
      <c r="A26" s="657" t="s">
        <v>122</v>
      </c>
      <c r="B26" s="656">
        <v>0</v>
      </c>
      <c r="C26" s="656">
        <v>0</v>
      </c>
      <c r="D26" s="652"/>
      <c r="E26" s="651" t="s">
        <v>123</v>
      </c>
      <c r="F26" s="631">
        <f>SUM(F27:F29)</f>
        <v>0</v>
      </c>
      <c r="G26" s="631">
        <f>SUM(G27:G29)</f>
        <v>0</v>
      </c>
    </row>
    <row r="27" spans="1:7" ht="25.5" x14ac:dyDescent="0.25">
      <c r="A27" s="657" t="s">
        <v>124</v>
      </c>
      <c r="B27" s="656">
        <v>0</v>
      </c>
      <c r="C27" s="656">
        <v>0</v>
      </c>
      <c r="D27" s="652"/>
      <c r="E27" s="653" t="s">
        <v>125</v>
      </c>
      <c r="F27" s="656">
        <v>0</v>
      </c>
      <c r="G27" s="656">
        <v>0</v>
      </c>
    </row>
    <row r="28" spans="1:7" ht="17.25" customHeight="1" x14ac:dyDescent="0.25">
      <c r="A28" s="657" t="s">
        <v>126</v>
      </c>
      <c r="B28" s="656">
        <v>0</v>
      </c>
      <c r="C28" s="656">
        <v>0</v>
      </c>
      <c r="D28" s="652"/>
      <c r="E28" s="653" t="s">
        <v>127</v>
      </c>
      <c r="F28" s="656">
        <v>0</v>
      </c>
      <c r="G28" s="656">
        <v>0</v>
      </c>
    </row>
    <row r="29" spans="1:7" x14ac:dyDescent="0.25">
      <c r="A29" s="657" t="s">
        <v>128</v>
      </c>
      <c r="B29" s="656">
        <v>0</v>
      </c>
      <c r="C29" s="656">
        <v>0</v>
      </c>
      <c r="D29" s="652"/>
      <c r="E29" s="653" t="s">
        <v>129</v>
      </c>
      <c r="F29" s="656">
        <v>0</v>
      </c>
      <c r="G29" s="656">
        <v>0</v>
      </c>
    </row>
    <row r="30" spans="1:7" ht="25.5" x14ac:dyDescent="0.25">
      <c r="A30" s="576" t="s">
        <v>130</v>
      </c>
      <c r="B30" s="631">
        <f>SUM(B31:B35)</f>
        <v>0</v>
      </c>
      <c r="C30" s="631">
        <f>SUM(C31:C35)</f>
        <v>0</v>
      </c>
      <c r="D30" s="652"/>
      <c r="E30" s="651" t="s">
        <v>131</v>
      </c>
      <c r="F30" s="631">
        <f>SUM(F31:F36)</f>
        <v>0</v>
      </c>
      <c r="G30" s="631">
        <f>SUM(G31:G36)</f>
        <v>0</v>
      </c>
    </row>
    <row r="31" spans="1:7" ht="12.75" customHeight="1" x14ac:dyDescent="0.25">
      <c r="A31" s="657" t="s">
        <v>132</v>
      </c>
      <c r="B31" s="656">
        <v>0</v>
      </c>
      <c r="C31" s="656">
        <v>0</v>
      </c>
      <c r="D31" s="652"/>
      <c r="E31" s="653" t="s">
        <v>133</v>
      </c>
      <c r="F31" s="656">
        <v>0</v>
      </c>
      <c r="G31" s="656">
        <v>0</v>
      </c>
    </row>
    <row r="32" spans="1:7" ht="12.75" customHeight="1" x14ac:dyDescent="0.25">
      <c r="A32" s="657" t="s">
        <v>134</v>
      </c>
      <c r="B32" s="656">
        <v>0</v>
      </c>
      <c r="C32" s="656">
        <v>0</v>
      </c>
      <c r="D32" s="652"/>
      <c r="E32" s="653" t="s">
        <v>135</v>
      </c>
      <c r="F32" s="656">
        <v>0</v>
      </c>
      <c r="G32" s="656">
        <v>0</v>
      </c>
    </row>
    <row r="33" spans="1:7" ht="12.75" customHeight="1" x14ac:dyDescent="0.25">
      <c r="A33" s="657" t="s">
        <v>136</v>
      </c>
      <c r="B33" s="656">
        <v>0</v>
      </c>
      <c r="C33" s="656">
        <v>0</v>
      </c>
      <c r="D33" s="652"/>
      <c r="E33" s="653" t="s">
        <v>137</v>
      </c>
      <c r="F33" s="656">
        <v>0</v>
      </c>
      <c r="G33" s="656">
        <v>0</v>
      </c>
    </row>
    <row r="34" spans="1:7" ht="25.5" x14ac:dyDescent="0.25">
      <c r="A34" s="657" t="s">
        <v>138</v>
      </c>
      <c r="B34" s="656">
        <v>0</v>
      </c>
      <c r="C34" s="656">
        <v>0</v>
      </c>
      <c r="D34" s="660"/>
      <c r="E34" s="653" t="s">
        <v>139</v>
      </c>
      <c r="F34" s="656">
        <v>0</v>
      </c>
      <c r="G34" s="656">
        <v>0</v>
      </c>
    </row>
    <row r="35" spans="1:7" ht="25.5" x14ac:dyDescent="0.25">
      <c r="A35" s="657" t="s">
        <v>140</v>
      </c>
      <c r="B35" s="656">
        <v>0</v>
      </c>
      <c r="C35" s="656">
        <v>0</v>
      </c>
      <c r="D35" s="652"/>
      <c r="E35" s="653" t="s">
        <v>141</v>
      </c>
      <c r="F35" s="656">
        <v>0</v>
      </c>
      <c r="G35" s="656">
        <v>0</v>
      </c>
    </row>
    <row r="36" spans="1:7" ht="16.5" customHeight="1" thickBot="1" x14ac:dyDescent="0.3">
      <c r="A36" s="587" t="s">
        <v>142</v>
      </c>
      <c r="B36" s="659">
        <v>0</v>
      </c>
      <c r="C36" s="659">
        <v>0</v>
      </c>
      <c r="D36" s="649"/>
      <c r="E36" s="650" t="s">
        <v>143</v>
      </c>
      <c r="F36" s="659">
        <v>0</v>
      </c>
      <c r="G36" s="659">
        <v>0</v>
      </c>
    </row>
    <row r="37" spans="1:7" ht="25.5" x14ac:dyDescent="0.25">
      <c r="A37" s="675" t="s">
        <v>144</v>
      </c>
      <c r="B37" s="676">
        <f>SUM(B38:B39)</f>
        <v>-5144119</v>
      </c>
      <c r="C37" s="676">
        <f>SUM(C38:C39)</f>
        <v>-5219307</v>
      </c>
      <c r="D37" s="677"/>
      <c r="E37" s="678" t="s">
        <v>145</v>
      </c>
      <c r="F37" s="676">
        <f>SUM(F38:F40)</f>
        <v>0</v>
      </c>
      <c r="G37" s="676">
        <f>SUM(G38:G40)</f>
        <v>0</v>
      </c>
    </row>
    <row r="38" spans="1:7" ht="25.5" x14ac:dyDescent="0.25">
      <c r="A38" s="657" t="s">
        <v>146</v>
      </c>
      <c r="B38" s="656">
        <v>-5144119</v>
      </c>
      <c r="C38" s="656">
        <v>-5219307</v>
      </c>
      <c r="D38" s="660"/>
      <c r="E38" s="653" t="s">
        <v>147</v>
      </c>
      <c r="F38" s="656">
        <v>0</v>
      </c>
      <c r="G38" s="656">
        <v>0</v>
      </c>
    </row>
    <row r="39" spans="1:7" x14ac:dyDescent="0.25">
      <c r="A39" s="657" t="s">
        <v>148</v>
      </c>
      <c r="B39" s="656">
        <v>0</v>
      </c>
      <c r="C39" s="656">
        <v>0</v>
      </c>
      <c r="D39" s="652"/>
      <c r="E39" s="653" t="s">
        <v>149</v>
      </c>
      <c r="F39" s="656">
        <v>0</v>
      </c>
      <c r="G39" s="656">
        <v>0</v>
      </c>
    </row>
    <row r="40" spans="1:7" ht="12" customHeight="1" x14ac:dyDescent="0.25">
      <c r="A40" s="576" t="s">
        <v>150</v>
      </c>
      <c r="B40" s="631">
        <f>SUM(B41:B44)</f>
        <v>0</v>
      </c>
      <c r="C40" s="631">
        <f>SUM(C41:C44)</f>
        <v>0</v>
      </c>
      <c r="D40" s="652"/>
      <c r="E40" s="653" t="s">
        <v>151</v>
      </c>
      <c r="F40" s="656">
        <v>0</v>
      </c>
      <c r="G40" s="656">
        <v>0</v>
      </c>
    </row>
    <row r="41" spans="1:7" ht="12" customHeight="1" x14ac:dyDescent="0.25">
      <c r="A41" s="657" t="s">
        <v>152</v>
      </c>
      <c r="B41" s="656">
        <v>0</v>
      </c>
      <c r="C41" s="656">
        <v>0</v>
      </c>
      <c r="D41" s="652"/>
      <c r="E41" s="651" t="s">
        <v>153</v>
      </c>
      <c r="F41" s="636">
        <f>SUM(F42:F44)</f>
        <v>0</v>
      </c>
      <c r="G41" s="636">
        <f>SUM(G42:G44)</f>
        <v>0</v>
      </c>
    </row>
    <row r="42" spans="1:7" ht="12" customHeight="1" x14ac:dyDescent="0.25">
      <c r="A42" s="657" t="s">
        <v>154</v>
      </c>
      <c r="B42" s="656">
        <v>0</v>
      </c>
      <c r="C42" s="656">
        <v>0</v>
      </c>
      <c r="D42" s="652"/>
      <c r="E42" s="653" t="s">
        <v>155</v>
      </c>
      <c r="F42" s="656">
        <v>0</v>
      </c>
      <c r="G42" s="656">
        <v>0</v>
      </c>
    </row>
    <row r="43" spans="1:7" ht="25.5" x14ac:dyDescent="0.25">
      <c r="A43" s="657" t="s">
        <v>156</v>
      </c>
      <c r="B43" s="656">
        <v>0</v>
      </c>
      <c r="C43" s="656">
        <v>0</v>
      </c>
      <c r="D43" s="652"/>
      <c r="E43" s="653" t="s">
        <v>157</v>
      </c>
      <c r="F43" s="656">
        <v>0</v>
      </c>
      <c r="G43" s="656">
        <v>0</v>
      </c>
    </row>
    <row r="44" spans="1:7" ht="13.5" customHeight="1" x14ac:dyDescent="0.25">
      <c r="A44" s="657" t="s">
        <v>158</v>
      </c>
      <c r="B44" s="656">
        <v>0</v>
      </c>
      <c r="C44" s="656">
        <v>0</v>
      </c>
      <c r="D44" s="652"/>
      <c r="E44" s="653" t="s">
        <v>159</v>
      </c>
      <c r="F44" s="656">
        <v>0</v>
      </c>
      <c r="G44" s="656">
        <v>0</v>
      </c>
    </row>
    <row r="45" spans="1:7" ht="24" customHeight="1" x14ac:dyDescent="0.25">
      <c r="A45" s="576" t="s">
        <v>160</v>
      </c>
      <c r="B45" s="631">
        <f>+B40+B36+B37+B30+B24+B16+B8</f>
        <v>16515254</v>
      </c>
      <c r="C45" s="631">
        <f>+C40+C36+C37+C30+C24+C16+C8</f>
        <v>15795202</v>
      </c>
      <c r="D45" s="652"/>
      <c r="E45" s="651" t="s">
        <v>161</v>
      </c>
      <c r="F45" s="631">
        <f>+F41+F37+F30+F26+F25+F22+F18+F8-1</f>
        <v>94601773</v>
      </c>
      <c r="G45" s="631">
        <f>+G41+G37+G30+G26+G25+G22+G18+G8</f>
        <v>55808548</v>
      </c>
    </row>
    <row r="46" spans="1:7" x14ac:dyDescent="0.25">
      <c r="A46" s="576" t="s">
        <v>44</v>
      </c>
      <c r="B46" s="658"/>
      <c r="C46" s="658"/>
      <c r="D46" s="660"/>
      <c r="E46" s="651" t="s">
        <v>45</v>
      </c>
      <c r="F46" s="658"/>
      <c r="G46" s="658"/>
    </row>
    <row r="47" spans="1:7" ht="12.75" customHeight="1" x14ac:dyDescent="0.25">
      <c r="A47" s="657" t="s">
        <v>162</v>
      </c>
      <c r="B47" s="656">
        <v>0</v>
      </c>
      <c r="C47" s="656">
        <v>0</v>
      </c>
      <c r="D47" s="652"/>
      <c r="E47" s="653" t="s">
        <v>163</v>
      </c>
      <c r="F47" s="656">
        <v>0</v>
      </c>
      <c r="G47" s="656">
        <v>0</v>
      </c>
    </row>
    <row r="48" spans="1:7" ht="12.75" customHeight="1" x14ac:dyDescent="0.25">
      <c r="A48" s="657" t="s">
        <v>164</v>
      </c>
      <c r="B48" s="656">
        <v>0</v>
      </c>
      <c r="C48" s="656">
        <v>0</v>
      </c>
      <c r="D48" s="652"/>
      <c r="E48" s="653" t="s">
        <v>165</v>
      </c>
      <c r="F48" s="656">
        <v>0</v>
      </c>
      <c r="G48" s="656">
        <v>0</v>
      </c>
    </row>
    <row r="49" spans="1:8" ht="15.75" customHeight="1" x14ac:dyDescent="0.25">
      <c r="A49" s="657" t="s">
        <v>166</v>
      </c>
      <c r="B49" s="656">
        <v>21655591</v>
      </c>
      <c r="C49" s="656">
        <v>21655591</v>
      </c>
      <c r="D49" s="652"/>
      <c r="E49" s="653" t="s">
        <v>167</v>
      </c>
      <c r="F49" s="656">
        <v>32500092</v>
      </c>
      <c r="G49" s="656">
        <v>42500076</v>
      </c>
    </row>
    <row r="50" spans="1:8" ht="12" customHeight="1" x14ac:dyDescent="0.25">
      <c r="A50" s="657" t="s">
        <v>168</v>
      </c>
      <c r="B50" s="656">
        <v>109304528</v>
      </c>
      <c r="C50" s="656">
        <v>109304528</v>
      </c>
      <c r="D50" s="652"/>
      <c r="E50" s="653" t="s">
        <v>169</v>
      </c>
      <c r="F50" s="656">
        <v>0</v>
      </c>
      <c r="G50" s="656">
        <v>0</v>
      </c>
    </row>
    <row r="51" spans="1:8" ht="25.5" x14ac:dyDescent="0.25">
      <c r="A51" s="657" t="s">
        <v>170</v>
      </c>
      <c r="B51" s="656">
        <v>247385</v>
      </c>
      <c r="C51" s="656">
        <v>247385</v>
      </c>
      <c r="D51" s="652"/>
      <c r="E51" s="653" t="s">
        <v>171</v>
      </c>
      <c r="F51" s="656">
        <v>0</v>
      </c>
      <c r="G51" s="656">
        <v>0</v>
      </c>
    </row>
    <row r="52" spans="1:8" x14ac:dyDescent="0.25">
      <c r="A52" s="657" t="s">
        <v>172</v>
      </c>
      <c r="B52" s="656">
        <v>-97558730</v>
      </c>
      <c r="C52" s="656">
        <v>-91944464</v>
      </c>
      <c r="D52" s="654"/>
      <c r="E52" s="653" t="s">
        <v>173</v>
      </c>
      <c r="F52" s="656">
        <v>7619</v>
      </c>
      <c r="G52" s="656">
        <v>7619</v>
      </c>
    </row>
    <row r="53" spans="1:8" ht="11.25" customHeight="1" x14ac:dyDescent="0.25">
      <c r="A53" s="657" t="s">
        <v>174</v>
      </c>
      <c r="B53" s="656">
        <v>18469348</v>
      </c>
      <c r="C53" s="656">
        <v>12329513</v>
      </c>
      <c r="D53" s="654"/>
      <c r="E53" s="651"/>
      <c r="F53" s="658"/>
      <c r="G53" s="658"/>
    </row>
    <row r="54" spans="1:8" ht="19.5" customHeight="1" x14ac:dyDescent="0.25">
      <c r="A54" s="657" t="s">
        <v>175</v>
      </c>
      <c r="B54" s="656">
        <v>0</v>
      </c>
      <c r="C54" s="656">
        <v>0</v>
      </c>
      <c r="D54" s="654"/>
      <c r="E54" s="651" t="s">
        <v>176</v>
      </c>
      <c r="F54" s="631">
        <f>SUM(F46:F52)</f>
        <v>32507711</v>
      </c>
      <c r="G54" s="631">
        <f>SUM(G46:G52)</f>
        <v>42507695</v>
      </c>
    </row>
    <row r="55" spans="1:8" ht="13.5" customHeight="1" x14ac:dyDescent="0.25">
      <c r="A55" s="657" t="s">
        <v>177</v>
      </c>
      <c r="B55" s="656">
        <v>13624403</v>
      </c>
      <c r="C55" s="656">
        <v>13624403</v>
      </c>
      <c r="D55" s="652"/>
      <c r="E55" s="578"/>
      <c r="F55" s="658"/>
      <c r="G55" s="658"/>
    </row>
    <row r="56" spans="1:8" ht="25.5" x14ac:dyDescent="0.25">
      <c r="A56" s="576" t="s">
        <v>178</v>
      </c>
      <c r="B56" s="631">
        <f>SUM(B47:B55)</f>
        <v>65742525</v>
      </c>
      <c r="C56" s="631">
        <f>SUM(C47:C55)-1</f>
        <v>65216955</v>
      </c>
      <c r="D56" s="652"/>
      <c r="E56" s="651" t="s">
        <v>179</v>
      </c>
      <c r="F56" s="631">
        <f>+F45+F54+1</f>
        <v>127109485</v>
      </c>
      <c r="G56" s="631">
        <f>+G45+G54</f>
        <v>98316243</v>
      </c>
    </row>
    <row r="57" spans="1:8" ht="14.25" customHeight="1" x14ac:dyDescent="0.25">
      <c r="A57" s="657"/>
      <c r="B57" s="658"/>
      <c r="C57" s="658"/>
      <c r="D57" s="654"/>
      <c r="E57" s="651" t="s">
        <v>180</v>
      </c>
      <c r="F57" s="658"/>
      <c r="G57" s="658"/>
    </row>
    <row r="58" spans="1:8" ht="15" customHeight="1" x14ac:dyDescent="0.25">
      <c r="A58" s="576" t="s">
        <v>181</v>
      </c>
      <c r="B58" s="631">
        <f>+B45+B56</f>
        <v>82257779</v>
      </c>
      <c r="C58" s="631">
        <f>+C45+C56</f>
        <v>81012157</v>
      </c>
      <c r="D58" s="652"/>
      <c r="E58" s="651" t="s">
        <v>182</v>
      </c>
      <c r="F58" s="631">
        <f>SUM(F59:F61)</f>
        <v>105494826</v>
      </c>
      <c r="G58" s="631">
        <f>SUM(G59:G61)</f>
        <v>90494826</v>
      </c>
      <c r="H58" s="392" t="str">
        <f>IF(C58&lt;&gt;'ETCA-I-01'!C31,"ERROR!!!!! ELTOTAL DE ACTIVO, NO CONCUERDA CON LO REPORTADO EN EL ESTADO DE SITUACION FINANCIERA","")</f>
        <v/>
      </c>
    </row>
    <row r="59" spans="1:8" ht="12" customHeight="1" x14ac:dyDescent="0.25">
      <c r="A59" s="657"/>
      <c r="B59" s="661"/>
      <c r="C59" s="661"/>
      <c r="D59" s="652"/>
      <c r="E59" s="653" t="s">
        <v>183</v>
      </c>
      <c r="F59" s="656">
        <v>105494826</v>
      </c>
      <c r="G59" s="656">
        <v>90494826</v>
      </c>
      <c r="H59" s="392" t="str">
        <f>IF(B58&lt;&gt;'ETCA-I-01'!B31,"ERROR!!!!! ELTOTAL DE ACTIVO, NO CONCUERDA CON LO REPORTADO EN EL ESTADO DE SITUACION FINANCIERA","")</f>
        <v/>
      </c>
    </row>
    <row r="60" spans="1:8" ht="11.25" customHeight="1" x14ac:dyDescent="0.25">
      <c r="A60" s="657"/>
      <c r="B60" s="661"/>
      <c r="C60" s="661"/>
      <c r="D60" s="652"/>
      <c r="E60" s="653" t="s">
        <v>184</v>
      </c>
      <c r="F60" s="656">
        <v>0</v>
      </c>
      <c r="G60" s="656">
        <v>0</v>
      </c>
    </row>
    <row r="61" spans="1:8" ht="10.5" customHeight="1" x14ac:dyDescent="0.25">
      <c r="A61" s="657"/>
      <c r="B61" s="661"/>
      <c r="C61" s="661"/>
      <c r="D61" s="652"/>
      <c r="E61" s="653" t="s">
        <v>185</v>
      </c>
      <c r="F61" s="656">
        <v>0</v>
      </c>
      <c r="G61" s="656">
        <v>0</v>
      </c>
    </row>
    <row r="62" spans="1:8" ht="25.5" x14ac:dyDescent="0.25">
      <c r="A62" s="657"/>
      <c r="B62" s="661"/>
      <c r="C62" s="661"/>
      <c r="D62" s="652"/>
      <c r="E62" s="651" t="s">
        <v>186</v>
      </c>
      <c r="F62" s="631">
        <f>SUM(F63:F67)-1</f>
        <v>-155422832</v>
      </c>
      <c r="G62" s="631">
        <f>SUM(G63:G67)</f>
        <v>-112875211</v>
      </c>
    </row>
    <row r="63" spans="1:8" x14ac:dyDescent="0.25">
      <c r="A63" s="657"/>
      <c r="B63" s="661"/>
      <c r="C63" s="661"/>
      <c r="D63" s="652"/>
      <c r="E63" s="653" t="s">
        <v>187</v>
      </c>
      <c r="F63" s="656">
        <v>-52212960</v>
      </c>
      <c r="G63" s="656">
        <v>-15495493</v>
      </c>
    </row>
    <row r="64" spans="1:8" x14ac:dyDescent="0.25">
      <c r="A64" s="657"/>
      <c r="B64" s="661"/>
      <c r="C64" s="661"/>
      <c r="D64" s="652"/>
      <c r="E64" s="653" t="s">
        <v>188</v>
      </c>
      <c r="F64" s="656">
        <v>-141174530</v>
      </c>
      <c r="G64" s="656">
        <v>-125679037</v>
      </c>
    </row>
    <row r="65" spans="1:8" ht="12.75" customHeight="1" x14ac:dyDescent="0.25">
      <c r="A65" s="657"/>
      <c r="B65" s="661"/>
      <c r="C65" s="661"/>
      <c r="D65" s="652"/>
      <c r="E65" s="653" t="s">
        <v>189</v>
      </c>
      <c r="F65" s="656">
        <v>28299319</v>
      </c>
      <c r="G65" s="656">
        <v>28299319</v>
      </c>
    </row>
    <row r="66" spans="1:8" ht="12" customHeight="1" x14ac:dyDescent="0.25">
      <c r="A66" s="657"/>
      <c r="B66" s="661"/>
      <c r="C66" s="661"/>
      <c r="D66" s="652"/>
      <c r="E66" s="653" t="s">
        <v>190</v>
      </c>
      <c r="F66" s="656">
        <v>0</v>
      </c>
      <c r="G66" s="656">
        <v>0</v>
      </c>
    </row>
    <row r="67" spans="1:8" ht="17.25" customHeight="1" x14ac:dyDescent="0.25">
      <c r="A67" s="657"/>
      <c r="B67" s="661"/>
      <c r="C67" s="661"/>
      <c r="D67" s="652"/>
      <c r="E67" s="653" t="s">
        <v>191</v>
      </c>
      <c r="F67" s="656">
        <v>9665340</v>
      </c>
      <c r="G67" s="656">
        <v>0</v>
      </c>
    </row>
    <row r="68" spans="1:8" ht="25.5" x14ac:dyDescent="0.25">
      <c r="A68" s="657"/>
      <c r="B68" s="661"/>
      <c r="C68" s="661"/>
      <c r="D68" s="652"/>
      <c r="E68" s="651" t="s">
        <v>192</v>
      </c>
      <c r="F68" s="631">
        <f>SUM(F69:F70)</f>
        <v>5076300</v>
      </c>
      <c r="G68" s="631">
        <f>SUM(G69:G70)</f>
        <v>5076300</v>
      </c>
    </row>
    <row r="69" spans="1:8" x14ac:dyDescent="0.25">
      <c r="A69" s="657"/>
      <c r="B69" s="661"/>
      <c r="C69" s="661"/>
      <c r="D69" s="652"/>
      <c r="E69" s="653" t="s">
        <v>193</v>
      </c>
      <c r="F69" s="656">
        <v>0</v>
      </c>
      <c r="G69" s="656">
        <v>0</v>
      </c>
    </row>
    <row r="70" spans="1:8" ht="14.25" customHeight="1" x14ac:dyDescent="0.25">
      <c r="A70" s="657"/>
      <c r="B70" s="661"/>
      <c r="C70" s="661"/>
      <c r="D70" s="652"/>
      <c r="E70" s="653" t="s">
        <v>194</v>
      </c>
      <c r="F70" s="656">
        <v>5076300</v>
      </c>
      <c r="G70" s="656">
        <v>5076300</v>
      </c>
    </row>
    <row r="71" spans="1:8" ht="15" customHeight="1" x14ac:dyDescent="0.25">
      <c r="A71" s="657"/>
      <c r="B71" s="661"/>
      <c r="C71" s="661"/>
      <c r="D71" s="652"/>
      <c r="E71" s="651" t="s">
        <v>195</v>
      </c>
      <c r="F71" s="631">
        <f>+F58+F62+F68</f>
        <v>-44851706</v>
      </c>
      <c r="G71" s="631">
        <f>+G58+G62+G68-1</f>
        <v>-17304086</v>
      </c>
    </row>
    <row r="72" spans="1:8" ht="19.5" customHeight="1" thickBot="1" x14ac:dyDescent="0.3">
      <c r="A72" s="587"/>
      <c r="B72" s="648"/>
      <c r="C72" s="648"/>
      <c r="D72" s="649"/>
      <c r="E72" s="588" t="s">
        <v>196</v>
      </c>
      <c r="F72" s="703">
        <f>+F56+F71</f>
        <v>82257779</v>
      </c>
      <c r="G72" s="662">
        <f>+G56+G71</f>
        <v>81012157</v>
      </c>
      <c r="H72" s="392" t="str">
        <f>IF((G72-'ETCA-I-01'!G50)&gt;0.9,"ERROR!!!!! ELTOTAL DE DEL PATRIMONIO Y HACIENDA PUBLICA, NO CONCUERDA CON LO REPORTADO EN EL ESTADO DE SITUACION FINANCIERA","")</f>
        <v/>
      </c>
    </row>
    <row r="73" spans="1:8" x14ac:dyDescent="0.25">
      <c r="H73" t="str">
        <f>IF(F72&lt;&gt;'ETCA-I-01'!F50,"ERROR!!!!!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dimension ref="A1:I37"/>
  <sheetViews>
    <sheetView view="pageBreakPreview" zoomScale="90" zoomScaleNormal="100" zoomScaleSheetLayoutView="90" workbookViewId="0">
      <selection activeCell="D10" sqref="D10"/>
    </sheetView>
  </sheetViews>
  <sheetFormatPr baseColWidth="10" defaultColWidth="11.28515625" defaultRowHeight="16.5" x14ac:dyDescent="0.3"/>
  <cols>
    <col min="1" max="1" width="4.85546875" style="118" customWidth="1"/>
    <col min="2" max="2" width="41" style="100" customWidth="1"/>
    <col min="3" max="4" width="25.7109375" style="100" customWidth="1"/>
    <col min="5" max="16384" width="11.28515625" style="100"/>
  </cols>
  <sheetData>
    <row r="1" spans="1:6" x14ac:dyDescent="0.3">
      <c r="A1" s="326"/>
      <c r="B1" s="1382" t="str">
        <f>'ETCA-I-01'!A1</f>
        <v>TELEVISORA DE HERMOSILLO, S.A. DE C.V.</v>
      </c>
      <c r="C1" s="1382"/>
      <c r="D1" s="1382"/>
    </row>
    <row r="2" spans="1:6" x14ac:dyDescent="0.3">
      <c r="A2" s="100"/>
      <c r="B2" s="1386" t="s">
        <v>810</v>
      </c>
      <c r="C2" s="1386"/>
      <c r="D2" s="1386"/>
      <c r="F2" s="303"/>
    </row>
    <row r="3" spans="1:6" x14ac:dyDescent="0.3">
      <c r="B3" s="1163" t="str">
        <f>'ETCA-I-03'!A3</f>
        <v>Del 01 de Enero al 30 de Septiembre de 2021</v>
      </c>
      <c r="C3" s="1163"/>
      <c r="D3" s="1163"/>
    </row>
    <row r="4" spans="1:6" x14ac:dyDescent="0.3">
      <c r="A4" s="745"/>
      <c r="B4" s="1398" t="s">
        <v>1041</v>
      </c>
      <c r="C4" s="1398"/>
      <c r="D4" s="220"/>
    </row>
    <row r="5" spans="1:6" ht="6.75" customHeight="1" thickBot="1" x14ac:dyDescent="0.35"/>
    <row r="6" spans="1:6" s="185" customFormat="1" ht="27.95" customHeight="1" x14ac:dyDescent="0.25">
      <c r="A6" s="1387" t="s">
        <v>799</v>
      </c>
      <c r="B6" s="1388"/>
      <c r="C6" s="1394" t="s">
        <v>434</v>
      </c>
      <c r="D6" s="1396" t="s">
        <v>661</v>
      </c>
    </row>
    <row r="7" spans="1:6" s="185" customFormat="1" ht="4.5" customHeight="1" thickBot="1" x14ac:dyDescent="0.3">
      <c r="A7" s="1389"/>
      <c r="B7" s="1390"/>
      <c r="C7" s="1395"/>
      <c r="D7" s="1397"/>
    </row>
    <row r="8" spans="1:6" s="185" customFormat="1" ht="21" customHeight="1" x14ac:dyDescent="0.25">
      <c r="A8" s="1391" t="s">
        <v>805</v>
      </c>
      <c r="B8" s="1392"/>
      <c r="C8" s="1392"/>
      <c r="D8" s="1393"/>
    </row>
    <row r="9" spans="1:6" s="185" customFormat="1" ht="18" customHeight="1" x14ac:dyDescent="0.25">
      <c r="A9" s="310">
        <v>1</v>
      </c>
      <c r="B9" s="315" t="s">
        <v>1091</v>
      </c>
      <c r="C9" s="876">
        <v>1999205</v>
      </c>
      <c r="D9" s="877">
        <v>1999205</v>
      </c>
    </row>
    <row r="10" spans="1:6" s="185" customFormat="1" ht="18" customHeight="1" x14ac:dyDescent="0.25">
      <c r="A10" s="310">
        <v>2</v>
      </c>
      <c r="B10" s="311"/>
      <c r="C10" s="327"/>
      <c r="D10" s="328"/>
    </row>
    <row r="11" spans="1:6" s="185" customFormat="1" ht="18" customHeight="1" x14ac:dyDescent="0.25">
      <c r="A11" s="310">
        <v>3</v>
      </c>
      <c r="B11" s="311"/>
      <c r="C11" s="327"/>
      <c r="D11" s="328"/>
    </row>
    <row r="12" spans="1:6" s="185" customFormat="1" ht="18" customHeight="1" x14ac:dyDescent="0.25">
      <c r="A12" s="310">
        <v>4</v>
      </c>
      <c r="B12" s="311"/>
      <c r="C12" s="327"/>
      <c r="D12" s="328"/>
    </row>
    <row r="13" spans="1:6" s="185" customFormat="1" ht="18" customHeight="1" x14ac:dyDescent="0.25">
      <c r="A13" s="310">
        <v>5</v>
      </c>
      <c r="B13" s="311"/>
      <c r="C13" s="327"/>
      <c r="D13" s="328"/>
    </row>
    <row r="14" spans="1:6" s="185" customFormat="1" ht="18" customHeight="1" x14ac:dyDescent="0.25">
      <c r="A14" s="310">
        <v>6</v>
      </c>
      <c r="B14" s="311"/>
      <c r="C14" s="327"/>
      <c r="D14" s="328"/>
    </row>
    <row r="15" spans="1:6" s="185" customFormat="1" ht="18" customHeight="1" x14ac:dyDescent="0.25">
      <c r="A15" s="310">
        <v>7</v>
      </c>
      <c r="B15" s="311"/>
      <c r="C15" s="327"/>
      <c r="D15" s="328"/>
    </row>
    <row r="16" spans="1:6" s="185" customFormat="1" ht="18" customHeight="1" x14ac:dyDescent="0.25">
      <c r="A16" s="310">
        <v>8</v>
      </c>
      <c r="B16" s="311"/>
      <c r="C16" s="327"/>
      <c r="D16" s="328"/>
    </row>
    <row r="17" spans="1:4" s="185" customFormat="1" ht="18" customHeight="1" x14ac:dyDescent="0.25">
      <c r="A17" s="310">
        <v>9</v>
      </c>
      <c r="B17" s="311"/>
      <c r="C17" s="327"/>
      <c r="D17" s="328"/>
    </row>
    <row r="18" spans="1:4" s="185" customFormat="1" ht="18" customHeight="1" x14ac:dyDescent="0.25">
      <c r="A18" s="310">
        <v>10</v>
      </c>
      <c r="B18" s="311"/>
      <c r="C18" s="327"/>
      <c r="D18" s="328"/>
    </row>
    <row r="19" spans="1:4" s="185" customFormat="1" ht="18" customHeight="1" x14ac:dyDescent="0.25">
      <c r="A19" s="310"/>
      <c r="B19" s="315" t="s">
        <v>811</v>
      </c>
      <c r="C19" s="321">
        <f>SUM(C9:C18)</f>
        <v>1999205</v>
      </c>
      <c r="D19" s="323">
        <f>SUM(D9:D18)</f>
        <v>1999205</v>
      </c>
    </row>
    <row r="20" spans="1:4" s="185" customFormat="1" ht="21" customHeight="1" x14ac:dyDescent="0.25">
      <c r="A20" s="1383" t="s">
        <v>807</v>
      </c>
      <c r="B20" s="1384"/>
      <c r="C20" s="1384"/>
      <c r="D20" s="1385"/>
    </row>
    <row r="21" spans="1:4" s="185" customFormat="1" ht="18" customHeight="1" x14ac:dyDescent="0.25">
      <c r="A21" s="310">
        <v>1</v>
      </c>
      <c r="B21" s="311"/>
      <c r="C21" s="327"/>
      <c r="D21" s="328"/>
    </row>
    <row r="22" spans="1:4" s="185" customFormat="1" ht="18" customHeight="1" x14ac:dyDescent="0.25">
      <c r="A22" s="310">
        <v>2</v>
      </c>
      <c r="B22" s="311"/>
      <c r="C22" s="327"/>
      <c r="D22" s="328"/>
    </row>
    <row r="23" spans="1:4" s="185" customFormat="1" ht="18" customHeight="1" x14ac:dyDescent="0.25">
      <c r="A23" s="310">
        <v>3</v>
      </c>
      <c r="B23" s="311"/>
      <c r="C23" s="327"/>
      <c r="D23" s="328"/>
    </row>
    <row r="24" spans="1:4" s="185" customFormat="1" ht="18" customHeight="1" x14ac:dyDescent="0.25">
      <c r="A24" s="310">
        <v>4</v>
      </c>
      <c r="B24" s="311"/>
      <c r="C24" s="327"/>
      <c r="D24" s="328"/>
    </row>
    <row r="25" spans="1:4" s="185" customFormat="1" ht="18" customHeight="1" x14ac:dyDescent="0.25">
      <c r="A25" s="310">
        <v>5</v>
      </c>
      <c r="B25" s="311"/>
      <c r="C25" s="327"/>
      <c r="D25" s="328"/>
    </row>
    <row r="26" spans="1:4" s="185" customFormat="1" ht="18" customHeight="1" x14ac:dyDescent="0.25">
      <c r="A26" s="310">
        <v>6</v>
      </c>
      <c r="B26" s="311"/>
      <c r="C26" s="327"/>
      <c r="D26" s="328"/>
    </row>
    <row r="27" spans="1:4" s="185" customFormat="1" ht="18" customHeight="1" x14ac:dyDescent="0.25">
      <c r="A27" s="310">
        <v>7</v>
      </c>
      <c r="B27" s="311"/>
      <c r="C27" s="327"/>
      <c r="D27" s="328"/>
    </row>
    <row r="28" spans="1:4" s="185" customFormat="1" ht="18" customHeight="1" x14ac:dyDescent="0.25">
      <c r="A28" s="310">
        <v>8</v>
      </c>
      <c r="B28" s="311"/>
      <c r="C28" s="327"/>
      <c r="D28" s="328"/>
    </row>
    <row r="29" spans="1:4" s="185" customFormat="1" ht="18" customHeight="1" x14ac:dyDescent="0.25">
      <c r="A29" s="310">
        <v>9</v>
      </c>
      <c r="B29" s="311"/>
      <c r="C29" s="327"/>
      <c r="D29" s="328"/>
    </row>
    <row r="30" spans="1:4" s="185" customFormat="1" ht="18" customHeight="1" x14ac:dyDescent="0.25">
      <c r="A30" s="310">
        <v>10</v>
      </c>
      <c r="B30" s="311"/>
      <c r="C30" s="327" t="s">
        <v>244</v>
      </c>
      <c r="D30" s="328"/>
    </row>
    <row r="31" spans="1:4" s="317" customFormat="1" ht="18" customHeight="1" thickBot="1" x14ac:dyDescent="0.35">
      <c r="A31" s="310"/>
      <c r="B31" s="316" t="s">
        <v>812</v>
      </c>
      <c r="C31" s="321">
        <f>SUM(C21:C30)</f>
        <v>0</v>
      </c>
      <c r="D31" s="323">
        <f>SUM(D21:D30)</f>
        <v>0</v>
      </c>
    </row>
    <row r="32" spans="1:4" ht="27.95" customHeight="1" thickBot="1" x14ac:dyDescent="0.35">
      <c r="A32" s="318"/>
      <c r="B32" s="319" t="s">
        <v>809</v>
      </c>
      <c r="C32" s="324">
        <f>SUM(C31,C19)</f>
        <v>1999205</v>
      </c>
      <c r="D32" s="329">
        <f>SUM(D31,D19)</f>
        <v>1999205</v>
      </c>
    </row>
    <row r="33" spans="1:9" s="481" customFormat="1" ht="18" customHeight="1" x14ac:dyDescent="0.3">
      <c r="A33" s="412" t="s">
        <v>81</v>
      </c>
      <c r="B33" s="100"/>
      <c r="C33" s="100"/>
      <c r="D33" s="100"/>
      <c r="E33" s="100"/>
    </row>
    <row r="34" spans="1:9" s="481" customFormat="1" ht="18" customHeight="1" x14ac:dyDescent="0.3">
      <c r="A34" s="48"/>
      <c r="B34" s="100"/>
      <c r="C34" s="100"/>
      <c r="D34" s="100"/>
      <c r="E34" s="100"/>
    </row>
    <row r="35" spans="1:9" s="481" customFormat="1" ht="18" customHeight="1" x14ac:dyDescent="0.3">
      <c r="A35" s="48"/>
      <c r="B35" s="100"/>
      <c r="C35" s="100"/>
      <c r="D35" s="100"/>
      <c r="E35" s="100"/>
    </row>
    <row r="36" spans="1:9" s="482" customFormat="1" ht="17.100000000000001" customHeight="1" x14ac:dyDescent="0.3">
      <c r="A36" s="478"/>
      <c r="B36" s="479"/>
      <c r="C36" s="480"/>
      <c r="D36" s="480"/>
    </row>
    <row r="37" spans="1:9" ht="17.100000000000001" customHeight="1" x14ac:dyDescent="0.3">
      <c r="A37" s="48"/>
      <c r="I37" s="320"/>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44"/>
  <sheetViews>
    <sheetView view="pageBreakPreview" zoomScaleNormal="100" zoomScaleSheetLayoutView="100" workbookViewId="0">
      <selection activeCell="F20" sqref="F20"/>
    </sheetView>
  </sheetViews>
  <sheetFormatPr baseColWidth="10" defaultColWidth="11.28515625" defaultRowHeight="15" x14ac:dyDescent="0.25"/>
  <cols>
    <col min="1" max="1" width="47.7109375" style="340" bestFit="1" customWidth="1"/>
    <col min="2" max="2" width="11.28515625" style="330"/>
    <col min="3" max="3" width="12.28515625" style="330" customWidth="1"/>
    <col min="4" max="16384" width="11.28515625" style="330"/>
  </cols>
  <sheetData>
    <row r="1" spans="1:7" ht="16.5" customHeight="1" x14ac:dyDescent="0.25">
      <c r="A1" s="1399" t="str">
        <f>'ETCA-I-01'!A1:G1</f>
        <v>TELEVISORA DE HERMOSILLO, S.A. DE C.V.</v>
      </c>
      <c r="B1" s="1399"/>
      <c r="C1" s="1399"/>
      <c r="D1" s="1399"/>
      <c r="E1" s="1399"/>
      <c r="F1" s="1399"/>
      <c r="G1" s="1399"/>
    </row>
    <row r="2" spans="1:7" ht="16.5" customHeight="1" x14ac:dyDescent="0.25">
      <c r="A2" s="1399" t="s">
        <v>813</v>
      </c>
      <c r="B2" s="1399"/>
      <c r="C2" s="1399"/>
      <c r="D2" s="1399"/>
      <c r="E2" s="1399"/>
      <c r="F2" s="1399"/>
      <c r="G2" s="1399"/>
    </row>
    <row r="3" spans="1:7" ht="16.5" x14ac:dyDescent="0.25">
      <c r="A3" s="1400" t="str">
        <f>'ETCA-I-03'!A3:D3</f>
        <v>Del 01 de Enero al 30 de Septiembre de 2021</v>
      </c>
      <c r="B3" s="1400"/>
      <c r="C3" s="1400"/>
      <c r="D3" s="1400"/>
      <c r="E3" s="1400"/>
      <c r="F3" s="1400"/>
      <c r="G3" s="1400"/>
    </row>
    <row r="4" spans="1:7" ht="17.25" thickBot="1" x14ac:dyDescent="0.3">
      <c r="A4" s="331"/>
      <c r="B4" s="1401" t="s">
        <v>814</v>
      </c>
      <c r="C4" s="1401"/>
      <c r="D4" s="1401"/>
      <c r="E4" s="150"/>
      <c r="F4" s="49"/>
      <c r="G4" s="487"/>
    </row>
    <row r="5" spans="1:7" ht="38.25" x14ac:dyDescent="0.25">
      <c r="A5" s="1329" t="s">
        <v>246</v>
      </c>
      <c r="B5" s="182" t="s">
        <v>502</v>
      </c>
      <c r="C5" s="182" t="s">
        <v>432</v>
      </c>
      <c r="D5" s="182" t="s">
        <v>503</v>
      </c>
      <c r="E5" s="183" t="s">
        <v>815</v>
      </c>
      <c r="F5" s="183" t="s">
        <v>816</v>
      </c>
      <c r="G5" s="182" t="s">
        <v>506</v>
      </c>
    </row>
    <row r="6" spans="1:7" ht="15.75" thickBot="1" x14ac:dyDescent="0.3">
      <c r="A6" s="1330"/>
      <c r="B6" s="270" t="s">
        <v>412</v>
      </c>
      <c r="C6" s="270" t="s">
        <v>413</v>
      </c>
      <c r="D6" s="270" t="s">
        <v>507</v>
      </c>
      <c r="E6" s="332" t="s">
        <v>415</v>
      </c>
      <c r="F6" s="332" t="s">
        <v>416</v>
      </c>
      <c r="G6" s="270" t="s">
        <v>508</v>
      </c>
    </row>
    <row r="7" spans="1:7" ht="16.5" x14ac:dyDescent="0.25">
      <c r="A7" s="341"/>
      <c r="B7" s="333"/>
      <c r="C7" s="333"/>
      <c r="D7" s="333"/>
      <c r="E7" s="333"/>
      <c r="F7" s="333"/>
      <c r="G7" s="333"/>
    </row>
    <row r="8" spans="1:7" s="336" customFormat="1" x14ac:dyDescent="0.25">
      <c r="A8" s="334" t="s">
        <v>817</v>
      </c>
      <c r="B8" s="335"/>
      <c r="C8" s="335"/>
      <c r="D8" s="335"/>
      <c r="E8" s="335"/>
      <c r="F8" s="335"/>
      <c r="G8" s="335"/>
    </row>
    <row r="9" spans="1:7" s="338" customFormat="1" x14ac:dyDescent="0.25">
      <c r="A9" s="337" t="s">
        <v>939</v>
      </c>
      <c r="B9" s="415">
        <f>B11+B12</f>
        <v>0</v>
      </c>
      <c r="C9" s="415">
        <f>C11+C12</f>
        <v>0</v>
      </c>
      <c r="D9" s="415">
        <f>SUM(B9+C9)</f>
        <v>0</v>
      </c>
      <c r="E9" s="415">
        <f>E11+E12</f>
        <v>0</v>
      </c>
      <c r="F9" s="415">
        <f>F11+F12</f>
        <v>0</v>
      </c>
      <c r="G9" s="415">
        <f>SUM(D9-E9)</f>
        <v>0</v>
      </c>
    </row>
    <row r="10" spans="1:7" s="339" customFormat="1" x14ac:dyDescent="0.25">
      <c r="A10" s="342"/>
      <c r="B10" s="416"/>
      <c r="C10" s="416"/>
      <c r="D10" s="416"/>
      <c r="E10" s="416"/>
      <c r="F10" s="416"/>
      <c r="G10" s="417"/>
    </row>
    <row r="11" spans="1:7" s="339" customFormat="1" x14ac:dyDescent="0.25">
      <c r="A11" s="342" t="s">
        <v>818</v>
      </c>
      <c r="B11" s="416"/>
      <c r="C11" s="416"/>
      <c r="D11" s="417">
        <f>B11+C11</f>
        <v>0</v>
      </c>
      <c r="E11" s="416"/>
      <c r="F11" s="416"/>
      <c r="G11" s="417">
        <f>D11-E11</f>
        <v>0</v>
      </c>
    </row>
    <row r="12" spans="1:7" s="339" customFormat="1" x14ac:dyDescent="0.25">
      <c r="A12" s="342" t="s">
        <v>819</v>
      </c>
      <c r="B12" s="416"/>
      <c r="C12" s="416"/>
      <c r="D12" s="417">
        <f>B12+C12</f>
        <v>0</v>
      </c>
      <c r="E12" s="416"/>
      <c r="F12" s="416"/>
      <c r="G12" s="417">
        <f>D12-E12</f>
        <v>0</v>
      </c>
    </row>
    <row r="13" spans="1:7" s="338" customFormat="1" x14ac:dyDescent="0.25">
      <c r="A13" s="337" t="s">
        <v>820</v>
      </c>
      <c r="B13" s="415">
        <f t="shared" ref="B13:G13" si="0">SUM(B14:B21)</f>
        <v>103543736</v>
      </c>
      <c r="C13" s="415">
        <f t="shared" si="0"/>
        <v>0</v>
      </c>
      <c r="D13" s="415">
        <f t="shared" si="0"/>
        <v>103543736</v>
      </c>
      <c r="E13" s="415">
        <f t="shared" si="0"/>
        <v>68913890</v>
      </c>
      <c r="F13" s="415">
        <f t="shared" si="0"/>
        <v>60512433</v>
      </c>
      <c r="G13" s="415">
        <f t="shared" si="0"/>
        <v>34629847</v>
      </c>
    </row>
    <row r="14" spans="1:7" s="339" customFormat="1" x14ac:dyDescent="0.25">
      <c r="A14" s="342" t="s">
        <v>821</v>
      </c>
      <c r="B14" s="416"/>
      <c r="C14" s="416"/>
      <c r="D14" s="417">
        <f t="shared" ref="D14:D21" si="1">B14+C14</f>
        <v>0</v>
      </c>
      <c r="E14" s="416"/>
      <c r="F14" s="416"/>
      <c r="G14" s="417">
        <f>D14-E14</f>
        <v>0</v>
      </c>
    </row>
    <row r="15" spans="1:7" s="339" customFormat="1" x14ac:dyDescent="0.25">
      <c r="A15" s="342" t="s">
        <v>822</v>
      </c>
      <c r="B15" s="416"/>
      <c r="C15" s="416"/>
      <c r="D15" s="417">
        <f t="shared" si="1"/>
        <v>0</v>
      </c>
      <c r="E15" s="416"/>
      <c r="F15" s="416"/>
      <c r="G15" s="417">
        <f t="shared" ref="G15:G38" si="2">D15-E15</f>
        <v>0</v>
      </c>
    </row>
    <row r="16" spans="1:7" s="339" customFormat="1" x14ac:dyDescent="0.25">
      <c r="A16" s="342" t="s">
        <v>823</v>
      </c>
      <c r="B16" s="416"/>
      <c r="C16" s="416"/>
      <c r="D16" s="417">
        <f t="shared" si="1"/>
        <v>0</v>
      </c>
      <c r="E16" s="416"/>
      <c r="F16" s="416"/>
      <c r="G16" s="417">
        <f t="shared" si="2"/>
        <v>0</v>
      </c>
    </row>
    <row r="17" spans="1:7" s="339" customFormat="1" x14ac:dyDescent="0.25">
      <c r="A17" s="342" t="s">
        <v>824</v>
      </c>
      <c r="B17" s="416"/>
      <c r="C17" s="416"/>
      <c r="D17" s="417">
        <f t="shared" si="1"/>
        <v>0</v>
      </c>
      <c r="E17" s="416"/>
      <c r="F17" s="416"/>
      <c r="G17" s="417">
        <f t="shared" si="2"/>
        <v>0</v>
      </c>
    </row>
    <row r="18" spans="1:7" s="339" customFormat="1" x14ac:dyDescent="0.25">
      <c r="A18" s="342" t="s">
        <v>825</v>
      </c>
      <c r="B18" s="416"/>
      <c r="C18" s="416"/>
      <c r="D18" s="417">
        <f t="shared" si="1"/>
        <v>0</v>
      </c>
      <c r="E18" s="416"/>
      <c r="F18" s="416"/>
      <c r="G18" s="417">
        <f t="shared" si="2"/>
        <v>0</v>
      </c>
    </row>
    <row r="19" spans="1:7" s="339" customFormat="1" ht="27" x14ac:dyDescent="0.25">
      <c r="A19" s="342" t="s">
        <v>826</v>
      </c>
      <c r="B19" s="416"/>
      <c r="C19" s="416"/>
      <c r="D19" s="417">
        <f t="shared" si="1"/>
        <v>0</v>
      </c>
      <c r="E19" s="416"/>
      <c r="F19" s="416"/>
      <c r="G19" s="417">
        <f t="shared" si="2"/>
        <v>0</v>
      </c>
    </row>
    <row r="20" spans="1:7" s="339" customFormat="1" x14ac:dyDescent="0.25">
      <c r="A20" s="342" t="s">
        <v>827</v>
      </c>
      <c r="B20" s="416">
        <f>+'ETCA-II-13'!C134</f>
        <v>103543736</v>
      </c>
      <c r="C20" s="416">
        <f>+'ETCA-II-13'!D134</f>
        <v>0</v>
      </c>
      <c r="D20" s="417">
        <f t="shared" si="1"/>
        <v>103543736</v>
      </c>
      <c r="E20" s="416">
        <f>+'ETCA-II-13'!F134</f>
        <v>68913890</v>
      </c>
      <c r="F20" s="416">
        <f>+'ETCA-II-13'!G134</f>
        <v>60512433</v>
      </c>
      <c r="G20" s="417">
        <f>D20-E20+1</f>
        <v>34629847</v>
      </c>
    </row>
    <row r="21" spans="1:7" s="339" customFormat="1" x14ac:dyDescent="0.25">
      <c r="A21" s="342" t="s">
        <v>828</v>
      </c>
      <c r="B21" s="416"/>
      <c r="C21" s="416"/>
      <c r="D21" s="417">
        <f t="shared" si="1"/>
        <v>0</v>
      </c>
      <c r="E21" s="416"/>
      <c r="F21" s="416"/>
      <c r="G21" s="417">
        <f t="shared" si="2"/>
        <v>0</v>
      </c>
    </row>
    <row r="22" spans="1:7" s="338" customFormat="1" x14ac:dyDescent="0.25">
      <c r="A22" s="337" t="s">
        <v>829</v>
      </c>
      <c r="B22" s="415">
        <f t="shared" ref="B22:G22" si="3">SUM(B23:B25)</f>
        <v>0</v>
      </c>
      <c r="C22" s="415">
        <f t="shared" si="3"/>
        <v>0</v>
      </c>
      <c r="D22" s="415">
        <f t="shared" si="3"/>
        <v>0</v>
      </c>
      <c r="E22" s="415">
        <f t="shared" si="3"/>
        <v>0</v>
      </c>
      <c r="F22" s="415">
        <f t="shared" si="3"/>
        <v>0</v>
      </c>
      <c r="G22" s="415">
        <f t="shared" si="3"/>
        <v>0</v>
      </c>
    </row>
    <row r="23" spans="1:7" s="339" customFormat="1" ht="27" x14ac:dyDescent="0.25">
      <c r="A23" s="342" t="s">
        <v>830</v>
      </c>
      <c r="B23" s="416"/>
      <c r="C23" s="416"/>
      <c r="D23" s="417">
        <f>B23+C23</f>
        <v>0</v>
      </c>
      <c r="E23" s="416"/>
      <c r="F23" s="416"/>
      <c r="G23" s="417">
        <f t="shared" si="2"/>
        <v>0</v>
      </c>
    </row>
    <row r="24" spans="1:7" s="339" customFormat="1" x14ac:dyDescent="0.25">
      <c r="A24" s="342" t="s">
        <v>831</v>
      </c>
      <c r="B24" s="416"/>
      <c r="C24" s="416"/>
      <c r="D24" s="417">
        <f>B24+C24</f>
        <v>0</v>
      </c>
      <c r="E24" s="416"/>
      <c r="F24" s="416"/>
      <c r="G24" s="417">
        <f t="shared" si="2"/>
        <v>0</v>
      </c>
    </row>
    <row r="25" spans="1:7" s="339" customFormat="1" x14ac:dyDescent="0.25">
      <c r="A25" s="342" t="s">
        <v>832</v>
      </c>
      <c r="B25" s="416"/>
      <c r="C25" s="416"/>
      <c r="D25" s="417">
        <f>B25+C25</f>
        <v>0</v>
      </c>
      <c r="E25" s="416"/>
      <c r="F25" s="416"/>
      <c r="G25" s="417">
        <f t="shared" si="2"/>
        <v>0</v>
      </c>
    </row>
    <row r="26" spans="1:7" s="338" customFormat="1" x14ac:dyDescent="0.25">
      <c r="A26" s="337" t="s">
        <v>833</v>
      </c>
      <c r="B26" s="415">
        <f>B27+B28</f>
        <v>0</v>
      </c>
      <c r="C26" s="415">
        <f>C27+C28</f>
        <v>0</v>
      </c>
      <c r="D26" s="415">
        <f>SUM(D27:D28)</f>
        <v>0</v>
      </c>
      <c r="E26" s="415">
        <f>E27+E28</f>
        <v>0</v>
      </c>
      <c r="F26" s="415">
        <f>F27+F28</f>
        <v>0</v>
      </c>
      <c r="G26" s="415">
        <f>SUM(G27:G28)</f>
        <v>0</v>
      </c>
    </row>
    <row r="27" spans="1:7" s="339" customFormat="1" x14ac:dyDescent="0.25">
      <c r="A27" s="342" t="s">
        <v>834</v>
      </c>
      <c r="B27" s="416"/>
      <c r="C27" s="416"/>
      <c r="D27" s="417">
        <f>B27+C27</f>
        <v>0</v>
      </c>
      <c r="E27" s="416"/>
      <c r="F27" s="416"/>
      <c r="G27" s="417">
        <f t="shared" si="2"/>
        <v>0</v>
      </c>
    </row>
    <row r="28" spans="1:7" s="339" customFormat="1" x14ac:dyDescent="0.25">
      <c r="A28" s="342" t="s">
        <v>835</v>
      </c>
      <c r="B28" s="416"/>
      <c r="C28" s="416"/>
      <c r="D28" s="417">
        <f>B28+C28</f>
        <v>0</v>
      </c>
      <c r="E28" s="416"/>
      <c r="F28" s="416"/>
      <c r="G28" s="417">
        <f t="shared" si="2"/>
        <v>0</v>
      </c>
    </row>
    <row r="29" spans="1:7" s="338" customFormat="1" x14ac:dyDescent="0.25">
      <c r="A29" s="337" t="s">
        <v>836</v>
      </c>
      <c r="B29" s="415">
        <f>B30+B31+B32+B33</f>
        <v>0</v>
      </c>
      <c r="C29" s="415">
        <f>C30+C31+C32+C33</f>
        <v>0</v>
      </c>
      <c r="D29" s="415">
        <f>SUM(D30:D33)</f>
        <v>0</v>
      </c>
      <c r="E29" s="415">
        <f>E30+E31+E32+E33</f>
        <v>0</v>
      </c>
      <c r="F29" s="415">
        <f>F30+F31+F32+F33</f>
        <v>0</v>
      </c>
      <c r="G29" s="415">
        <f>SUM(G30:G33)</f>
        <v>0</v>
      </c>
    </row>
    <row r="30" spans="1:7" s="339" customFormat="1" x14ac:dyDescent="0.25">
      <c r="A30" s="342" t="s">
        <v>219</v>
      </c>
      <c r="B30" s="416"/>
      <c r="C30" s="416"/>
      <c r="D30" s="417">
        <f>B30+C30</f>
        <v>0</v>
      </c>
      <c r="E30" s="416"/>
      <c r="F30" s="416"/>
      <c r="G30" s="417">
        <f t="shared" si="2"/>
        <v>0</v>
      </c>
    </row>
    <row r="31" spans="1:7" s="339" customFormat="1" x14ac:dyDescent="0.25">
      <c r="A31" s="342" t="s">
        <v>837</v>
      </c>
      <c r="B31" s="416"/>
      <c r="C31" s="416"/>
      <c r="D31" s="417">
        <f>B31+C31</f>
        <v>0</v>
      </c>
      <c r="E31" s="416"/>
      <c r="F31" s="416"/>
      <c r="G31" s="417">
        <f t="shared" si="2"/>
        <v>0</v>
      </c>
    </row>
    <row r="32" spans="1:7" s="339" customFormat="1" x14ac:dyDescent="0.25">
      <c r="A32" s="342" t="s">
        <v>838</v>
      </c>
      <c r="B32" s="416"/>
      <c r="C32" s="416"/>
      <c r="D32" s="417">
        <f>B32+C32</f>
        <v>0</v>
      </c>
      <c r="E32" s="416"/>
      <c r="F32" s="416"/>
      <c r="G32" s="417">
        <f t="shared" si="2"/>
        <v>0</v>
      </c>
    </row>
    <row r="33" spans="1:8" s="339" customFormat="1" x14ac:dyDescent="0.25">
      <c r="A33" s="342" t="s">
        <v>839</v>
      </c>
      <c r="B33" s="416"/>
      <c r="C33" s="416"/>
      <c r="D33" s="417">
        <f>B33+C33</f>
        <v>0</v>
      </c>
      <c r="E33" s="416"/>
      <c r="F33" s="416"/>
      <c r="G33" s="417">
        <f t="shared" si="2"/>
        <v>0</v>
      </c>
    </row>
    <row r="34" spans="1:8" s="338" customFormat="1" x14ac:dyDescent="0.25">
      <c r="A34" s="337" t="s">
        <v>840</v>
      </c>
      <c r="B34" s="415">
        <f t="shared" ref="B34:G34" si="4">B35</f>
        <v>0</v>
      </c>
      <c r="C34" s="415">
        <f t="shared" si="4"/>
        <v>0</v>
      </c>
      <c r="D34" s="415">
        <f t="shared" si="4"/>
        <v>0</v>
      </c>
      <c r="E34" s="415">
        <f t="shared" si="4"/>
        <v>0</v>
      </c>
      <c r="F34" s="415">
        <f t="shared" si="4"/>
        <v>0</v>
      </c>
      <c r="G34" s="415">
        <f t="shared" si="4"/>
        <v>0</v>
      </c>
    </row>
    <row r="35" spans="1:8" s="339" customFormat="1" x14ac:dyDescent="0.25">
      <c r="A35" s="342" t="s">
        <v>841</v>
      </c>
      <c r="B35" s="416"/>
      <c r="C35" s="416"/>
      <c r="D35" s="417">
        <f>B35+C35</f>
        <v>0</v>
      </c>
      <c r="E35" s="416"/>
      <c r="F35" s="416"/>
      <c r="G35" s="417">
        <f t="shared" si="2"/>
        <v>0</v>
      </c>
    </row>
    <row r="36" spans="1:8" s="338" customFormat="1" x14ac:dyDescent="0.25">
      <c r="A36" s="337" t="s">
        <v>842</v>
      </c>
      <c r="B36" s="418"/>
      <c r="C36" s="418"/>
      <c r="D36" s="415">
        <f>B36+C36</f>
        <v>0</v>
      </c>
      <c r="E36" s="418"/>
      <c r="F36" s="418"/>
      <c r="G36" s="415">
        <f t="shared" si="2"/>
        <v>0</v>
      </c>
    </row>
    <row r="37" spans="1:8" s="338" customFormat="1" ht="27" x14ac:dyDescent="0.25">
      <c r="A37" s="337" t="s">
        <v>843</v>
      </c>
      <c r="B37" s="418"/>
      <c r="C37" s="418"/>
      <c r="D37" s="415">
        <f>B37+C37</f>
        <v>0</v>
      </c>
      <c r="E37" s="418"/>
      <c r="F37" s="418"/>
      <c r="G37" s="415">
        <f t="shared" si="2"/>
        <v>0</v>
      </c>
    </row>
    <row r="38" spans="1:8" s="338" customFormat="1" ht="15.75" thickBot="1" x14ac:dyDescent="0.3">
      <c r="A38" s="337" t="s">
        <v>844</v>
      </c>
      <c r="B38" s="418"/>
      <c r="C38" s="418"/>
      <c r="D38" s="415">
        <f>B38+C38</f>
        <v>0</v>
      </c>
      <c r="E38" s="418"/>
      <c r="F38" s="418"/>
      <c r="G38" s="415">
        <f t="shared" si="2"/>
        <v>0</v>
      </c>
    </row>
    <row r="39" spans="1:8" ht="32.25" customHeight="1" thickBot="1" x14ac:dyDescent="0.3">
      <c r="A39" s="343" t="s">
        <v>558</v>
      </c>
      <c r="B39" s="419">
        <f t="shared" ref="B39:G39" si="5">SUM(B$9,B$13,B$22,B$26,B$29,B$34,B$36,B$37,B$38)</f>
        <v>103543736</v>
      </c>
      <c r="C39" s="419">
        <f t="shared" si="5"/>
        <v>0</v>
      </c>
      <c r="D39" s="419">
        <f t="shared" si="5"/>
        <v>103543736</v>
      </c>
      <c r="E39" s="419">
        <f t="shared" si="5"/>
        <v>68913890</v>
      </c>
      <c r="F39" s="419">
        <f t="shared" si="5"/>
        <v>60512433</v>
      </c>
      <c r="G39" s="419">
        <f t="shared" si="5"/>
        <v>34629847</v>
      </c>
      <c r="H39" s="485" t="str">
        <f>IF((B39-'ETCA II-04'!B80)&gt;0.9,"ERROR!!!!! EL MONTO NO COINCIDE CON LO REPORTADO EN EL FORMATO ETCA-II-04 EN EL TOTAL APROBADO ANUAL DEL ANALÍTICO DE EGRESOS","")</f>
        <v/>
      </c>
    </row>
    <row r="40" spans="1:8" ht="18" customHeight="1" x14ac:dyDescent="0.25">
      <c r="A40" s="483"/>
      <c r="B40" s="486"/>
      <c r="C40" s="486"/>
      <c r="D40" s="486"/>
      <c r="E40" s="486"/>
      <c r="F40" s="486"/>
      <c r="G40" s="486"/>
      <c r="H40" s="485" t="str">
        <f>IF((C39-'ETCA II-04'!C80)&gt;0.9,"ERROR!!!!! EL MONTO NO COINCIDE CON LO REPORTADO EN EL FORMATO ETCA-II-04 EN EL TOTAL DE AMPLIACIONES/REDUCCIONES PRESENTADO EN EL ANALÍTICO DE EGRESOS","")</f>
        <v/>
      </c>
    </row>
    <row r="41" spans="1:8" ht="18" customHeight="1" x14ac:dyDescent="0.25">
      <c r="A41" s="483"/>
      <c r="B41" s="486"/>
      <c r="C41" s="486"/>
      <c r="D41" s="486"/>
      <c r="E41" s="486"/>
      <c r="F41" s="486"/>
      <c r="G41" s="486"/>
      <c r="H41" s="485" t="str">
        <f>IF((D39-'ETCA II-04'!D80)&gt;0.9,"ERROR!!!!! EL MONTO NO COINCIDE CON LO REPORTADO EN EL FORMATO ETCA-II-04 EN EL TOTAL MODIFICADO ANUAL PRESENTADO EN EL ANALÍTICO DE EGRESOS","")</f>
        <v/>
      </c>
    </row>
    <row r="42" spans="1:8" ht="18" customHeight="1" x14ac:dyDescent="0.25">
      <c r="A42" s="483"/>
      <c r="B42" s="486"/>
      <c r="C42" s="486"/>
      <c r="D42" s="486"/>
      <c r="E42" s="486"/>
      <c r="F42" s="486"/>
      <c r="G42" s="486"/>
      <c r="H42" s="485" t="str">
        <f>IF((E39-'ETCA II-04'!E80)&gt;0.9,"ERROR!!!!! EL MONTO NO COINCIDE CON LO REPORTADO EN EL FORMATO ETCA-II-04 EN EL TOTAL DEVENGADO ANUAL PRESENTADO EN EL ANALÍTICO DE EGRESOS","")</f>
        <v/>
      </c>
    </row>
    <row r="43" spans="1:8" ht="18" customHeight="1" x14ac:dyDescent="0.25">
      <c r="A43" s="483"/>
      <c r="B43" s="486"/>
      <c r="C43" s="486"/>
      <c r="D43" s="486"/>
      <c r="E43" s="486"/>
      <c r="F43" s="486"/>
      <c r="G43" s="486"/>
      <c r="H43" s="485" t="str">
        <f>IF((F39-'ETCA II-04'!F80)&gt;0.9,"ERROR!!!!! EL MONTO NO COINCIDE CON LO REPORTADO EN EL FORMATO ETCA-II-04 EN EL TOTAL PAGADO ANUAL PRESENTADO EN EL ANALÍTICO DE EGRESOS","")</f>
        <v/>
      </c>
    </row>
    <row r="44" spans="1:8" ht="18" customHeight="1" x14ac:dyDescent="0.25">
      <c r="H44" s="485" t="str">
        <f>IF((G39-'ETCA II-04'!G80)&gt;0.9,"ERROR!!!!! EL MONTO NO COINCIDE CON LO REPORTADO EN EL FORMATO ETCA-II-04 EN EL TOTAL SUBEJERCICIO PRESENTADO EN EL ANALÍTICO DE EGRESOS","")</f>
        <v/>
      </c>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view="pageBreakPreview" zoomScale="90" zoomScaleNormal="100" zoomScaleSheetLayoutView="90" workbookViewId="0">
      <selection activeCell="C40" sqref="C40"/>
    </sheetView>
  </sheetViews>
  <sheetFormatPr baseColWidth="10" defaultColWidth="11.28515625" defaultRowHeight="16.5" x14ac:dyDescent="0.3"/>
  <cols>
    <col min="1" max="1" width="1.85546875" style="345"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6" ht="16.5" customHeight="1" x14ac:dyDescent="0.3">
      <c r="A1" s="1402" t="str">
        <f>'ETCA-I-01'!A1:G1</f>
        <v>TELEVISORA DE HERMOSILLO, S.A. DE C.V.</v>
      </c>
      <c r="B1" s="1402"/>
      <c r="C1" s="1402"/>
      <c r="D1" s="1402"/>
      <c r="E1" s="1402"/>
    </row>
    <row r="2" spans="1:6" x14ac:dyDescent="0.3">
      <c r="A2" s="1403" t="s">
        <v>845</v>
      </c>
      <c r="B2" s="1403"/>
      <c r="C2" s="1403"/>
      <c r="D2" s="1403"/>
      <c r="E2" s="1403"/>
    </row>
    <row r="3" spans="1:6" x14ac:dyDescent="0.3">
      <c r="A3" s="1403" t="str">
        <f>'ETCA-I-03'!A3:D3</f>
        <v>Del 01 de Enero al 30 de Septiembre de 2021</v>
      </c>
      <c r="B3" s="1403"/>
      <c r="C3" s="1403"/>
      <c r="D3" s="1403"/>
      <c r="E3" s="1403"/>
    </row>
    <row r="4" spans="1:6" x14ac:dyDescent="0.3">
      <c r="A4" s="750"/>
      <c r="B4" s="750"/>
      <c r="C4" s="750" t="s">
        <v>1042</v>
      </c>
      <c r="D4" s="4"/>
      <c r="E4" s="344"/>
    </row>
    <row r="5" spans="1:6" ht="6.75" customHeight="1" thickBot="1" x14ac:dyDescent="0.35"/>
    <row r="6" spans="1:6" s="346" customFormat="1" ht="17.25" customHeight="1" x14ac:dyDescent="0.25">
      <c r="A6" s="1404"/>
      <c r="B6" s="1405"/>
      <c r="C6" s="751"/>
      <c r="D6" s="751"/>
      <c r="E6" s="359"/>
    </row>
    <row r="7" spans="1:6" s="346" customFormat="1" ht="20.25" customHeight="1" x14ac:dyDescent="0.25">
      <c r="A7" s="348"/>
      <c r="B7" s="358" t="s">
        <v>846</v>
      </c>
      <c r="C7" s="347"/>
      <c r="D7" s="347"/>
      <c r="E7" s="349"/>
      <c r="F7" s="350"/>
    </row>
    <row r="8" spans="1:6" s="346" customFormat="1" ht="20.25" customHeight="1" x14ac:dyDescent="0.25">
      <c r="A8" s="351"/>
      <c r="C8" s="347"/>
      <c r="D8" s="347"/>
      <c r="E8" s="349"/>
      <c r="F8" s="350"/>
    </row>
    <row r="9" spans="1:6" s="346" customFormat="1" ht="27.75" customHeight="1" x14ac:dyDescent="0.25">
      <c r="A9" s="566"/>
      <c r="B9" s="573" t="s">
        <v>847</v>
      </c>
      <c r="C9" s="570"/>
      <c r="D9" s="565" t="s">
        <v>848</v>
      </c>
      <c r="E9" s="567" t="s">
        <v>849</v>
      </c>
      <c r="F9" s="350"/>
    </row>
    <row r="10" spans="1:6" s="346" customFormat="1" ht="20.25" customHeight="1" x14ac:dyDescent="0.25">
      <c r="A10" s="348"/>
      <c r="C10" s="571"/>
      <c r="D10" s="568"/>
      <c r="E10" s="349"/>
      <c r="F10" s="350"/>
    </row>
    <row r="11" spans="1:6" s="346" customFormat="1" ht="20.25" customHeight="1" x14ac:dyDescent="0.25">
      <c r="A11" s="351"/>
      <c r="C11" s="571"/>
      <c r="D11" s="568"/>
      <c r="E11" s="349"/>
      <c r="F11" s="350"/>
    </row>
    <row r="12" spans="1:6" x14ac:dyDescent="0.3">
      <c r="A12" s="352"/>
      <c r="C12" s="572"/>
      <c r="D12" s="569"/>
      <c r="E12" s="353"/>
      <c r="F12" s="18"/>
    </row>
    <row r="13" spans="1:6" x14ac:dyDescent="0.3">
      <c r="A13" s="352"/>
      <c r="B13" s="18"/>
      <c r="C13" s="572"/>
      <c r="D13" s="569"/>
      <c r="E13" s="353"/>
      <c r="F13" s="18"/>
    </row>
    <row r="14" spans="1:6" x14ac:dyDescent="0.3">
      <c r="A14" s="352"/>
      <c r="B14" s="18"/>
      <c r="C14" s="572"/>
      <c r="D14" s="569"/>
      <c r="E14" s="353"/>
      <c r="F14" s="18"/>
    </row>
    <row r="15" spans="1:6" x14ac:dyDescent="0.3">
      <c r="A15" s="352"/>
      <c r="B15" s="18"/>
      <c r="C15" s="572"/>
      <c r="D15" s="569"/>
      <c r="E15" s="353"/>
      <c r="F15" s="18"/>
    </row>
    <row r="16" spans="1:6" x14ac:dyDescent="0.3">
      <c r="A16" s="352"/>
      <c r="B16" s="18"/>
      <c r="C16" s="572"/>
      <c r="D16" s="569"/>
      <c r="E16" s="353"/>
      <c r="F16" s="18"/>
    </row>
    <row r="17" spans="1:6" x14ac:dyDescent="0.3">
      <c r="A17" s="352"/>
      <c r="B17" s="18"/>
      <c r="C17" s="572"/>
      <c r="D17" s="569"/>
      <c r="E17" s="353"/>
      <c r="F17" s="18"/>
    </row>
    <row r="18" spans="1:6" x14ac:dyDescent="0.3">
      <c r="A18" s="352"/>
      <c r="B18" s="18"/>
      <c r="C18" s="572"/>
      <c r="D18" s="569"/>
      <c r="E18" s="353"/>
      <c r="F18" s="18"/>
    </row>
    <row r="19" spans="1:6" x14ac:dyDescent="0.3">
      <c r="A19" s="352"/>
      <c r="B19" s="18"/>
      <c r="C19" s="572"/>
      <c r="D19" s="569"/>
      <c r="E19" s="353"/>
      <c r="F19" s="18"/>
    </row>
    <row r="20" spans="1:6" x14ac:dyDescent="0.3">
      <c r="A20" s="352"/>
      <c r="B20" s="18"/>
      <c r="C20" s="572"/>
      <c r="D20" s="569"/>
      <c r="E20" s="353"/>
      <c r="F20" s="18"/>
    </row>
    <row r="21" spans="1:6" x14ac:dyDescent="0.3">
      <c r="A21" s="352"/>
      <c r="B21" s="18"/>
      <c r="C21" s="572"/>
      <c r="D21" s="569"/>
      <c r="E21" s="353"/>
      <c r="F21" s="18"/>
    </row>
    <row r="22" spans="1:6" x14ac:dyDescent="0.3">
      <c r="A22" s="352"/>
      <c r="B22" s="18"/>
      <c r="C22" s="572"/>
      <c r="D22" s="569"/>
      <c r="E22" s="353"/>
      <c r="F22" s="18"/>
    </row>
    <row r="23" spans="1:6" x14ac:dyDescent="0.3">
      <c r="A23" s="352"/>
      <c r="B23" s="18"/>
      <c r="C23" s="572"/>
      <c r="D23" s="569"/>
      <c r="E23" s="353"/>
      <c r="F23" s="18"/>
    </row>
    <row r="24" spans="1:6" x14ac:dyDescent="0.3">
      <c r="A24" s="352"/>
      <c r="B24" s="18"/>
      <c r="C24" s="572"/>
      <c r="D24" s="569"/>
      <c r="E24" s="353"/>
      <c r="F24" s="18"/>
    </row>
    <row r="25" spans="1:6" x14ac:dyDescent="0.3">
      <c r="A25" s="352"/>
      <c r="B25" s="18"/>
      <c r="C25" s="572"/>
      <c r="D25" s="569"/>
      <c r="E25" s="353"/>
      <c r="F25" s="18"/>
    </row>
    <row r="26" spans="1:6" x14ac:dyDescent="0.3">
      <c r="A26" s="352"/>
      <c r="B26" s="18"/>
      <c r="C26" s="572"/>
      <c r="D26" s="569"/>
      <c r="E26" s="353"/>
      <c r="F26" s="18"/>
    </row>
    <row r="27" spans="1:6" x14ac:dyDescent="0.3">
      <c r="A27" s="352"/>
      <c r="B27" s="18"/>
      <c r="C27" s="572"/>
      <c r="D27" s="569"/>
      <c r="E27" s="353"/>
      <c r="F27" s="18"/>
    </row>
    <row r="28" spans="1:6" x14ac:dyDescent="0.3">
      <c r="A28" s="352"/>
      <c r="B28" s="18"/>
      <c r="C28" s="572"/>
      <c r="D28" s="569"/>
      <c r="E28" s="353"/>
      <c r="F28" s="18"/>
    </row>
    <row r="29" spans="1:6" x14ac:dyDescent="0.3">
      <c r="A29" s="352"/>
      <c r="B29" s="18"/>
      <c r="C29" s="572"/>
      <c r="D29" s="569"/>
      <c r="E29" s="353"/>
      <c r="F29" s="18"/>
    </row>
    <row r="30" spans="1:6" x14ac:dyDescent="0.3">
      <c r="A30" s="352"/>
      <c r="B30" s="18"/>
      <c r="C30" s="572"/>
      <c r="D30" s="569"/>
      <c r="E30" s="353"/>
      <c r="F30" s="18"/>
    </row>
    <row r="31" spans="1:6" x14ac:dyDescent="0.3">
      <c r="A31" s="352"/>
      <c r="B31" s="18"/>
      <c r="C31" s="572"/>
      <c r="D31" s="569"/>
      <c r="E31" s="353"/>
      <c r="F31" s="18"/>
    </row>
    <row r="32" spans="1:6" x14ac:dyDescent="0.3">
      <c r="A32" s="352"/>
      <c r="B32" s="18"/>
      <c r="C32" s="572"/>
      <c r="D32" s="569"/>
      <c r="E32" s="353"/>
      <c r="F32" s="18"/>
    </row>
    <row r="33" spans="1:6" x14ac:dyDescent="0.3">
      <c r="A33" s="352"/>
      <c r="B33" s="18"/>
      <c r="C33" s="572"/>
      <c r="D33" s="569"/>
      <c r="E33" s="353"/>
      <c r="F33" s="18"/>
    </row>
    <row r="34" spans="1:6" ht="17.25" thickBot="1" x14ac:dyDescent="0.35">
      <c r="A34" s="354"/>
      <c r="B34" s="355"/>
      <c r="C34" s="572"/>
      <c r="D34" s="569"/>
      <c r="E34" s="353"/>
      <c r="F34" s="18"/>
    </row>
    <row r="35" spans="1:6" ht="25.5" x14ac:dyDescent="0.35">
      <c r="A35" s="356" t="s">
        <v>850</v>
      </c>
      <c r="B35" s="44" t="s">
        <v>851</v>
      </c>
      <c r="C35" s="574"/>
      <c r="D35" s="574"/>
      <c r="E35" s="574"/>
      <c r="F35" s="18"/>
    </row>
    <row r="36" spans="1:6" x14ac:dyDescent="0.3">
      <c r="B36" s="44" t="s">
        <v>852</v>
      </c>
      <c r="C36" s="18"/>
      <c r="D36" s="18"/>
      <c r="E36" s="18"/>
      <c r="F36" s="18"/>
    </row>
    <row r="37" spans="1:6" x14ac:dyDescent="0.3">
      <c r="A37" s="414" t="s">
        <v>81</v>
      </c>
      <c r="C37" s="357"/>
      <c r="D37" s="357"/>
      <c r="E37" s="18"/>
      <c r="F37" s="18"/>
    </row>
    <row r="38" spans="1:6" ht="10.5" customHeight="1" x14ac:dyDescent="0.3">
      <c r="A38" s="575"/>
      <c r="B38" s="357"/>
      <c r="C38" s="357"/>
      <c r="D38" s="357"/>
      <c r="E38" s="18"/>
    </row>
    <row r="39" spans="1:6" x14ac:dyDescent="0.3">
      <c r="A39" s="575"/>
      <c r="B39" s="18"/>
      <c r="C39" s="18"/>
      <c r="D39" s="18"/>
      <c r="E39" s="18"/>
    </row>
    <row r="41" spans="1:6" x14ac:dyDescent="0.3">
      <c r="A41" s="414"/>
    </row>
    <row r="42" spans="1:6" x14ac:dyDescent="0.3">
      <c r="A42" s="414"/>
    </row>
  </sheetData>
  <mergeCells count="4">
    <mergeCell ref="A1:E1"/>
    <mergeCell ref="A2:E2"/>
    <mergeCell ref="A3:E3"/>
    <mergeCell ref="A6:B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85"/>
  <sheetViews>
    <sheetView showRowColHeaders="0" zoomScaleNormal="100" zoomScalePageLayoutView="50" workbookViewId="0">
      <selection activeCell="V31" sqref="V31"/>
    </sheetView>
  </sheetViews>
  <sheetFormatPr baseColWidth="10" defaultColWidth="11" defaultRowHeight="15.75" x14ac:dyDescent="0.25"/>
  <cols>
    <col min="1" max="1" width="16.28515625" style="871" customWidth="1"/>
    <col min="2" max="2" width="45.5703125" style="869" customWidth="1"/>
    <col min="3" max="3" width="14.42578125" style="870" customWidth="1"/>
    <col min="4" max="4" width="6.7109375" style="870" customWidth="1"/>
    <col min="5" max="5" width="6" style="870" customWidth="1"/>
    <col min="6" max="6" width="8.28515625" style="870" customWidth="1"/>
    <col min="7" max="20" width="10.7109375" style="869" customWidth="1"/>
    <col min="21" max="21" width="11.42578125" style="869" customWidth="1"/>
    <col min="22" max="16384" width="11" style="869"/>
  </cols>
  <sheetData>
    <row r="1" spans="1:15" x14ac:dyDescent="0.25">
      <c r="A1" s="1085"/>
    </row>
    <row r="5" spans="1:15" x14ac:dyDescent="0.25">
      <c r="N5" s="1086"/>
      <c r="O5" s="1086"/>
    </row>
    <row r="6" spans="1:15" x14ac:dyDescent="0.25">
      <c r="O6" s="1086"/>
    </row>
    <row r="12" spans="1:15" x14ac:dyDescent="0.25">
      <c r="N12" s="1086"/>
      <c r="O12" s="1086"/>
    </row>
    <row r="13" spans="1:15" x14ac:dyDescent="0.25">
      <c r="O13" s="1086"/>
    </row>
    <row r="21" spans="14:15" x14ac:dyDescent="0.25">
      <c r="N21" s="1086"/>
      <c r="O21" s="1086"/>
    </row>
    <row r="22" spans="14:15" x14ac:dyDescent="0.25">
      <c r="O22" s="1086"/>
    </row>
    <row r="57" spans="14:15" x14ac:dyDescent="0.25">
      <c r="N57" s="1086"/>
      <c r="O57" s="1086"/>
    </row>
    <row r="58" spans="14:15" x14ac:dyDescent="0.25">
      <c r="O58" s="1086"/>
    </row>
    <row r="66" spans="14:15" x14ac:dyDescent="0.25">
      <c r="N66" s="1086"/>
      <c r="O66" s="1086"/>
    </row>
    <row r="67" spans="14:15" x14ac:dyDescent="0.25">
      <c r="O67" s="1086"/>
    </row>
    <row r="75" spans="14:15" x14ac:dyDescent="0.25">
      <c r="N75" s="1086"/>
      <c r="O75" s="1086"/>
    </row>
    <row r="76" spans="14:15" x14ac:dyDescent="0.25">
      <c r="O76" s="1086"/>
    </row>
    <row r="84" spans="14:15" x14ac:dyDescent="0.25">
      <c r="N84" s="1086"/>
      <c r="O84" s="1086"/>
    </row>
    <row r="85" spans="14:15" x14ac:dyDescent="0.25">
      <c r="O85" s="1086"/>
    </row>
  </sheetData>
  <protectedRanges>
    <protectedRange sqref="B1:F126 A36:A126 A1:A34" name="Rango2"/>
    <protectedRange sqref="T1:T1048576 O1:P1048576" name="Rango1"/>
  </protectedRanges>
  <pageMargins left="0.35433070866141736" right="0.35433070866141736" top="1.1811023622047245" bottom="0.39370078740157483" header="0.31496062992125984" footer="0.31496062992125984"/>
  <pageSetup scale="50" fitToHeight="10" orientation="landscape" r:id="rId1"/>
  <headerFooter>
    <oddHeader>&amp;C&amp;"-,Negrita"&amp;20
GOBIERNO DEL ESTADO DE SONORA
INFORME DE AVANCE PROGRAMÁTICO 2020&amp;R&amp;"-,Negrita"&amp;14
&amp;16ETCA III-04
TRIMESTRE:__________________</oddHeader>
  </headerFooter>
  <drawing r:id="rId2"/>
  <legacyDrawing r:id="rId3"/>
  <oleObjects>
    <mc:AlternateContent xmlns:mc="http://schemas.openxmlformats.org/markup-compatibility/2006">
      <mc:Choice Requires="x14">
        <oleObject progId="AcroExch.Document.DC" shapeId="98305" r:id="rId4">
          <objectPr defaultSize="0" autoPict="0" r:id="rId5">
            <anchor moveWithCells="1">
              <from>
                <xdr:col>0</xdr:col>
                <xdr:colOff>9525</xdr:colOff>
                <xdr:row>0</xdr:row>
                <xdr:rowOff>9525</xdr:rowOff>
              </from>
              <to>
                <xdr:col>21</xdr:col>
                <xdr:colOff>619125</xdr:colOff>
                <xdr:row>69</xdr:row>
                <xdr:rowOff>9525</xdr:rowOff>
              </to>
            </anchor>
          </objectPr>
        </oleObject>
      </mc:Choice>
      <mc:Fallback>
        <oleObject progId="AcroExch.Document.DC" shapeId="98305" r:id="rId4"/>
      </mc:Fallback>
    </mc:AlternateContent>
    <mc:AlternateContent xmlns:mc="http://schemas.openxmlformats.org/markup-compatibility/2006">
      <mc:Choice Requires="x14">
        <oleObject progId="AcroExch.Document.DC" shapeId="98306" r:id="rId6">
          <objectPr defaultSize="0" autoPict="0" r:id="rId7">
            <anchor moveWithCells="1">
              <from>
                <xdr:col>0</xdr:col>
                <xdr:colOff>0</xdr:colOff>
                <xdr:row>71</xdr:row>
                <xdr:rowOff>123825</xdr:rowOff>
              </from>
              <to>
                <xdr:col>21</xdr:col>
                <xdr:colOff>552450</xdr:colOff>
                <xdr:row>140</xdr:row>
                <xdr:rowOff>76200</xdr:rowOff>
              </to>
            </anchor>
          </objectPr>
        </oleObject>
      </mc:Choice>
      <mc:Fallback>
        <oleObject progId="AcroExch.Document.DC" shapeId="98306" r:id="rId6"/>
      </mc:Fallback>
    </mc:AlternateContent>
  </oleObjec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132"/>
  <sheetViews>
    <sheetView view="pageLayout" zoomScale="75" zoomScaleNormal="70" zoomScalePageLayoutView="75" workbookViewId="0">
      <selection activeCell="A39" sqref="A39:O132"/>
    </sheetView>
  </sheetViews>
  <sheetFormatPr baseColWidth="10" defaultRowHeight="15.75" x14ac:dyDescent="0.25"/>
  <cols>
    <col min="1" max="1" width="17.7109375" style="1005" customWidth="1"/>
    <col min="2" max="2" width="42" style="1029" customWidth="1"/>
    <col min="3" max="3" width="39.85546875" style="1029" customWidth="1"/>
    <col min="4" max="4" width="36.7109375" style="1029" customWidth="1"/>
    <col min="5" max="5" width="15.28515625" style="1029" customWidth="1"/>
    <col min="6" max="6" width="14.42578125" style="1029" customWidth="1"/>
    <col min="7" max="7" width="15.42578125" style="1029" customWidth="1"/>
    <col min="8" max="8" width="14" style="1029" customWidth="1"/>
    <col min="9" max="9" width="24.85546875" style="1029" hidden="1" customWidth="1"/>
    <col min="10" max="10" width="21.140625" style="1029" customWidth="1"/>
    <col min="11" max="11" width="16.140625" style="1029" customWidth="1"/>
    <col min="12" max="12" width="18.5703125" style="1031" customWidth="1"/>
    <col min="13" max="14" width="11.42578125" style="1029"/>
    <col min="15" max="15" width="11.28515625" style="1029" customWidth="1"/>
    <col min="16" max="18" width="11.42578125" style="1029"/>
    <col min="19" max="19" width="13" style="1029" bestFit="1" customWidth="1"/>
    <col min="20" max="237" width="11.42578125" style="1029"/>
    <col min="238" max="238" width="20.7109375" style="1029" customWidth="1"/>
    <col min="239" max="239" width="35" style="1029" customWidth="1"/>
    <col min="240" max="240" width="34.5703125" style="1029" customWidth="1"/>
    <col min="241" max="241" width="37.140625" style="1029" customWidth="1"/>
    <col min="242" max="242" width="21.28515625" style="1029" customWidth="1"/>
    <col min="243" max="243" width="19.7109375" style="1029" customWidth="1"/>
    <col min="244" max="244" width="15.7109375" style="1029" customWidth="1"/>
    <col min="245" max="245" width="16.140625" style="1029" customWidth="1"/>
    <col min="246" max="246" width="32" style="1029" customWidth="1"/>
    <col min="247" max="247" width="27.42578125" style="1029" customWidth="1"/>
    <col min="248" max="248" width="26.85546875" style="1029" customWidth="1"/>
    <col min="249" max="493" width="11.42578125" style="1029"/>
    <col min="494" max="494" width="20.7109375" style="1029" customWidth="1"/>
    <col min="495" max="495" width="35" style="1029" customWidth="1"/>
    <col min="496" max="496" width="34.5703125" style="1029" customWidth="1"/>
    <col min="497" max="497" width="37.140625" style="1029" customWidth="1"/>
    <col min="498" max="498" width="21.28515625" style="1029" customWidth="1"/>
    <col min="499" max="499" width="19.7109375" style="1029" customWidth="1"/>
    <col min="500" max="500" width="15.7109375" style="1029" customWidth="1"/>
    <col min="501" max="501" width="16.140625" style="1029" customWidth="1"/>
    <col min="502" max="502" width="32" style="1029" customWidth="1"/>
    <col min="503" max="503" width="27.42578125" style="1029" customWidth="1"/>
    <col min="504" max="504" width="26.85546875" style="1029" customWidth="1"/>
    <col min="505" max="749" width="11.42578125" style="1029"/>
    <col min="750" max="750" width="20.7109375" style="1029" customWidth="1"/>
    <col min="751" max="751" width="35" style="1029" customWidth="1"/>
    <col min="752" max="752" width="34.5703125" style="1029" customWidth="1"/>
    <col min="753" max="753" width="37.140625" style="1029" customWidth="1"/>
    <col min="754" max="754" width="21.28515625" style="1029" customWidth="1"/>
    <col min="755" max="755" width="19.7109375" style="1029" customWidth="1"/>
    <col min="756" max="756" width="15.7109375" style="1029" customWidth="1"/>
    <col min="757" max="757" width="16.140625" style="1029" customWidth="1"/>
    <col min="758" max="758" width="32" style="1029" customWidth="1"/>
    <col min="759" max="759" width="27.42578125" style="1029" customWidth="1"/>
    <col min="760" max="760" width="26.85546875" style="1029" customWidth="1"/>
    <col min="761" max="1005" width="11.42578125" style="1029"/>
    <col min="1006" max="1006" width="20.7109375" style="1029" customWidth="1"/>
    <col min="1007" max="1007" width="35" style="1029" customWidth="1"/>
    <col min="1008" max="1008" width="34.5703125" style="1029" customWidth="1"/>
    <col min="1009" max="1009" width="37.140625" style="1029" customWidth="1"/>
    <col min="1010" max="1010" width="21.28515625" style="1029" customWidth="1"/>
    <col min="1011" max="1011" width="19.7109375" style="1029" customWidth="1"/>
    <col min="1012" max="1012" width="15.7109375" style="1029" customWidth="1"/>
    <col min="1013" max="1013" width="16.140625" style="1029" customWidth="1"/>
    <col min="1014" max="1014" width="32" style="1029" customWidth="1"/>
    <col min="1015" max="1015" width="27.42578125" style="1029" customWidth="1"/>
    <col min="1016" max="1016" width="26.85546875" style="1029" customWidth="1"/>
    <col min="1017" max="1261" width="11.42578125" style="1029"/>
    <col min="1262" max="1262" width="20.7109375" style="1029" customWidth="1"/>
    <col min="1263" max="1263" width="35" style="1029" customWidth="1"/>
    <col min="1264" max="1264" width="34.5703125" style="1029" customWidth="1"/>
    <col min="1265" max="1265" width="37.140625" style="1029" customWidth="1"/>
    <col min="1266" max="1266" width="21.28515625" style="1029" customWidth="1"/>
    <col min="1267" max="1267" width="19.7109375" style="1029" customWidth="1"/>
    <col min="1268" max="1268" width="15.7109375" style="1029" customWidth="1"/>
    <col min="1269" max="1269" width="16.140625" style="1029" customWidth="1"/>
    <col min="1270" max="1270" width="32" style="1029" customWidth="1"/>
    <col min="1271" max="1271" width="27.42578125" style="1029" customWidth="1"/>
    <col min="1272" max="1272" width="26.85546875" style="1029" customWidth="1"/>
    <col min="1273" max="1517" width="11.42578125" style="1029"/>
    <col min="1518" max="1518" width="20.7109375" style="1029" customWidth="1"/>
    <col min="1519" max="1519" width="35" style="1029" customWidth="1"/>
    <col min="1520" max="1520" width="34.5703125" style="1029" customWidth="1"/>
    <col min="1521" max="1521" width="37.140625" style="1029" customWidth="1"/>
    <col min="1522" max="1522" width="21.28515625" style="1029" customWidth="1"/>
    <col min="1523" max="1523" width="19.7109375" style="1029" customWidth="1"/>
    <col min="1524" max="1524" width="15.7109375" style="1029" customWidth="1"/>
    <col min="1525" max="1525" width="16.140625" style="1029" customWidth="1"/>
    <col min="1526" max="1526" width="32" style="1029" customWidth="1"/>
    <col min="1527" max="1527" width="27.42578125" style="1029" customWidth="1"/>
    <col min="1528" max="1528" width="26.85546875" style="1029" customWidth="1"/>
    <col min="1529" max="1773" width="11.42578125" style="1029"/>
    <col min="1774" max="1774" width="20.7109375" style="1029" customWidth="1"/>
    <col min="1775" max="1775" width="35" style="1029" customWidth="1"/>
    <col min="1776" max="1776" width="34.5703125" style="1029" customWidth="1"/>
    <col min="1777" max="1777" width="37.140625" style="1029" customWidth="1"/>
    <col min="1778" max="1778" width="21.28515625" style="1029" customWidth="1"/>
    <col min="1779" max="1779" width="19.7109375" style="1029" customWidth="1"/>
    <col min="1780" max="1780" width="15.7109375" style="1029" customWidth="1"/>
    <col min="1781" max="1781" width="16.140625" style="1029" customWidth="1"/>
    <col min="1782" max="1782" width="32" style="1029" customWidth="1"/>
    <col min="1783" max="1783" width="27.42578125" style="1029" customWidth="1"/>
    <col min="1784" max="1784" width="26.85546875" style="1029" customWidth="1"/>
    <col min="1785" max="2029" width="11.42578125" style="1029"/>
    <col min="2030" max="2030" width="20.7109375" style="1029" customWidth="1"/>
    <col min="2031" max="2031" width="35" style="1029" customWidth="1"/>
    <col min="2032" max="2032" width="34.5703125" style="1029" customWidth="1"/>
    <col min="2033" max="2033" width="37.140625" style="1029" customWidth="1"/>
    <col min="2034" max="2034" width="21.28515625" style="1029" customWidth="1"/>
    <col min="2035" max="2035" width="19.7109375" style="1029" customWidth="1"/>
    <col min="2036" max="2036" width="15.7109375" style="1029" customWidth="1"/>
    <col min="2037" max="2037" width="16.140625" style="1029" customWidth="1"/>
    <col min="2038" max="2038" width="32" style="1029" customWidth="1"/>
    <col min="2039" max="2039" width="27.42578125" style="1029" customWidth="1"/>
    <col min="2040" max="2040" width="26.85546875" style="1029" customWidth="1"/>
    <col min="2041" max="2285" width="11.42578125" style="1029"/>
    <col min="2286" max="2286" width="20.7109375" style="1029" customWidth="1"/>
    <col min="2287" max="2287" width="35" style="1029" customWidth="1"/>
    <col min="2288" max="2288" width="34.5703125" style="1029" customWidth="1"/>
    <col min="2289" max="2289" width="37.140625" style="1029" customWidth="1"/>
    <col min="2290" max="2290" width="21.28515625" style="1029" customWidth="1"/>
    <col min="2291" max="2291" width="19.7109375" style="1029" customWidth="1"/>
    <col min="2292" max="2292" width="15.7109375" style="1029" customWidth="1"/>
    <col min="2293" max="2293" width="16.140625" style="1029" customWidth="1"/>
    <col min="2294" max="2294" width="32" style="1029" customWidth="1"/>
    <col min="2295" max="2295" width="27.42578125" style="1029" customWidth="1"/>
    <col min="2296" max="2296" width="26.85546875" style="1029" customWidth="1"/>
    <col min="2297" max="2541" width="11.42578125" style="1029"/>
    <col min="2542" max="2542" width="20.7109375" style="1029" customWidth="1"/>
    <col min="2543" max="2543" width="35" style="1029" customWidth="1"/>
    <col min="2544" max="2544" width="34.5703125" style="1029" customWidth="1"/>
    <col min="2545" max="2545" width="37.140625" style="1029" customWidth="1"/>
    <col min="2546" max="2546" width="21.28515625" style="1029" customWidth="1"/>
    <col min="2547" max="2547" width="19.7109375" style="1029" customWidth="1"/>
    <col min="2548" max="2548" width="15.7109375" style="1029" customWidth="1"/>
    <col min="2549" max="2549" width="16.140625" style="1029" customWidth="1"/>
    <col min="2550" max="2550" width="32" style="1029" customWidth="1"/>
    <col min="2551" max="2551" width="27.42578125" style="1029" customWidth="1"/>
    <col min="2552" max="2552" width="26.85546875" style="1029" customWidth="1"/>
    <col min="2553" max="2797" width="11.42578125" style="1029"/>
    <col min="2798" max="2798" width="20.7109375" style="1029" customWidth="1"/>
    <col min="2799" max="2799" width="35" style="1029" customWidth="1"/>
    <col min="2800" max="2800" width="34.5703125" style="1029" customWidth="1"/>
    <col min="2801" max="2801" width="37.140625" style="1029" customWidth="1"/>
    <col min="2802" max="2802" width="21.28515625" style="1029" customWidth="1"/>
    <col min="2803" max="2803" width="19.7109375" style="1029" customWidth="1"/>
    <col min="2804" max="2804" width="15.7109375" style="1029" customWidth="1"/>
    <col min="2805" max="2805" width="16.140625" style="1029" customWidth="1"/>
    <col min="2806" max="2806" width="32" style="1029" customWidth="1"/>
    <col min="2807" max="2807" width="27.42578125" style="1029" customWidth="1"/>
    <col min="2808" max="2808" width="26.85546875" style="1029" customWidth="1"/>
    <col min="2809" max="3053" width="11.42578125" style="1029"/>
    <col min="3054" max="3054" width="20.7109375" style="1029" customWidth="1"/>
    <col min="3055" max="3055" width="35" style="1029" customWidth="1"/>
    <col min="3056" max="3056" width="34.5703125" style="1029" customWidth="1"/>
    <col min="3057" max="3057" width="37.140625" style="1029" customWidth="1"/>
    <col min="3058" max="3058" width="21.28515625" style="1029" customWidth="1"/>
    <col min="3059" max="3059" width="19.7109375" style="1029" customWidth="1"/>
    <col min="3060" max="3060" width="15.7109375" style="1029" customWidth="1"/>
    <col min="3061" max="3061" width="16.140625" style="1029" customWidth="1"/>
    <col min="3062" max="3062" width="32" style="1029" customWidth="1"/>
    <col min="3063" max="3063" width="27.42578125" style="1029" customWidth="1"/>
    <col min="3064" max="3064" width="26.85546875" style="1029" customWidth="1"/>
    <col min="3065" max="3309" width="11.42578125" style="1029"/>
    <col min="3310" max="3310" width="20.7109375" style="1029" customWidth="1"/>
    <col min="3311" max="3311" width="35" style="1029" customWidth="1"/>
    <col min="3312" max="3312" width="34.5703125" style="1029" customWidth="1"/>
    <col min="3313" max="3313" width="37.140625" style="1029" customWidth="1"/>
    <col min="3314" max="3314" width="21.28515625" style="1029" customWidth="1"/>
    <col min="3315" max="3315" width="19.7109375" style="1029" customWidth="1"/>
    <col min="3316" max="3316" width="15.7109375" style="1029" customWidth="1"/>
    <col min="3317" max="3317" width="16.140625" style="1029" customWidth="1"/>
    <col min="3318" max="3318" width="32" style="1029" customWidth="1"/>
    <col min="3319" max="3319" width="27.42578125" style="1029" customWidth="1"/>
    <col min="3320" max="3320" width="26.85546875" style="1029" customWidth="1"/>
    <col min="3321" max="3565" width="11.42578125" style="1029"/>
    <col min="3566" max="3566" width="20.7109375" style="1029" customWidth="1"/>
    <col min="3567" max="3567" width="35" style="1029" customWidth="1"/>
    <col min="3568" max="3568" width="34.5703125" style="1029" customWidth="1"/>
    <col min="3569" max="3569" width="37.140625" style="1029" customWidth="1"/>
    <col min="3570" max="3570" width="21.28515625" style="1029" customWidth="1"/>
    <col min="3571" max="3571" width="19.7109375" style="1029" customWidth="1"/>
    <col min="3572" max="3572" width="15.7109375" style="1029" customWidth="1"/>
    <col min="3573" max="3573" width="16.140625" style="1029" customWidth="1"/>
    <col min="3574" max="3574" width="32" style="1029" customWidth="1"/>
    <col min="3575" max="3575" width="27.42578125" style="1029" customWidth="1"/>
    <col min="3576" max="3576" width="26.85546875" style="1029" customWidth="1"/>
    <col min="3577" max="3821" width="11.42578125" style="1029"/>
    <col min="3822" max="3822" width="20.7109375" style="1029" customWidth="1"/>
    <col min="3823" max="3823" width="35" style="1029" customWidth="1"/>
    <col min="3824" max="3824" width="34.5703125" style="1029" customWidth="1"/>
    <col min="3825" max="3825" width="37.140625" style="1029" customWidth="1"/>
    <col min="3826" max="3826" width="21.28515625" style="1029" customWidth="1"/>
    <col min="3827" max="3827" width="19.7109375" style="1029" customWidth="1"/>
    <col min="3828" max="3828" width="15.7109375" style="1029" customWidth="1"/>
    <col min="3829" max="3829" width="16.140625" style="1029" customWidth="1"/>
    <col min="3830" max="3830" width="32" style="1029" customWidth="1"/>
    <col min="3831" max="3831" width="27.42578125" style="1029" customWidth="1"/>
    <col min="3832" max="3832" width="26.85546875" style="1029" customWidth="1"/>
    <col min="3833" max="4077" width="11.42578125" style="1029"/>
    <col min="4078" max="4078" width="20.7109375" style="1029" customWidth="1"/>
    <col min="4079" max="4079" width="35" style="1029" customWidth="1"/>
    <col min="4080" max="4080" width="34.5703125" style="1029" customWidth="1"/>
    <col min="4081" max="4081" width="37.140625" style="1029" customWidth="1"/>
    <col min="4082" max="4082" width="21.28515625" style="1029" customWidth="1"/>
    <col min="4083" max="4083" width="19.7109375" style="1029" customWidth="1"/>
    <col min="4084" max="4084" width="15.7109375" style="1029" customWidth="1"/>
    <col min="4085" max="4085" width="16.140625" style="1029" customWidth="1"/>
    <col min="4086" max="4086" width="32" style="1029" customWidth="1"/>
    <col min="4087" max="4087" width="27.42578125" style="1029" customWidth="1"/>
    <col min="4088" max="4088" width="26.85546875" style="1029" customWidth="1"/>
    <col min="4089" max="4333" width="11.42578125" style="1029"/>
    <col min="4334" max="4334" width="20.7109375" style="1029" customWidth="1"/>
    <col min="4335" max="4335" width="35" style="1029" customWidth="1"/>
    <col min="4336" max="4336" width="34.5703125" style="1029" customWidth="1"/>
    <col min="4337" max="4337" width="37.140625" style="1029" customWidth="1"/>
    <col min="4338" max="4338" width="21.28515625" style="1029" customWidth="1"/>
    <col min="4339" max="4339" width="19.7109375" style="1029" customWidth="1"/>
    <col min="4340" max="4340" width="15.7109375" style="1029" customWidth="1"/>
    <col min="4341" max="4341" width="16.140625" style="1029" customWidth="1"/>
    <col min="4342" max="4342" width="32" style="1029" customWidth="1"/>
    <col min="4343" max="4343" width="27.42578125" style="1029" customWidth="1"/>
    <col min="4344" max="4344" width="26.85546875" style="1029" customWidth="1"/>
    <col min="4345" max="4589" width="11.42578125" style="1029"/>
    <col min="4590" max="4590" width="20.7109375" style="1029" customWidth="1"/>
    <col min="4591" max="4591" width="35" style="1029" customWidth="1"/>
    <col min="4592" max="4592" width="34.5703125" style="1029" customWidth="1"/>
    <col min="4593" max="4593" width="37.140625" style="1029" customWidth="1"/>
    <col min="4594" max="4594" width="21.28515625" style="1029" customWidth="1"/>
    <col min="4595" max="4595" width="19.7109375" style="1029" customWidth="1"/>
    <col min="4596" max="4596" width="15.7109375" style="1029" customWidth="1"/>
    <col min="4597" max="4597" width="16.140625" style="1029" customWidth="1"/>
    <col min="4598" max="4598" width="32" style="1029" customWidth="1"/>
    <col min="4599" max="4599" width="27.42578125" style="1029" customWidth="1"/>
    <col min="4600" max="4600" width="26.85546875" style="1029" customWidth="1"/>
    <col min="4601" max="4845" width="11.42578125" style="1029"/>
    <col min="4846" max="4846" width="20.7109375" style="1029" customWidth="1"/>
    <col min="4847" max="4847" width="35" style="1029" customWidth="1"/>
    <col min="4848" max="4848" width="34.5703125" style="1029" customWidth="1"/>
    <col min="4849" max="4849" width="37.140625" style="1029" customWidth="1"/>
    <col min="4850" max="4850" width="21.28515625" style="1029" customWidth="1"/>
    <col min="4851" max="4851" width="19.7109375" style="1029" customWidth="1"/>
    <col min="4852" max="4852" width="15.7109375" style="1029" customWidth="1"/>
    <col min="4853" max="4853" width="16.140625" style="1029" customWidth="1"/>
    <col min="4854" max="4854" width="32" style="1029" customWidth="1"/>
    <col min="4855" max="4855" width="27.42578125" style="1029" customWidth="1"/>
    <col min="4856" max="4856" width="26.85546875" style="1029" customWidth="1"/>
    <col min="4857" max="5101" width="11.42578125" style="1029"/>
    <col min="5102" max="5102" width="20.7109375" style="1029" customWidth="1"/>
    <col min="5103" max="5103" width="35" style="1029" customWidth="1"/>
    <col min="5104" max="5104" width="34.5703125" style="1029" customWidth="1"/>
    <col min="5105" max="5105" width="37.140625" style="1029" customWidth="1"/>
    <col min="5106" max="5106" width="21.28515625" style="1029" customWidth="1"/>
    <col min="5107" max="5107" width="19.7109375" style="1029" customWidth="1"/>
    <col min="5108" max="5108" width="15.7109375" style="1029" customWidth="1"/>
    <col min="5109" max="5109" width="16.140625" style="1029" customWidth="1"/>
    <col min="5110" max="5110" width="32" style="1029" customWidth="1"/>
    <col min="5111" max="5111" width="27.42578125" style="1029" customWidth="1"/>
    <col min="5112" max="5112" width="26.85546875" style="1029" customWidth="1"/>
    <col min="5113" max="5357" width="11.42578125" style="1029"/>
    <col min="5358" max="5358" width="20.7109375" style="1029" customWidth="1"/>
    <col min="5359" max="5359" width="35" style="1029" customWidth="1"/>
    <col min="5360" max="5360" width="34.5703125" style="1029" customWidth="1"/>
    <col min="5361" max="5361" width="37.140625" style="1029" customWidth="1"/>
    <col min="5362" max="5362" width="21.28515625" style="1029" customWidth="1"/>
    <col min="5363" max="5363" width="19.7109375" style="1029" customWidth="1"/>
    <col min="5364" max="5364" width="15.7109375" style="1029" customWidth="1"/>
    <col min="5365" max="5365" width="16.140625" style="1029" customWidth="1"/>
    <col min="5366" max="5366" width="32" style="1029" customWidth="1"/>
    <col min="5367" max="5367" width="27.42578125" style="1029" customWidth="1"/>
    <col min="5368" max="5368" width="26.85546875" style="1029" customWidth="1"/>
    <col min="5369" max="5613" width="11.42578125" style="1029"/>
    <col min="5614" max="5614" width="20.7109375" style="1029" customWidth="1"/>
    <col min="5615" max="5615" width="35" style="1029" customWidth="1"/>
    <col min="5616" max="5616" width="34.5703125" style="1029" customWidth="1"/>
    <col min="5617" max="5617" width="37.140625" style="1029" customWidth="1"/>
    <col min="5618" max="5618" width="21.28515625" style="1029" customWidth="1"/>
    <col min="5619" max="5619" width="19.7109375" style="1029" customWidth="1"/>
    <col min="5620" max="5620" width="15.7109375" style="1029" customWidth="1"/>
    <col min="5621" max="5621" width="16.140625" style="1029" customWidth="1"/>
    <col min="5622" max="5622" width="32" style="1029" customWidth="1"/>
    <col min="5623" max="5623" width="27.42578125" style="1029" customWidth="1"/>
    <col min="5624" max="5624" width="26.85546875" style="1029" customWidth="1"/>
    <col min="5625" max="5869" width="11.42578125" style="1029"/>
    <col min="5870" max="5870" width="20.7109375" style="1029" customWidth="1"/>
    <col min="5871" max="5871" width="35" style="1029" customWidth="1"/>
    <col min="5872" max="5872" width="34.5703125" style="1029" customWidth="1"/>
    <col min="5873" max="5873" width="37.140625" style="1029" customWidth="1"/>
    <col min="5874" max="5874" width="21.28515625" style="1029" customWidth="1"/>
    <col min="5875" max="5875" width="19.7109375" style="1029" customWidth="1"/>
    <col min="5876" max="5876" width="15.7109375" style="1029" customWidth="1"/>
    <col min="5877" max="5877" width="16.140625" style="1029" customWidth="1"/>
    <col min="5878" max="5878" width="32" style="1029" customWidth="1"/>
    <col min="5879" max="5879" width="27.42578125" style="1029" customWidth="1"/>
    <col min="5880" max="5880" width="26.85546875" style="1029" customWidth="1"/>
    <col min="5881" max="6125" width="11.42578125" style="1029"/>
    <col min="6126" max="6126" width="20.7109375" style="1029" customWidth="1"/>
    <col min="6127" max="6127" width="35" style="1029" customWidth="1"/>
    <col min="6128" max="6128" width="34.5703125" style="1029" customWidth="1"/>
    <col min="6129" max="6129" width="37.140625" style="1029" customWidth="1"/>
    <col min="6130" max="6130" width="21.28515625" style="1029" customWidth="1"/>
    <col min="6131" max="6131" width="19.7109375" style="1029" customWidth="1"/>
    <col min="6132" max="6132" width="15.7109375" style="1029" customWidth="1"/>
    <col min="6133" max="6133" width="16.140625" style="1029" customWidth="1"/>
    <col min="6134" max="6134" width="32" style="1029" customWidth="1"/>
    <col min="6135" max="6135" width="27.42578125" style="1029" customWidth="1"/>
    <col min="6136" max="6136" width="26.85546875" style="1029" customWidth="1"/>
    <col min="6137" max="6381" width="11.42578125" style="1029"/>
    <col min="6382" max="6382" width="20.7109375" style="1029" customWidth="1"/>
    <col min="6383" max="6383" width="35" style="1029" customWidth="1"/>
    <col min="6384" max="6384" width="34.5703125" style="1029" customWidth="1"/>
    <col min="6385" max="6385" width="37.140625" style="1029" customWidth="1"/>
    <col min="6386" max="6386" width="21.28515625" style="1029" customWidth="1"/>
    <col min="6387" max="6387" width="19.7109375" style="1029" customWidth="1"/>
    <col min="6388" max="6388" width="15.7109375" style="1029" customWidth="1"/>
    <col min="6389" max="6389" width="16.140625" style="1029" customWidth="1"/>
    <col min="6390" max="6390" width="32" style="1029" customWidth="1"/>
    <col min="6391" max="6391" width="27.42578125" style="1029" customWidth="1"/>
    <col min="6392" max="6392" width="26.85546875" style="1029" customWidth="1"/>
    <col min="6393" max="6637" width="11.42578125" style="1029"/>
    <col min="6638" max="6638" width="20.7109375" style="1029" customWidth="1"/>
    <col min="6639" max="6639" width="35" style="1029" customWidth="1"/>
    <col min="6640" max="6640" width="34.5703125" style="1029" customWidth="1"/>
    <col min="6641" max="6641" width="37.140625" style="1029" customWidth="1"/>
    <col min="6642" max="6642" width="21.28515625" style="1029" customWidth="1"/>
    <col min="6643" max="6643" width="19.7109375" style="1029" customWidth="1"/>
    <col min="6644" max="6644" width="15.7109375" style="1029" customWidth="1"/>
    <col min="6645" max="6645" width="16.140625" style="1029" customWidth="1"/>
    <col min="6646" max="6646" width="32" style="1029" customWidth="1"/>
    <col min="6647" max="6647" width="27.42578125" style="1029" customWidth="1"/>
    <col min="6648" max="6648" width="26.85546875" style="1029" customWidth="1"/>
    <col min="6649" max="6893" width="11.42578125" style="1029"/>
    <col min="6894" max="6894" width="20.7109375" style="1029" customWidth="1"/>
    <col min="6895" max="6895" width="35" style="1029" customWidth="1"/>
    <col min="6896" max="6896" width="34.5703125" style="1029" customWidth="1"/>
    <col min="6897" max="6897" width="37.140625" style="1029" customWidth="1"/>
    <col min="6898" max="6898" width="21.28515625" style="1029" customWidth="1"/>
    <col min="6899" max="6899" width="19.7109375" style="1029" customWidth="1"/>
    <col min="6900" max="6900" width="15.7109375" style="1029" customWidth="1"/>
    <col min="6901" max="6901" width="16.140625" style="1029" customWidth="1"/>
    <col min="6902" max="6902" width="32" style="1029" customWidth="1"/>
    <col min="6903" max="6903" width="27.42578125" style="1029" customWidth="1"/>
    <col min="6904" max="6904" width="26.85546875" style="1029" customWidth="1"/>
    <col min="6905" max="7149" width="11.42578125" style="1029"/>
    <col min="7150" max="7150" width="20.7109375" style="1029" customWidth="1"/>
    <col min="7151" max="7151" width="35" style="1029" customWidth="1"/>
    <col min="7152" max="7152" width="34.5703125" style="1029" customWidth="1"/>
    <col min="7153" max="7153" width="37.140625" style="1029" customWidth="1"/>
    <col min="7154" max="7154" width="21.28515625" style="1029" customWidth="1"/>
    <col min="7155" max="7155" width="19.7109375" style="1029" customWidth="1"/>
    <col min="7156" max="7156" width="15.7109375" style="1029" customWidth="1"/>
    <col min="7157" max="7157" width="16.140625" style="1029" customWidth="1"/>
    <col min="7158" max="7158" width="32" style="1029" customWidth="1"/>
    <col min="7159" max="7159" width="27.42578125" style="1029" customWidth="1"/>
    <col min="7160" max="7160" width="26.85546875" style="1029" customWidth="1"/>
    <col min="7161" max="7405" width="11.42578125" style="1029"/>
    <col min="7406" max="7406" width="20.7109375" style="1029" customWidth="1"/>
    <col min="7407" max="7407" width="35" style="1029" customWidth="1"/>
    <col min="7408" max="7408" width="34.5703125" style="1029" customWidth="1"/>
    <col min="7409" max="7409" width="37.140625" style="1029" customWidth="1"/>
    <col min="7410" max="7410" width="21.28515625" style="1029" customWidth="1"/>
    <col min="7411" max="7411" width="19.7109375" style="1029" customWidth="1"/>
    <col min="7412" max="7412" width="15.7109375" style="1029" customWidth="1"/>
    <col min="7413" max="7413" width="16.140625" style="1029" customWidth="1"/>
    <col min="7414" max="7414" width="32" style="1029" customWidth="1"/>
    <col min="7415" max="7415" width="27.42578125" style="1029" customWidth="1"/>
    <col min="7416" max="7416" width="26.85546875" style="1029" customWidth="1"/>
    <col min="7417" max="7661" width="11.42578125" style="1029"/>
    <col min="7662" max="7662" width="20.7109375" style="1029" customWidth="1"/>
    <col min="7663" max="7663" width="35" style="1029" customWidth="1"/>
    <col min="7664" max="7664" width="34.5703125" style="1029" customWidth="1"/>
    <col min="7665" max="7665" width="37.140625" style="1029" customWidth="1"/>
    <col min="7666" max="7666" width="21.28515625" style="1029" customWidth="1"/>
    <col min="7667" max="7667" width="19.7109375" style="1029" customWidth="1"/>
    <col min="7668" max="7668" width="15.7109375" style="1029" customWidth="1"/>
    <col min="7669" max="7669" width="16.140625" style="1029" customWidth="1"/>
    <col min="7670" max="7670" width="32" style="1029" customWidth="1"/>
    <col min="7671" max="7671" width="27.42578125" style="1029" customWidth="1"/>
    <col min="7672" max="7672" width="26.85546875" style="1029" customWidth="1"/>
    <col min="7673" max="7917" width="11.42578125" style="1029"/>
    <col min="7918" max="7918" width="20.7109375" style="1029" customWidth="1"/>
    <col min="7919" max="7919" width="35" style="1029" customWidth="1"/>
    <col min="7920" max="7920" width="34.5703125" style="1029" customWidth="1"/>
    <col min="7921" max="7921" width="37.140625" style="1029" customWidth="1"/>
    <col min="7922" max="7922" width="21.28515625" style="1029" customWidth="1"/>
    <col min="7923" max="7923" width="19.7109375" style="1029" customWidth="1"/>
    <col min="7924" max="7924" width="15.7109375" style="1029" customWidth="1"/>
    <col min="7925" max="7925" width="16.140625" style="1029" customWidth="1"/>
    <col min="7926" max="7926" width="32" style="1029" customWidth="1"/>
    <col min="7927" max="7927" width="27.42578125" style="1029" customWidth="1"/>
    <col min="7928" max="7928" width="26.85546875" style="1029" customWidth="1"/>
    <col min="7929" max="8173" width="11.42578125" style="1029"/>
    <col min="8174" max="8174" width="20.7109375" style="1029" customWidth="1"/>
    <col min="8175" max="8175" width="35" style="1029" customWidth="1"/>
    <col min="8176" max="8176" width="34.5703125" style="1029" customWidth="1"/>
    <col min="8177" max="8177" width="37.140625" style="1029" customWidth="1"/>
    <col min="8178" max="8178" width="21.28515625" style="1029" customWidth="1"/>
    <col min="8179" max="8179" width="19.7109375" style="1029" customWidth="1"/>
    <col min="8180" max="8180" width="15.7109375" style="1029" customWidth="1"/>
    <col min="8181" max="8181" width="16.140625" style="1029" customWidth="1"/>
    <col min="8182" max="8182" width="32" style="1029" customWidth="1"/>
    <col min="8183" max="8183" width="27.42578125" style="1029" customWidth="1"/>
    <col min="8184" max="8184" width="26.85546875" style="1029" customWidth="1"/>
    <col min="8185" max="8429" width="11.42578125" style="1029"/>
    <col min="8430" max="8430" width="20.7109375" style="1029" customWidth="1"/>
    <col min="8431" max="8431" width="35" style="1029" customWidth="1"/>
    <col min="8432" max="8432" width="34.5703125" style="1029" customWidth="1"/>
    <col min="8433" max="8433" width="37.140625" style="1029" customWidth="1"/>
    <col min="8434" max="8434" width="21.28515625" style="1029" customWidth="1"/>
    <col min="8435" max="8435" width="19.7109375" style="1029" customWidth="1"/>
    <col min="8436" max="8436" width="15.7109375" style="1029" customWidth="1"/>
    <col min="8437" max="8437" width="16.140625" style="1029" customWidth="1"/>
    <col min="8438" max="8438" width="32" style="1029" customWidth="1"/>
    <col min="8439" max="8439" width="27.42578125" style="1029" customWidth="1"/>
    <col min="8440" max="8440" width="26.85546875" style="1029" customWidth="1"/>
    <col min="8441" max="8685" width="11.42578125" style="1029"/>
    <col min="8686" max="8686" width="20.7109375" style="1029" customWidth="1"/>
    <col min="8687" max="8687" width="35" style="1029" customWidth="1"/>
    <col min="8688" max="8688" width="34.5703125" style="1029" customWidth="1"/>
    <col min="8689" max="8689" width="37.140625" style="1029" customWidth="1"/>
    <col min="8690" max="8690" width="21.28515625" style="1029" customWidth="1"/>
    <col min="8691" max="8691" width="19.7109375" style="1029" customWidth="1"/>
    <col min="8692" max="8692" width="15.7109375" style="1029" customWidth="1"/>
    <col min="8693" max="8693" width="16.140625" style="1029" customWidth="1"/>
    <col min="8694" max="8694" width="32" style="1029" customWidth="1"/>
    <col min="8695" max="8695" width="27.42578125" style="1029" customWidth="1"/>
    <col min="8696" max="8696" width="26.85546875" style="1029" customWidth="1"/>
    <col min="8697" max="8941" width="11.42578125" style="1029"/>
    <col min="8942" max="8942" width="20.7109375" style="1029" customWidth="1"/>
    <col min="8943" max="8943" width="35" style="1029" customWidth="1"/>
    <col min="8944" max="8944" width="34.5703125" style="1029" customWidth="1"/>
    <col min="8945" max="8945" width="37.140625" style="1029" customWidth="1"/>
    <col min="8946" max="8946" width="21.28515625" style="1029" customWidth="1"/>
    <col min="8947" max="8947" width="19.7109375" style="1029" customWidth="1"/>
    <col min="8948" max="8948" width="15.7109375" style="1029" customWidth="1"/>
    <col min="8949" max="8949" width="16.140625" style="1029" customWidth="1"/>
    <col min="8950" max="8950" width="32" style="1029" customWidth="1"/>
    <col min="8951" max="8951" width="27.42578125" style="1029" customWidth="1"/>
    <col min="8952" max="8952" width="26.85546875" style="1029" customWidth="1"/>
    <col min="8953" max="9197" width="11.42578125" style="1029"/>
    <col min="9198" max="9198" width="20.7109375" style="1029" customWidth="1"/>
    <col min="9199" max="9199" width="35" style="1029" customWidth="1"/>
    <col min="9200" max="9200" width="34.5703125" style="1029" customWidth="1"/>
    <col min="9201" max="9201" width="37.140625" style="1029" customWidth="1"/>
    <col min="9202" max="9202" width="21.28515625" style="1029" customWidth="1"/>
    <col min="9203" max="9203" width="19.7109375" style="1029" customWidth="1"/>
    <col min="9204" max="9204" width="15.7109375" style="1029" customWidth="1"/>
    <col min="9205" max="9205" width="16.140625" style="1029" customWidth="1"/>
    <col min="9206" max="9206" width="32" style="1029" customWidth="1"/>
    <col min="9207" max="9207" width="27.42578125" style="1029" customWidth="1"/>
    <col min="9208" max="9208" width="26.85546875" style="1029" customWidth="1"/>
    <col min="9209" max="9453" width="11.42578125" style="1029"/>
    <col min="9454" max="9454" width="20.7109375" style="1029" customWidth="1"/>
    <col min="9455" max="9455" width="35" style="1029" customWidth="1"/>
    <col min="9456" max="9456" width="34.5703125" style="1029" customWidth="1"/>
    <col min="9457" max="9457" width="37.140625" style="1029" customWidth="1"/>
    <col min="9458" max="9458" width="21.28515625" style="1029" customWidth="1"/>
    <col min="9459" max="9459" width="19.7109375" style="1029" customWidth="1"/>
    <col min="9460" max="9460" width="15.7109375" style="1029" customWidth="1"/>
    <col min="9461" max="9461" width="16.140625" style="1029" customWidth="1"/>
    <col min="9462" max="9462" width="32" style="1029" customWidth="1"/>
    <col min="9463" max="9463" width="27.42578125" style="1029" customWidth="1"/>
    <col min="9464" max="9464" width="26.85546875" style="1029" customWidth="1"/>
    <col min="9465" max="9709" width="11.42578125" style="1029"/>
    <col min="9710" max="9710" width="20.7109375" style="1029" customWidth="1"/>
    <col min="9711" max="9711" width="35" style="1029" customWidth="1"/>
    <col min="9712" max="9712" width="34.5703125" style="1029" customWidth="1"/>
    <col min="9713" max="9713" width="37.140625" style="1029" customWidth="1"/>
    <col min="9714" max="9714" width="21.28515625" style="1029" customWidth="1"/>
    <col min="9715" max="9715" width="19.7109375" style="1029" customWidth="1"/>
    <col min="9716" max="9716" width="15.7109375" style="1029" customWidth="1"/>
    <col min="9717" max="9717" width="16.140625" style="1029" customWidth="1"/>
    <col min="9718" max="9718" width="32" style="1029" customWidth="1"/>
    <col min="9719" max="9719" width="27.42578125" style="1029" customWidth="1"/>
    <col min="9720" max="9720" width="26.85546875" style="1029" customWidth="1"/>
    <col min="9721" max="9965" width="11.42578125" style="1029"/>
    <col min="9966" max="9966" width="20.7109375" style="1029" customWidth="1"/>
    <col min="9967" max="9967" width="35" style="1029" customWidth="1"/>
    <col min="9968" max="9968" width="34.5703125" style="1029" customWidth="1"/>
    <col min="9969" max="9969" width="37.140625" style="1029" customWidth="1"/>
    <col min="9970" max="9970" width="21.28515625" style="1029" customWidth="1"/>
    <col min="9971" max="9971" width="19.7109375" style="1029" customWidth="1"/>
    <col min="9972" max="9972" width="15.7109375" style="1029" customWidth="1"/>
    <col min="9973" max="9973" width="16.140625" style="1029" customWidth="1"/>
    <col min="9974" max="9974" width="32" style="1029" customWidth="1"/>
    <col min="9975" max="9975" width="27.42578125" style="1029" customWidth="1"/>
    <col min="9976" max="9976" width="26.85546875" style="1029" customWidth="1"/>
    <col min="9977" max="10221" width="11.42578125" style="1029"/>
    <col min="10222" max="10222" width="20.7109375" style="1029" customWidth="1"/>
    <col min="10223" max="10223" width="35" style="1029" customWidth="1"/>
    <col min="10224" max="10224" width="34.5703125" style="1029" customWidth="1"/>
    <col min="10225" max="10225" width="37.140625" style="1029" customWidth="1"/>
    <col min="10226" max="10226" width="21.28515625" style="1029" customWidth="1"/>
    <col min="10227" max="10227" width="19.7109375" style="1029" customWidth="1"/>
    <col min="10228" max="10228" width="15.7109375" style="1029" customWidth="1"/>
    <col min="10229" max="10229" width="16.140625" style="1029" customWidth="1"/>
    <col min="10230" max="10230" width="32" style="1029" customWidth="1"/>
    <col min="10231" max="10231" width="27.42578125" style="1029" customWidth="1"/>
    <col min="10232" max="10232" width="26.85546875" style="1029" customWidth="1"/>
    <col min="10233" max="10477" width="11.42578125" style="1029"/>
    <col min="10478" max="10478" width="20.7109375" style="1029" customWidth="1"/>
    <col min="10479" max="10479" width="35" style="1029" customWidth="1"/>
    <col min="10480" max="10480" width="34.5703125" style="1029" customWidth="1"/>
    <col min="10481" max="10481" width="37.140625" style="1029" customWidth="1"/>
    <col min="10482" max="10482" width="21.28515625" style="1029" customWidth="1"/>
    <col min="10483" max="10483" width="19.7109375" style="1029" customWidth="1"/>
    <col min="10484" max="10484" width="15.7109375" style="1029" customWidth="1"/>
    <col min="10485" max="10485" width="16.140625" style="1029" customWidth="1"/>
    <col min="10486" max="10486" width="32" style="1029" customWidth="1"/>
    <col min="10487" max="10487" width="27.42578125" style="1029" customWidth="1"/>
    <col min="10488" max="10488" width="26.85546875" style="1029" customWidth="1"/>
    <col min="10489" max="10733" width="11.42578125" style="1029"/>
    <col min="10734" max="10734" width="20.7109375" style="1029" customWidth="1"/>
    <col min="10735" max="10735" width="35" style="1029" customWidth="1"/>
    <col min="10736" max="10736" width="34.5703125" style="1029" customWidth="1"/>
    <col min="10737" max="10737" width="37.140625" style="1029" customWidth="1"/>
    <col min="10738" max="10738" width="21.28515625" style="1029" customWidth="1"/>
    <col min="10739" max="10739" width="19.7109375" style="1029" customWidth="1"/>
    <col min="10740" max="10740" width="15.7109375" style="1029" customWidth="1"/>
    <col min="10741" max="10741" width="16.140625" style="1029" customWidth="1"/>
    <col min="10742" max="10742" width="32" style="1029" customWidth="1"/>
    <col min="10743" max="10743" width="27.42578125" style="1029" customWidth="1"/>
    <col min="10744" max="10744" width="26.85546875" style="1029" customWidth="1"/>
    <col min="10745" max="10989" width="11.42578125" style="1029"/>
    <col min="10990" max="10990" width="20.7109375" style="1029" customWidth="1"/>
    <col min="10991" max="10991" width="35" style="1029" customWidth="1"/>
    <col min="10992" max="10992" width="34.5703125" style="1029" customWidth="1"/>
    <col min="10993" max="10993" width="37.140625" style="1029" customWidth="1"/>
    <col min="10994" max="10994" width="21.28515625" style="1029" customWidth="1"/>
    <col min="10995" max="10995" width="19.7109375" style="1029" customWidth="1"/>
    <col min="10996" max="10996" width="15.7109375" style="1029" customWidth="1"/>
    <col min="10997" max="10997" width="16.140625" style="1029" customWidth="1"/>
    <col min="10998" max="10998" width="32" style="1029" customWidth="1"/>
    <col min="10999" max="10999" width="27.42578125" style="1029" customWidth="1"/>
    <col min="11000" max="11000" width="26.85546875" style="1029" customWidth="1"/>
    <col min="11001" max="11245" width="11.42578125" style="1029"/>
    <col min="11246" max="11246" width="20.7109375" style="1029" customWidth="1"/>
    <col min="11247" max="11247" width="35" style="1029" customWidth="1"/>
    <col min="11248" max="11248" width="34.5703125" style="1029" customWidth="1"/>
    <col min="11249" max="11249" width="37.140625" style="1029" customWidth="1"/>
    <col min="11250" max="11250" width="21.28515625" style="1029" customWidth="1"/>
    <col min="11251" max="11251" width="19.7109375" style="1029" customWidth="1"/>
    <col min="11252" max="11252" width="15.7109375" style="1029" customWidth="1"/>
    <col min="11253" max="11253" width="16.140625" style="1029" customWidth="1"/>
    <col min="11254" max="11254" width="32" style="1029" customWidth="1"/>
    <col min="11255" max="11255" width="27.42578125" style="1029" customWidth="1"/>
    <col min="11256" max="11256" width="26.85546875" style="1029" customWidth="1"/>
    <col min="11257" max="11501" width="11.42578125" style="1029"/>
    <col min="11502" max="11502" width="20.7109375" style="1029" customWidth="1"/>
    <col min="11503" max="11503" width="35" style="1029" customWidth="1"/>
    <col min="11504" max="11504" width="34.5703125" style="1029" customWidth="1"/>
    <col min="11505" max="11505" width="37.140625" style="1029" customWidth="1"/>
    <col min="11506" max="11506" width="21.28515625" style="1029" customWidth="1"/>
    <col min="11507" max="11507" width="19.7109375" style="1029" customWidth="1"/>
    <col min="11508" max="11508" width="15.7109375" style="1029" customWidth="1"/>
    <col min="11509" max="11509" width="16.140625" style="1029" customWidth="1"/>
    <col min="11510" max="11510" width="32" style="1029" customWidth="1"/>
    <col min="11511" max="11511" width="27.42578125" style="1029" customWidth="1"/>
    <col min="11512" max="11512" width="26.85546875" style="1029" customWidth="1"/>
    <col min="11513" max="11757" width="11.42578125" style="1029"/>
    <col min="11758" max="11758" width="20.7109375" style="1029" customWidth="1"/>
    <col min="11759" max="11759" width="35" style="1029" customWidth="1"/>
    <col min="11760" max="11760" width="34.5703125" style="1029" customWidth="1"/>
    <col min="11761" max="11761" width="37.140625" style="1029" customWidth="1"/>
    <col min="11762" max="11762" width="21.28515625" style="1029" customWidth="1"/>
    <col min="11763" max="11763" width="19.7109375" style="1029" customWidth="1"/>
    <col min="11764" max="11764" width="15.7109375" style="1029" customWidth="1"/>
    <col min="11765" max="11765" width="16.140625" style="1029" customWidth="1"/>
    <col min="11766" max="11766" width="32" style="1029" customWidth="1"/>
    <col min="11767" max="11767" width="27.42578125" style="1029" customWidth="1"/>
    <col min="11768" max="11768" width="26.85546875" style="1029" customWidth="1"/>
    <col min="11769" max="12013" width="11.42578125" style="1029"/>
    <col min="12014" max="12014" width="20.7109375" style="1029" customWidth="1"/>
    <col min="12015" max="12015" width="35" style="1029" customWidth="1"/>
    <col min="12016" max="12016" width="34.5703125" style="1029" customWidth="1"/>
    <col min="12017" max="12017" width="37.140625" style="1029" customWidth="1"/>
    <col min="12018" max="12018" width="21.28515625" style="1029" customWidth="1"/>
    <col min="12019" max="12019" width="19.7109375" style="1029" customWidth="1"/>
    <col min="12020" max="12020" width="15.7109375" style="1029" customWidth="1"/>
    <col min="12021" max="12021" width="16.140625" style="1029" customWidth="1"/>
    <col min="12022" max="12022" width="32" style="1029" customWidth="1"/>
    <col min="12023" max="12023" width="27.42578125" style="1029" customWidth="1"/>
    <col min="12024" max="12024" width="26.85546875" style="1029" customWidth="1"/>
    <col min="12025" max="12269" width="11.42578125" style="1029"/>
    <col min="12270" max="12270" width="20.7109375" style="1029" customWidth="1"/>
    <col min="12271" max="12271" width="35" style="1029" customWidth="1"/>
    <col min="12272" max="12272" width="34.5703125" style="1029" customWidth="1"/>
    <col min="12273" max="12273" width="37.140625" style="1029" customWidth="1"/>
    <col min="12274" max="12274" width="21.28515625" style="1029" customWidth="1"/>
    <col min="12275" max="12275" width="19.7109375" style="1029" customWidth="1"/>
    <col min="12276" max="12276" width="15.7109375" style="1029" customWidth="1"/>
    <col min="12277" max="12277" width="16.140625" style="1029" customWidth="1"/>
    <col min="12278" max="12278" width="32" style="1029" customWidth="1"/>
    <col min="12279" max="12279" width="27.42578125" style="1029" customWidth="1"/>
    <col min="12280" max="12280" width="26.85546875" style="1029" customWidth="1"/>
    <col min="12281" max="12525" width="11.42578125" style="1029"/>
    <col min="12526" max="12526" width="20.7109375" style="1029" customWidth="1"/>
    <col min="12527" max="12527" width="35" style="1029" customWidth="1"/>
    <col min="12528" max="12528" width="34.5703125" style="1029" customWidth="1"/>
    <col min="12529" max="12529" width="37.140625" style="1029" customWidth="1"/>
    <col min="12530" max="12530" width="21.28515625" style="1029" customWidth="1"/>
    <col min="12531" max="12531" width="19.7109375" style="1029" customWidth="1"/>
    <col min="12532" max="12532" width="15.7109375" style="1029" customWidth="1"/>
    <col min="12533" max="12533" width="16.140625" style="1029" customWidth="1"/>
    <col min="12534" max="12534" width="32" style="1029" customWidth="1"/>
    <col min="12535" max="12535" width="27.42578125" style="1029" customWidth="1"/>
    <col min="12536" max="12536" width="26.85546875" style="1029" customWidth="1"/>
    <col min="12537" max="12781" width="11.42578125" style="1029"/>
    <col min="12782" max="12782" width="20.7109375" style="1029" customWidth="1"/>
    <col min="12783" max="12783" width="35" style="1029" customWidth="1"/>
    <col min="12784" max="12784" width="34.5703125" style="1029" customWidth="1"/>
    <col min="12785" max="12785" width="37.140625" style="1029" customWidth="1"/>
    <col min="12786" max="12786" width="21.28515625" style="1029" customWidth="1"/>
    <col min="12787" max="12787" width="19.7109375" style="1029" customWidth="1"/>
    <col min="12788" max="12788" width="15.7109375" style="1029" customWidth="1"/>
    <col min="12789" max="12789" width="16.140625" style="1029" customWidth="1"/>
    <col min="12790" max="12790" width="32" style="1029" customWidth="1"/>
    <col min="12791" max="12791" width="27.42578125" style="1029" customWidth="1"/>
    <col min="12792" max="12792" width="26.85546875" style="1029" customWidth="1"/>
    <col min="12793" max="13037" width="11.42578125" style="1029"/>
    <col min="13038" max="13038" width="20.7109375" style="1029" customWidth="1"/>
    <col min="13039" max="13039" width="35" style="1029" customWidth="1"/>
    <col min="13040" max="13040" width="34.5703125" style="1029" customWidth="1"/>
    <col min="13041" max="13041" width="37.140625" style="1029" customWidth="1"/>
    <col min="13042" max="13042" width="21.28515625" style="1029" customWidth="1"/>
    <col min="13043" max="13043" width="19.7109375" style="1029" customWidth="1"/>
    <col min="13044" max="13044" width="15.7109375" style="1029" customWidth="1"/>
    <col min="13045" max="13045" width="16.140625" style="1029" customWidth="1"/>
    <col min="13046" max="13046" width="32" style="1029" customWidth="1"/>
    <col min="13047" max="13047" width="27.42578125" style="1029" customWidth="1"/>
    <col min="13048" max="13048" width="26.85546875" style="1029" customWidth="1"/>
    <col min="13049" max="13293" width="11.42578125" style="1029"/>
    <col min="13294" max="13294" width="20.7109375" style="1029" customWidth="1"/>
    <col min="13295" max="13295" width="35" style="1029" customWidth="1"/>
    <col min="13296" max="13296" width="34.5703125" style="1029" customWidth="1"/>
    <col min="13297" max="13297" width="37.140625" style="1029" customWidth="1"/>
    <col min="13298" max="13298" width="21.28515625" style="1029" customWidth="1"/>
    <col min="13299" max="13299" width="19.7109375" style="1029" customWidth="1"/>
    <col min="13300" max="13300" width="15.7109375" style="1029" customWidth="1"/>
    <col min="13301" max="13301" width="16.140625" style="1029" customWidth="1"/>
    <col min="13302" max="13302" width="32" style="1029" customWidth="1"/>
    <col min="13303" max="13303" width="27.42578125" style="1029" customWidth="1"/>
    <col min="13304" max="13304" width="26.85546875" style="1029" customWidth="1"/>
    <col min="13305" max="13549" width="11.42578125" style="1029"/>
    <col min="13550" max="13550" width="20.7109375" style="1029" customWidth="1"/>
    <col min="13551" max="13551" width="35" style="1029" customWidth="1"/>
    <col min="13552" max="13552" width="34.5703125" style="1029" customWidth="1"/>
    <col min="13553" max="13553" width="37.140625" style="1029" customWidth="1"/>
    <col min="13554" max="13554" width="21.28515625" style="1029" customWidth="1"/>
    <col min="13555" max="13555" width="19.7109375" style="1029" customWidth="1"/>
    <col min="13556" max="13556" width="15.7109375" style="1029" customWidth="1"/>
    <col min="13557" max="13557" width="16.140625" style="1029" customWidth="1"/>
    <col min="13558" max="13558" width="32" style="1029" customWidth="1"/>
    <col min="13559" max="13559" width="27.42578125" style="1029" customWidth="1"/>
    <col min="13560" max="13560" width="26.85546875" style="1029" customWidth="1"/>
    <col min="13561" max="13805" width="11.42578125" style="1029"/>
    <col min="13806" max="13806" width="20.7109375" style="1029" customWidth="1"/>
    <col min="13807" max="13807" width="35" style="1029" customWidth="1"/>
    <col min="13808" max="13808" width="34.5703125" style="1029" customWidth="1"/>
    <col min="13809" max="13809" width="37.140625" style="1029" customWidth="1"/>
    <col min="13810" max="13810" width="21.28515625" style="1029" customWidth="1"/>
    <col min="13811" max="13811" width="19.7109375" style="1029" customWidth="1"/>
    <col min="13812" max="13812" width="15.7109375" style="1029" customWidth="1"/>
    <col min="13813" max="13813" width="16.140625" style="1029" customWidth="1"/>
    <col min="13814" max="13814" width="32" style="1029" customWidth="1"/>
    <col min="13815" max="13815" width="27.42578125" style="1029" customWidth="1"/>
    <col min="13816" max="13816" width="26.85546875" style="1029" customWidth="1"/>
    <col min="13817" max="14061" width="11.42578125" style="1029"/>
    <col min="14062" max="14062" width="20.7109375" style="1029" customWidth="1"/>
    <col min="14063" max="14063" width="35" style="1029" customWidth="1"/>
    <col min="14064" max="14064" width="34.5703125" style="1029" customWidth="1"/>
    <col min="14065" max="14065" width="37.140625" style="1029" customWidth="1"/>
    <col min="14066" max="14066" width="21.28515625" style="1029" customWidth="1"/>
    <col min="14067" max="14067" width="19.7109375" style="1029" customWidth="1"/>
    <col min="14068" max="14068" width="15.7109375" style="1029" customWidth="1"/>
    <col min="14069" max="14069" width="16.140625" style="1029" customWidth="1"/>
    <col min="14070" max="14070" width="32" style="1029" customWidth="1"/>
    <col min="14071" max="14071" width="27.42578125" style="1029" customWidth="1"/>
    <col min="14072" max="14072" width="26.85546875" style="1029" customWidth="1"/>
    <col min="14073" max="14317" width="11.42578125" style="1029"/>
    <col min="14318" max="14318" width="20.7109375" style="1029" customWidth="1"/>
    <col min="14319" max="14319" width="35" style="1029" customWidth="1"/>
    <col min="14320" max="14320" width="34.5703125" style="1029" customWidth="1"/>
    <col min="14321" max="14321" width="37.140625" style="1029" customWidth="1"/>
    <col min="14322" max="14322" width="21.28515625" style="1029" customWidth="1"/>
    <col min="14323" max="14323" width="19.7109375" style="1029" customWidth="1"/>
    <col min="14324" max="14324" width="15.7109375" style="1029" customWidth="1"/>
    <col min="14325" max="14325" width="16.140625" style="1029" customWidth="1"/>
    <col min="14326" max="14326" width="32" style="1029" customWidth="1"/>
    <col min="14327" max="14327" width="27.42578125" style="1029" customWidth="1"/>
    <col min="14328" max="14328" width="26.85546875" style="1029" customWidth="1"/>
    <col min="14329" max="14573" width="11.42578125" style="1029"/>
    <col min="14574" max="14574" width="20.7109375" style="1029" customWidth="1"/>
    <col min="14575" max="14575" width="35" style="1029" customWidth="1"/>
    <col min="14576" max="14576" width="34.5703125" style="1029" customWidth="1"/>
    <col min="14577" max="14577" width="37.140625" style="1029" customWidth="1"/>
    <col min="14578" max="14578" width="21.28515625" style="1029" customWidth="1"/>
    <col min="14579" max="14579" width="19.7109375" style="1029" customWidth="1"/>
    <col min="14580" max="14580" width="15.7109375" style="1029" customWidth="1"/>
    <col min="14581" max="14581" width="16.140625" style="1029" customWidth="1"/>
    <col min="14582" max="14582" width="32" style="1029" customWidth="1"/>
    <col min="14583" max="14583" width="27.42578125" style="1029" customWidth="1"/>
    <col min="14584" max="14584" width="26.85546875" style="1029" customWidth="1"/>
    <col min="14585" max="14829" width="11.42578125" style="1029"/>
    <col min="14830" max="14830" width="20.7109375" style="1029" customWidth="1"/>
    <col min="14831" max="14831" width="35" style="1029" customWidth="1"/>
    <col min="14832" max="14832" width="34.5703125" style="1029" customWidth="1"/>
    <col min="14833" max="14833" width="37.140625" style="1029" customWidth="1"/>
    <col min="14834" max="14834" width="21.28515625" style="1029" customWidth="1"/>
    <col min="14835" max="14835" width="19.7109375" style="1029" customWidth="1"/>
    <col min="14836" max="14836" width="15.7109375" style="1029" customWidth="1"/>
    <col min="14837" max="14837" width="16.140625" style="1029" customWidth="1"/>
    <col min="14838" max="14838" width="32" style="1029" customWidth="1"/>
    <col min="14839" max="14839" width="27.42578125" style="1029" customWidth="1"/>
    <col min="14840" max="14840" width="26.85546875" style="1029" customWidth="1"/>
    <col min="14841" max="15085" width="11.42578125" style="1029"/>
    <col min="15086" max="15086" width="20.7109375" style="1029" customWidth="1"/>
    <col min="15087" max="15087" width="35" style="1029" customWidth="1"/>
    <col min="15088" max="15088" width="34.5703125" style="1029" customWidth="1"/>
    <col min="15089" max="15089" width="37.140625" style="1029" customWidth="1"/>
    <col min="15090" max="15090" width="21.28515625" style="1029" customWidth="1"/>
    <col min="15091" max="15091" width="19.7109375" style="1029" customWidth="1"/>
    <col min="15092" max="15092" width="15.7109375" style="1029" customWidth="1"/>
    <col min="15093" max="15093" width="16.140625" style="1029" customWidth="1"/>
    <col min="15094" max="15094" width="32" style="1029" customWidth="1"/>
    <col min="15095" max="15095" width="27.42578125" style="1029" customWidth="1"/>
    <col min="15096" max="15096" width="26.85546875" style="1029" customWidth="1"/>
    <col min="15097" max="15341" width="11.42578125" style="1029"/>
    <col min="15342" max="15342" width="20.7109375" style="1029" customWidth="1"/>
    <col min="15343" max="15343" width="35" style="1029" customWidth="1"/>
    <col min="15344" max="15344" width="34.5703125" style="1029" customWidth="1"/>
    <col min="15345" max="15345" width="37.140625" style="1029" customWidth="1"/>
    <col min="15346" max="15346" width="21.28515625" style="1029" customWidth="1"/>
    <col min="15347" max="15347" width="19.7109375" style="1029" customWidth="1"/>
    <col min="15348" max="15348" width="15.7109375" style="1029" customWidth="1"/>
    <col min="15349" max="15349" width="16.140625" style="1029" customWidth="1"/>
    <col min="15350" max="15350" width="32" style="1029" customWidth="1"/>
    <col min="15351" max="15351" width="27.42578125" style="1029" customWidth="1"/>
    <col min="15352" max="15352" width="26.85546875" style="1029" customWidth="1"/>
    <col min="15353" max="15597" width="11.42578125" style="1029"/>
    <col min="15598" max="15598" width="20.7109375" style="1029" customWidth="1"/>
    <col min="15599" max="15599" width="35" style="1029" customWidth="1"/>
    <col min="15600" max="15600" width="34.5703125" style="1029" customWidth="1"/>
    <col min="15601" max="15601" width="37.140625" style="1029" customWidth="1"/>
    <col min="15602" max="15602" width="21.28515625" style="1029" customWidth="1"/>
    <col min="15603" max="15603" width="19.7109375" style="1029" customWidth="1"/>
    <col min="15604" max="15604" width="15.7109375" style="1029" customWidth="1"/>
    <col min="15605" max="15605" width="16.140625" style="1029" customWidth="1"/>
    <col min="15606" max="15606" width="32" style="1029" customWidth="1"/>
    <col min="15607" max="15607" width="27.42578125" style="1029" customWidth="1"/>
    <col min="15608" max="15608" width="26.85546875" style="1029" customWidth="1"/>
    <col min="15609" max="15853" width="11.42578125" style="1029"/>
    <col min="15854" max="15854" width="20.7109375" style="1029" customWidth="1"/>
    <col min="15855" max="15855" width="35" style="1029" customWidth="1"/>
    <col min="15856" max="15856" width="34.5703125" style="1029" customWidth="1"/>
    <col min="15857" max="15857" width="37.140625" style="1029" customWidth="1"/>
    <col min="15858" max="15858" width="21.28515625" style="1029" customWidth="1"/>
    <col min="15859" max="15859" width="19.7109375" style="1029" customWidth="1"/>
    <col min="15860" max="15860" width="15.7109375" style="1029" customWidth="1"/>
    <col min="15861" max="15861" width="16.140625" style="1029" customWidth="1"/>
    <col min="15862" max="15862" width="32" style="1029" customWidth="1"/>
    <col min="15863" max="15863" width="27.42578125" style="1029" customWidth="1"/>
    <col min="15864" max="15864" width="26.85546875" style="1029" customWidth="1"/>
    <col min="15865" max="16109" width="11.42578125" style="1029"/>
    <col min="16110" max="16110" width="20.7109375" style="1029" customWidth="1"/>
    <col min="16111" max="16111" width="35" style="1029" customWidth="1"/>
    <col min="16112" max="16112" width="34.5703125" style="1029" customWidth="1"/>
    <col min="16113" max="16113" width="37.140625" style="1029" customWidth="1"/>
    <col min="16114" max="16114" width="21.28515625" style="1029" customWidth="1"/>
    <col min="16115" max="16115" width="19.7109375" style="1029" customWidth="1"/>
    <col min="16116" max="16116" width="15.7109375" style="1029" customWidth="1"/>
    <col min="16117" max="16117" width="16.140625" style="1029" customWidth="1"/>
    <col min="16118" max="16118" width="32" style="1029" customWidth="1"/>
    <col min="16119" max="16119" width="27.42578125" style="1029" customWidth="1"/>
    <col min="16120" max="16120" width="26.85546875" style="1029" customWidth="1"/>
    <col min="16121" max="16384" width="11.42578125" style="1029"/>
  </cols>
  <sheetData>
    <row r="1" spans="1:20" x14ac:dyDescent="0.25">
      <c r="A1" s="1418" t="s">
        <v>2059</v>
      </c>
      <c r="B1" s="1418"/>
      <c r="C1" s="1419" t="s">
        <v>2060</v>
      </c>
      <c r="D1" s="1419"/>
      <c r="E1" s="1419"/>
      <c r="F1" s="1419"/>
      <c r="G1" s="1419"/>
      <c r="H1" s="1419"/>
      <c r="I1" s="1419"/>
      <c r="J1" s="1419"/>
      <c r="K1" s="1419"/>
      <c r="L1" s="1419"/>
    </row>
    <row r="2" spans="1:20" x14ac:dyDescent="0.25">
      <c r="A2" s="1418" t="s">
        <v>2061</v>
      </c>
      <c r="B2" s="1418"/>
      <c r="C2" s="1419" t="s">
        <v>2062</v>
      </c>
      <c r="D2" s="1419"/>
      <c r="E2" s="1419"/>
      <c r="F2" s="1419"/>
      <c r="G2" s="1419"/>
      <c r="H2" s="1419"/>
      <c r="I2" s="1419"/>
      <c r="J2" s="1419"/>
      <c r="K2" s="1419"/>
      <c r="L2" s="1419"/>
    </row>
    <row r="3" spans="1:20" x14ac:dyDescent="0.25">
      <c r="A3" s="1418" t="s">
        <v>2063</v>
      </c>
      <c r="B3" s="1418"/>
      <c r="C3" s="1419" t="s">
        <v>2064</v>
      </c>
      <c r="D3" s="1419"/>
      <c r="E3" s="1419"/>
      <c r="F3" s="1419"/>
      <c r="G3" s="1419"/>
      <c r="H3" s="1419"/>
      <c r="I3" s="1419"/>
      <c r="J3" s="1419"/>
      <c r="K3" s="1419"/>
      <c r="L3" s="1419"/>
    </row>
    <row r="4" spans="1:20" x14ac:dyDescent="0.25">
      <c r="A4" s="1418" t="s">
        <v>2065</v>
      </c>
      <c r="B4" s="1418"/>
      <c r="C4" s="1420" t="s">
        <v>2066</v>
      </c>
      <c r="D4" s="1420"/>
      <c r="E4" s="1420"/>
      <c r="F4" s="1420"/>
      <c r="G4" s="1420"/>
      <c r="H4" s="1420"/>
      <c r="I4" s="1420"/>
      <c r="J4" s="1420"/>
      <c r="K4" s="1420"/>
      <c r="L4" s="1420"/>
    </row>
    <row r="5" spans="1:20" x14ac:dyDescent="0.25">
      <c r="A5" s="1418" t="s">
        <v>2067</v>
      </c>
      <c r="B5" s="1418"/>
      <c r="C5" s="1419" t="s">
        <v>2068</v>
      </c>
      <c r="D5" s="1419"/>
      <c r="E5" s="1419"/>
      <c r="F5" s="1419"/>
      <c r="G5" s="1419"/>
      <c r="H5" s="1419"/>
      <c r="I5" s="1419"/>
      <c r="J5" s="1419"/>
      <c r="K5" s="1419"/>
      <c r="L5" s="1419"/>
    </row>
    <row r="6" spans="1:20" x14ac:dyDescent="0.25">
      <c r="D6" s="1032"/>
      <c r="E6" s="1032"/>
      <c r="F6" s="1032"/>
      <c r="K6" s="1032"/>
      <c r="L6" s="1031" t="s">
        <v>2226</v>
      </c>
    </row>
    <row r="7" spans="1:20" ht="20.25" x14ac:dyDescent="0.3">
      <c r="A7" s="1421"/>
      <c r="B7" s="1421"/>
      <c r="C7" s="1421"/>
      <c r="D7" s="1421"/>
      <c r="E7" s="1421"/>
      <c r="F7" s="1421"/>
      <c r="G7" s="1421"/>
      <c r="H7" s="1421"/>
      <c r="I7" s="1421"/>
      <c r="J7" s="1421"/>
      <c r="K7" s="1421"/>
      <c r="L7" s="1421"/>
    </row>
    <row r="8" spans="1:20" ht="31.5" x14ac:dyDescent="0.25">
      <c r="A8" s="1429"/>
      <c r="B8" s="1130" t="s">
        <v>2069</v>
      </c>
      <c r="C8" s="1422" t="s">
        <v>2070</v>
      </c>
      <c r="D8" s="1422"/>
      <c r="E8" s="1422"/>
      <c r="F8" s="1422"/>
      <c r="G8" s="1422"/>
      <c r="H8" s="1130" t="s">
        <v>2071</v>
      </c>
      <c r="I8" s="1130" t="s">
        <v>2072</v>
      </c>
      <c r="J8" s="1130" t="s">
        <v>2072</v>
      </c>
      <c r="K8" s="1130" t="s">
        <v>2073</v>
      </c>
      <c r="L8" s="1430" t="s">
        <v>2074</v>
      </c>
      <c r="M8" s="1422" t="s">
        <v>2075</v>
      </c>
      <c r="N8" s="1422" t="s">
        <v>2076</v>
      </c>
    </row>
    <row r="9" spans="1:20" ht="31.5" x14ac:dyDescent="0.25">
      <c r="A9" s="1429"/>
      <c r="B9" s="1130" t="s">
        <v>2077</v>
      </c>
      <c r="C9" s="1130" t="s">
        <v>2078</v>
      </c>
      <c r="D9" s="1130" t="s">
        <v>2079</v>
      </c>
      <c r="E9" s="1130" t="s">
        <v>2080</v>
      </c>
      <c r="F9" s="1130" t="s">
        <v>2081</v>
      </c>
      <c r="G9" s="1130" t="s">
        <v>2082</v>
      </c>
      <c r="H9" s="1033" t="s">
        <v>2083</v>
      </c>
      <c r="I9" s="1033">
        <v>2018</v>
      </c>
      <c r="J9" s="1033">
        <v>2021</v>
      </c>
      <c r="K9" s="1130" t="s">
        <v>2084</v>
      </c>
      <c r="L9" s="1430"/>
      <c r="M9" s="1422"/>
      <c r="N9" s="1422"/>
    </row>
    <row r="10" spans="1:20" ht="133.5" customHeight="1" x14ac:dyDescent="0.25">
      <c r="A10" s="1034" t="s">
        <v>2085</v>
      </c>
      <c r="B10" s="1035" t="s">
        <v>2086</v>
      </c>
      <c r="C10" s="1035" t="s">
        <v>2087</v>
      </c>
      <c r="D10" s="1035" t="s">
        <v>2088</v>
      </c>
      <c r="E10" s="1035" t="s">
        <v>2089</v>
      </c>
      <c r="F10" s="1035" t="s">
        <v>2090</v>
      </c>
      <c r="G10" s="1035" t="s">
        <v>2091</v>
      </c>
      <c r="H10" s="1036">
        <v>4116</v>
      </c>
      <c r="I10" s="1036">
        <v>62.7</v>
      </c>
      <c r="J10" s="1036">
        <v>3400</v>
      </c>
      <c r="K10" s="1037" t="s">
        <v>2092</v>
      </c>
      <c r="L10" s="1038" t="s">
        <v>2093</v>
      </c>
      <c r="M10" s="1039">
        <v>828</v>
      </c>
      <c r="N10" s="1040">
        <f>M10/J10</f>
        <v>0.24352941176470588</v>
      </c>
    </row>
    <row r="11" spans="1:20" ht="151.5" customHeight="1" x14ac:dyDescent="0.25">
      <c r="A11" s="1041" t="s">
        <v>2094</v>
      </c>
      <c r="B11" s="1035" t="s">
        <v>2095</v>
      </c>
      <c r="C11" s="1035" t="s">
        <v>2096</v>
      </c>
      <c r="D11" s="1035" t="s">
        <v>2097</v>
      </c>
      <c r="E11" s="1035" t="s">
        <v>2089</v>
      </c>
      <c r="F11" s="1035" t="s">
        <v>2090</v>
      </c>
      <c r="G11" s="1035" t="s">
        <v>2091</v>
      </c>
      <c r="H11" s="1042" t="s">
        <v>2098</v>
      </c>
      <c r="I11" s="1043" t="s">
        <v>2099</v>
      </c>
      <c r="J11" s="1043" t="s">
        <v>2100</v>
      </c>
      <c r="K11" s="1037" t="s">
        <v>2092</v>
      </c>
      <c r="L11" s="1038" t="s">
        <v>2093</v>
      </c>
      <c r="M11" s="1044">
        <v>828</v>
      </c>
      <c r="N11" s="1040">
        <v>0.42</v>
      </c>
      <c r="Q11" s="1045"/>
      <c r="T11" s="1030"/>
    </row>
    <row r="12" spans="1:20" ht="84.75" customHeight="1" x14ac:dyDescent="0.25">
      <c r="A12" s="1423" t="s">
        <v>2101</v>
      </c>
      <c r="B12" s="1035" t="s">
        <v>2102</v>
      </c>
      <c r="C12" s="1035" t="s">
        <v>2103</v>
      </c>
      <c r="D12" s="1035" t="s">
        <v>2104</v>
      </c>
      <c r="E12" s="1035" t="s">
        <v>2089</v>
      </c>
      <c r="F12" s="1035" t="s">
        <v>2090</v>
      </c>
      <c r="G12" s="1035" t="s">
        <v>2091</v>
      </c>
      <c r="H12" s="1046" t="s">
        <v>2105</v>
      </c>
      <c r="I12" s="1047" t="s">
        <v>2106</v>
      </c>
      <c r="J12" s="1047" t="s">
        <v>2107</v>
      </c>
      <c r="K12" s="1037" t="s">
        <v>2092</v>
      </c>
      <c r="L12" s="1038" t="s">
        <v>2093</v>
      </c>
      <c r="M12" s="1044">
        <v>423</v>
      </c>
      <c r="N12" s="1040">
        <f>M12/1720</f>
        <v>0.24593023255813953</v>
      </c>
      <c r="Q12" s="1045"/>
      <c r="S12" s="1048"/>
    </row>
    <row r="13" spans="1:20" ht="108.75" customHeight="1" x14ac:dyDescent="0.25">
      <c r="A13" s="1424"/>
      <c r="B13" s="1035" t="s">
        <v>2108</v>
      </c>
      <c r="C13" s="1035" t="s">
        <v>2109</v>
      </c>
      <c r="D13" s="1035" t="s">
        <v>2110</v>
      </c>
      <c r="E13" s="1035" t="s">
        <v>2089</v>
      </c>
      <c r="F13" s="1035" t="s">
        <v>2090</v>
      </c>
      <c r="G13" s="1035" t="s">
        <v>2091</v>
      </c>
      <c r="H13" s="1046" t="s">
        <v>2105</v>
      </c>
      <c r="I13" s="1047" t="s">
        <v>2111</v>
      </c>
      <c r="J13" s="1047" t="s">
        <v>2112</v>
      </c>
      <c r="K13" s="1037" t="s">
        <v>2092</v>
      </c>
      <c r="L13" s="1038" t="s">
        <v>2093</v>
      </c>
      <c r="M13" s="1044">
        <v>406</v>
      </c>
      <c r="N13" s="1040">
        <f>M13/1680</f>
        <v>0.24166666666666667</v>
      </c>
      <c r="O13" s="1045"/>
      <c r="R13" s="1030"/>
    </row>
    <row r="14" spans="1:20" ht="63" customHeight="1" x14ac:dyDescent="0.25">
      <c r="A14" s="1423" t="s">
        <v>2113</v>
      </c>
      <c r="B14" s="1035" t="s">
        <v>2114</v>
      </c>
      <c r="C14" s="1035" t="s">
        <v>2115</v>
      </c>
      <c r="D14" s="1035" t="s">
        <v>2116</v>
      </c>
      <c r="E14" s="1035" t="s">
        <v>2117</v>
      </c>
      <c r="F14" s="1035" t="s">
        <v>2090</v>
      </c>
      <c r="G14" s="1035" t="s">
        <v>2091</v>
      </c>
      <c r="H14" s="1047">
        <v>0.4</v>
      </c>
      <c r="I14" s="1035">
        <v>4</v>
      </c>
      <c r="J14" s="1035">
        <v>688</v>
      </c>
      <c r="K14" s="1037" t="s">
        <v>2092</v>
      </c>
      <c r="L14" s="1426" t="s">
        <v>2093</v>
      </c>
      <c r="M14" s="1039">
        <v>178</v>
      </c>
      <c r="N14" s="1040">
        <f>M14/J14</f>
        <v>0.25872093023255816</v>
      </c>
      <c r="O14" s="1049"/>
      <c r="S14" s="1030"/>
    </row>
    <row r="15" spans="1:20" s="1051" customFormat="1" ht="57" x14ac:dyDescent="0.25">
      <c r="A15" s="1425"/>
      <c r="B15" s="1035" t="s">
        <v>2118</v>
      </c>
      <c r="C15" s="1035" t="s">
        <v>2119</v>
      </c>
      <c r="D15" s="1035" t="s">
        <v>2120</v>
      </c>
      <c r="E15" s="1035" t="s">
        <v>2117</v>
      </c>
      <c r="F15" s="1035" t="s">
        <v>2090</v>
      </c>
      <c r="G15" s="1035" t="s">
        <v>2091</v>
      </c>
      <c r="H15" s="1047">
        <v>0.4</v>
      </c>
      <c r="I15" s="1046">
        <v>100000</v>
      </c>
      <c r="J15" s="1046">
        <v>688</v>
      </c>
      <c r="K15" s="1037" t="s">
        <v>2092</v>
      </c>
      <c r="L15" s="1427"/>
      <c r="M15" s="1044">
        <v>178</v>
      </c>
      <c r="N15" s="1040">
        <f>M15/J15</f>
        <v>0.25872093023255816</v>
      </c>
      <c r="O15" s="1050"/>
      <c r="Q15" s="1052"/>
      <c r="R15" s="1052"/>
    </row>
    <row r="16" spans="1:20" s="1051" customFormat="1" ht="69" customHeight="1" x14ac:dyDescent="0.25">
      <c r="A16" s="1425"/>
      <c r="B16" s="1035" t="s">
        <v>2121</v>
      </c>
      <c r="C16" s="1035" t="s">
        <v>2122</v>
      </c>
      <c r="D16" s="1035" t="s">
        <v>2123</v>
      </c>
      <c r="E16" s="1035" t="s">
        <v>2117</v>
      </c>
      <c r="F16" s="1035" t="s">
        <v>2090</v>
      </c>
      <c r="G16" s="1035" t="s">
        <v>2091</v>
      </c>
      <c r="H16" s="1047">
        <v>0.2</v>
      </c>
      <c r="I16" s="1046">
        <v>8000</v>
      </c>
      <c r="J16" s="1046">
        <v>344</v>
      </c>
      <c r="K16" s="1037" t="s">
        <v>2092</v>
      </c>
      <c r="L16" s="1427"/>
      <c r="M16" s="1044">
        <v>89</v>
      </c>
      <c r="N16" s="1040">
        <f t="shared" ref="N16" si="0">M16/J16</f>
        <v>0.25872093023255816</v>
      </c>
      <c r="O16" s="1053"/>
      <c r="P16" s="1052"/>
      <c r="Q16" s="1052"/>
    </row>
    <row r="17" spans="1:18" ht="81.75" customHeight="1" x14ac:dyDescent="0.25">
      <c r="A17" s="1425"/>
      <c r="B17" s="1035" t="s">
        <v>2124</v>
      </c>
      <c r="C17" s="1035" t="s">
        <v>2125</v>
      </c>
      <c r="D17" s="1035" t="s">
        <v>2126</v>
      </c>
      <c r="E17" s="1035" t="s">
        <v>2117</v>
      </c>
      <c r="F17" s="1035" t="s">
        <v>2090</v>
      </c>
      <c r="G17" s="1035" t="s">
        <v>2091</v>
      </c>
      <c r="H17" s="1047">
        <v>0.4</v>
      </c>
      <c r="I17" s="1046">
        <v>61300</v>
      </c>
      <c r="J17" s="1046">
        <v>672</v>
      </c>
      <c r="K17" s="1037" t="s">
        <v>2092</v>
      </c>
      <c r="L17" s="1427"/>
      <c r="M17" s="1044">
        <v>153</v>
      </c>
      <c r="N17" s="1040">
        <f>M17/J17</f>
        <v>0.22767857142857142</v>
      </c>
      <c r="O17" s="1054"/>
      <c r="Q17" s="1054"/>
    </row>
    <row r="18" spans="1:18" ht="97.5" customHeight="1" x14ac:dyDescent="0.25">
      <c r="A18" s="1425"/>
      <c r="B18" s="1035" t="s">
        <v>2127</v>
      </c>
      <c r="C18" s="1035" t="s">
        <v>2128</v>
      </c>
      <c r="D18" s="1035" t="s">
        <v>2129</v>
      </c>
      <c r="E18" s="1035" t="s">
        <v>2117</v>
      </c>
      <c r="F18" s="1035" t="s">
        <v>2090</v>
      </c>
      <c r="G18" s="1035" t="s">
        <v>2091</v>
      </c>
      <c r="H18" s="1047">
        <v>0.4</v>
      </c>
      <c r="I18" s="1035">
        <v>40</v>
      </c>
      <c r="J18" s="1035">
        <v>672</v>
      </c>
      <c r="K18" s="1037" t="s">
        <v>2092</v>
      </c>
      <c r="L18" s="1427"/>
      <c r="M18" s="1039">
        <v>153</v>
      </c>
      <c r="N18" s="1040">
        <f t="shared" ref="N18" si="1">M18/J18</f>
        <v>0.22767857142857142</v>
      </c>
      <c r="O18" s="1054"/>
      <c r="P18" s="1055"/>
      <c r="Q18" s="1055"/>
      <c r="R18" s="1045"/>
    </row>
    <row r="19" spans="1:18" ht="80.25" customHeight="1" x14ac:dyDescent="0.25">
      <c r="A19" s="1424"/>
      <c r="B19" s="1035" t="s">
        <v>2130</v>
      </c>
      <c r="C19" s="1035" t="s">
        <v>2131</v>
      </c>
      <c r="D19" s="1035" t="s">
        <v>2132</v>
      </c>
      <c r="E19" s="1035" t="s">
        <v>2117</v>
      </c>
      <c r="F19" s="1035" t="s">
        <v>2090</v>
      </c>
      <c r="G19" s="1035" t="s">
        <v>2091</v>
      </c>
      <c r="H19" s="1047">
        <v>0.2</v>
      </c>
      <c r="I19" s="1035">
        <v>160</v>
      </c>
      <c r="J19" s="1035">
        <v>336</v>
      </c>
      <c r="K19" s="1037" t="s">
        <v>2092</v>
      </c>
      <c r="L19" s="1428"/>
      <c r="M19" s="1039">
        <v>77</v>
      </c>
      <c r="N19" s="1040">
        <f>M19/J19</f>
        <v>0.22916666666666666</v>
      </c>
      <c r="O19" s="1054"/>
      <c r="P19" s="1045"/>
    </row>
    <row r="20" spans="1:18" ht="57" customHeight="1" x14ac:dyDescent="0.25">
      <c r="M20" s="1055"/>
      <c r="P20" s="1054"/>
    </row>
    <row r="21" spans="1:18" x14ac:dyDescent="0.25">
      <c r="M21" s="1055"/>
      <c r="P21" s="1054"/>
    </row>
    <row r="22" spans="1:18" ht="18.75" customHeight="1" x14ac:dyDescent="0.25">
      <c r="P22" s="1054"/>
    </row>
    <row r="23" spans="1:18" ht="23.25" customHeight="1" x14ac:dyDescent="0.25">
      <c r="P23" s="1054"/>
    </row>
    <row r="24" spans="1:18" x14ac:dyDescent="0.25">
      <c r="P24" s="1054"/>
    </row>
    <row r="25" spans="1:18" x14ac:dyDescent="0.25">
      <c r="P25" s="1054"/>
    </row>
    <row r="26" spans="1:18" ht="66.75" customHeight="1" x14ac:dyDescent="0.25">
      <c r="P26" s="1054"/>
    </row>
    <row r="27" spans="1:18" ht="54.75" customHeight="1" x14ac:dyDescent="0.25">
      <c r="B27" s="1129" t="s">
        <v>2208</v>
      </c>
      <c r="E27" s="1406" t="s">
        <v>2160</v>
      </c>
      <c r="F27" s="1407"/>
      <c r="G27" s="1407"/>
      <c r="H27" s="1407"/>
      <c r="P27" s="1054"/>
    </row>
    <row r="28" spans="1:18" x14ac:dyDescent="0.25">
      <c r="B28" s="1129" t="s">
        <v>2210</v>
      </c>
      <c r="E28" s="1406" t="s">
        <v>1268</v>
      </c>
      <c r="F28" s="1407"/>
      <c r="G28" s="1407"/>
      <c r="H28" s="1407"/>
      <c r="P28" s="1054"/>
    </row>
    <row r="29" spans="1:18" x14ac:dyDescent="0.25">
      <c r="E29" s="1056"/>
      <c r="F29" s="1056"/>
      <c r="G29" s="1056"/>
      <c r="H29" s="1056"/>
      <c r="P29" s="1054"/>
    </row>
    <row r="30" spans="1:18" x14ac:dyDescent="0.25">
      <c r="P30" s="1054"/>
    </row>
    <row r="31" spans="1:18" x14ac:dyDescent="0.25">
      <c r="P31" s="1054"/>
    </row>
    <row r="32" spans="1:18" x14ac:dyDescent="0.25">
      <c r="P32" s="1054"/>
    </row>
    <row r="33" spans="1:16" x14ac:dyDescent="0.25">
      <c r="P33" s="1054"/>
    </row>
    <row r="34" spans="1:16" x14ac:dyDescent="0.25">
      <c r="P34" s="1054"/>
    </row>
    <row r="39" spans="1:16" ht="15" x14ac:dyDescent="0.25">
      <c r="A39" s="1408" t="s">
        <v>2161</v>
      </c>
      <c r="B39" s="1409"/>
      <c r="C39" s="1409"/>
      <c r="D39" s="1409"/>
      <c r="E39" s="1409"/>
      <c r="F39" s="1409"/>
      <c r="G39" s="1409"/>
      <c r="H39" s="1409"/>
      <c r="I39" s="1409"/>
      <c r="J39" s="1409"/>
      <c r="K39" s="1409"/>
      <c r="L39" s="1409"/>
      <c r="M39" s="1409"/>
      <c r="N39" s="1409"/>
      <c r="O39" s="1410"/>
    </row>
    <row r="40" spans="1:16" ht="15" x14ac:dyDescent="0.25">
      <c r="A40" s="1444" t="s">
        <v>2227</v>
      </c>
      <c r="B40" s="1445"/>
      <c r="C40" s="1445"/>
      <c r="D40" s="1445"/>
      <c r="E40" s="1445"/>
      <c r="F40" s="1445"/>
      <c r="G40" s="1445"/>
      <c r="H40" s="1445"/>
      <c r="I40" s="1445"/>
      <c r="J40" s="1445"/>
      <c r="K40" s="1445"/>
      <c r="L40" s="1445"/>
      <c r="M40" s="1445"/>
      <c r="N40" s="1445"/>
      <c r="O40" s="1446"/>
    </row>
    <row r="41" spans="1:16" ht="15" x14ac:dyDescent="0.25">
      <c r="A41" s="1412" t="s">
        <v>2085</v>
      </c>
      <c r="B41" s="1413"/>
      <c r="C41" s="1413"/>
      <c r="D41" s="1413"/>
      <c r="E41" s="1413"/>
      <c r="F41" s="1413"/>
      <c r="G41" s="1413"/>
      <c r="H41" s="1413"/>
      <c r="I41" s="1413"/>
      <c r="J41" s="1413"/>
      <c r="K41" s="1413"/>
      <c r="L41" s="1413"/>
      <c r="M41" s="1413"/>
      <c r="N41" s="1413"/>
      <c r="O41" s="1414"/>
    </row>
    <row r="42" spans="1:16" ht="15" x14ac:dyDescent="0.25">
      <c r="A42" s="1447" t="s">
        <v>2162</v>
      </c>
      <c r="B42" s="1448"/>
      <c r="C42" s="1448"/>
      <c r="D42" s="1448"/>
      <c r="E42" s="1448"/>
      <c r="F42" s="1448"/>
      <c r="G42" s="1448"/>
      <c r="H42" s="1448"/>
      <c r="I42" s="1448"/>
      <c r="J42" s="1448"/>
      <c r="K42" s="1448"/>
      <c r="L42" s="1448"/>
      <c r="M42" s="1448"/>
      <c r="N42" s="1058" t="s">
        <v>2163</v>
      </c>
      <c r="O42" s="1059" t="s">
        <v>2164</v>
      </c>
    </row>
    <row r="43" spans="1:16" ht="15" x14ac:dyDescent="0.25">
      <c r="A43" s="1449" t="s">
        <v>2165</v>
      </c>
      <c r="B43" s="1060"/>
      <c r="C43" s="1061"/>
      <c r="D43" s="1062"/>
      <c r="E43" s="1433" t="s">
        <v>2166</v>
      </c>
      <c r="F43" s="1062"/>
      <c r="G43" s="1063"/>
      <c r="H43" s="1062"/>
      <c r="I43" s="1433" t="s">
        <v>2167</v>
      </c>
      <c r="J43" s="1062"/>
      <c r="K43" s="1061"/>
      <c r="L43" s="1062"/>
      <c r="M43" s="1434" t="s">
        <v>2168</v>
      </c>
      <c r="N43" s="1436">
        <v>1</v>
      </c>
      <c r="O43" s="1439">
        <v>1</v>
      </c>
    </row>
    <row r="44" spans="1:16" ht="15" x14ac:dyDescent="0.25">
      <c r="A44" s="1449"/>
      <c r="B44" s="1064"/>
      <c r="C44" s="1065" t="s">
        <v>2169</v>
      </c>
      <c r="D44" s="1066"/>
      <c r="E44" s="1433"/>
      <c r="F44" s="1067"/>
      <c r="G44" s="1068"/>
      <c r="H44" s="1066"/>
      <c r="I44" s="1433"/>
      <c r="J44" s="1067"/>
      <c r="K44" s="1069"/>
      <c r="L44" s="1066"/>
      <c r="M44" s="1434"/>
      <c r="N44" s="1437"/>
      <c r="O44" s="1440">
        <v>0.83</v>
      </c>
    </row>
    <row r="45" spans="1:16" ht="15" x14ac:dyDescent="0.25">
      <c r="A45" s="1449"/>
      <c r="B45" s="1070"/>
      <c r="C45" s="1061"/>
      <c r="D45" s="1071"/>
      <c r="E45" s="1433"/>
      <c r="F45" s="1071"/>
      <c r="G45" s="1063"/>
      <c r="H45" s="1071"/>
      <c r="I45" s="1433"/>
      <c r="J45" s="1071"/>
      <c r="K45" s="1061"/>
      <c r="L45" s="1071"/>
      <c r="M45" s="1434"/>
      <c r="N45" s="1438"/>
      <c r="O45" s="1441"/>
    </row>
    <row r="46" spans="1:16" ht="15" x14ac:dyDescent="0.25">
      <c r="A46" s="1450" t="s">
        <v>2170</v>
      </c>
      <c r="B46" s="1451"/>
      <c r="C46" s="1451"/>
      <c r="D46" s="1451"/>
      <c r="E46" s="1451"/>
      <c r="F46" s="1451"/>
      <c r="G46" s="1451"/>
      <c r="H46" s="1451"/>
      <c r="I46" s="1451"/>
      <c r="J46" s="1451"/>
      <c r="K46" s="1451"/>
      <c r="L46" s="1451"/>
      <c r="M46" s="1451"/>
      <c r="N46" s="1451"/>
      <c r="O46" s="1452"/>
    </row>
    <row r="47" spans="1:16" ht="15" x14ac:dyDescent="0.25">
      <c r="A47" s="1453" t="s">
        <v>2171</v>
      </c>
      <c r="B47" s="1454"/>
      <c r="C47" s="1454"/>
      <c r="D47" s="1454"/>
      <c r="E47" s="1454"/>
      <c r="F47" s="1454"/>
      <c r="G47" s="1454"/>
      <c r="H47" s="1454"/>
      <c r="I47" s="1454"/>
      <c r="J47" s="1454"/>
      <c r="K47" s="1454"/>
      <c r="L47" s="1454"/>
      <c r="M47" s="1454"/>
      <c r="N47" s="1454"/>
      <c r="O47" s="1455"/>
    </row>
    <row r="48" spans="1:16" ht="15" x14ac:dyDescent="0.25">
      <c r="A48" s="1412" t="s">
        <v>2172</v>
      </c>
      <c r="B48" s="1413"/>
      <c r="C48" s="1413"/>
      <c r="D48" s="1413"/>
      <c r="E48" s="1413"/>
      <c r="F48" s="1413"/>
      <c r="G48" s="1413"/>
      <c r="H48" s="1413"/>
      <c r="I48" s="1413"/>
      <c r="J48" s="1413"/>
      <c r="K48" s="1413"/>
      <c r="L48" s="1413"/>
      <c r="M48" s="1413"/>
      <c r="N48" s="1413"/>
      <c r="O48" s="1414"/>
    </row>
    <row r="49" spans="1:15" ht="15" x14ac:dyDescent="0.25">
      <c r="A49" s="1415" t="s">
        <v>2173</v>
      </c>
      <c r="B49" s="1416"/>
      <c r="C49" s="1416"/>
      <c r="D49" s="1416"/>
      <c r="E49" s="1416"/>
      <c r="F49" s="1416"/>
      <c r="G49" s="1416"/>
      <c r="H49" s="1416"/>
      <c r="I49" s="1416"/>
      <c r="J49" s="1416"/>
      <c r="K49" s="1416"/>
      <c r="L49" s="1416"/>
      <c r="M49" s="1417"/>
      <c r="N49" s="1058" t="s">
        <v>2163</v>
      </c>
      <c r="O49" s="1059" t="s">
        <v>2164</v>
      </c>
    </row>
    <row r="50" spans="1:15" ht="15" x14ac:dyDescent="0.25">
      <c r="A50" s="1432" t="s">
        <v>2165</v>
      </c>
      <c r="B50" s="1060"/>
      <c r="C50" s="1061"/>
      <c r="D50" s="1062"/>
      <c r="E50" s="1433" t="s">
        <v>2166</v>
      </c>
      <c r="F50" s="1062"/>
      <c r="G50" s="1063"/>
      <c r="H50" s="1062"/>
      <c r="I50" s="1433" t="s">
        <v>2167</v>
      </c>
      <c r="J50" s="1062"/>
      <c r="K50" s="1061"/>
      <c r="L50" s="1062"/>
      <c r="M50" s="1434" t="s">
        <v>2168</v>
      </c>
      <c r="N50" s="1436">
        <v>1</v>
      </c>
      <c r="O50" s="1439">
        <v>1</v>
      </c>
    </row>
    <row r="51" spans="1:15" ht="15" x14ac:dyDescent="0.25">
      <c r="A51" s="1432"/>
      <c r="B51" s="1064"/>
      <c r="C51" s="1065" t="s">
        <v>2169</v>
      </c>
      <c r="D51" s="1066"/>
      <c r="E51" s="1433"/>
      <c r="F51" s="1067"/>
      <c r="G51" s="1068"/>
      <c r="H51" s="1066"/>
      <c r="I51" s="1433"/>
      <c r="J51" s="1067"/>
      <c r="K51" s="1072"/>
      <c r="L51" s="1066"/>
      <c r="M51" s="1434"/>
      <c r="N51" s="1437"/>
      <c r="O51" s="1440">
        <v>0.83</v>
      </c>
    </row>
    <row r="52" spans="1:15" ht="15" x14ac:dyDescent="0.25">
      <c r="A52" s="1432"/>
      <c r="B52" s="1070"/>
      <c r="C52" s="1061"/>
      <c r="D52" s="1071"/>
      <c r="E52" s="1433"/>
      <c r="F52" s="1071"/>
      <c r="G52" s="1063"/>
      <c r="H52" s="1071"/>
      <c r="I52" s="1433"/>
      <c r="J52" s="1071"/>
      <c r="K52" s="1061"/>
      <c r="L52" s="1071"/>
      <c r="M52" s="1434"/>
      <c r="N52" s="1438"/>
      <c r="O52" s="1441"/>
    </row>
    <row r="53" spans="1:15" ht="15" x14ac:dyDescent="0.25">
      <c r="A53" s="1073" t="s">
        <v>2174</v>
      </c>
      <c r="B53" s="1431"/>
      <c r="C53" s="1431"/>
      <c r="D53" s="1431"/>
      <c r="E53" s="1431"/>
      <c r="F53" s="1431"/>
      <c r="G53" s="1431"/>
      <c r="H53" s="1431"/>
      <c r="I53" s="1431"/>
      <c r="J53" s="1431"/>
      <c r="K53" s="1431"/>
      <c r="L53" s="1431"/>
      <c r="M53" s="1431"/>
      <c r="N53" s="1431"/>
      <c r="O53" s="1431"/>
    </row>
    <row r="54" spans="1:15" ht="15" x14ac:dyDescent="0.25">
      <c r="A54" s="1074" t="s">
        <v>2175</v>
      </c>
      <c r="B54" s="1431"/>
      <c r="C54" s="1431"/>
      <c r="D54" s="1431"/>
      <c r="E54" s="1431"/>
      <c r="F54" s="1431"/>
      <c r="G54" s="1431"/>
      <c r="H54" s="1431"/>
      <c r="I54" s="1431"/>
      <c r="J54" s="1431"/>
      <c r="K54" s="1431"/>
      <c r="L54" s="1431"/>
      <c r="M54" s="1431"/>
      <c r="N54" s="1431"/>
      <c r="O54" s="1431"/>
    </row>
    <row r="55" spans="1:15" ht="15" x14ac:dyDescent="0.25">
      <c r="A55" s="1074" t="s">
        <v>2176</v>
      </c>
      <c r="B55" s="1411" t="s">
        <v>2177</v>
      </c>
      <c r="C55" s="1411"/>
      <c r="D55" s="1411"/>
      <c r="E55" s="1411"/>
      <c r="F55" s="1411"/>
      <c r="G55" s="1411"/>
      <c r="H55" s="1411"/>
      <c r="I55" s="1411"/>
      <c r="J55" s="1411"/>
      <c r="K55" s="1411"/>
      <c r="L55" s="1411"/>
      <c r="M55" s="1411"/>
      <c r="N55" s="1411"/>
      <c r="O55" s="1411"/>
    </row>
    <row r="56" spans="1:15" ht="15" x14ac:dyDescent="0.25">
      <c r="A56" s="1057"/>
      <c r="B56" s="1057"/>
      <c r="C56" s="1057"/>
      <c r="D56" s="1057"/>
      <c r="E56" s="1057"/>
      <c r="F56" s="1057"/>
      <c r="G56" s="1075"/>
      <c r="H56" s="1057"/>
      <c r="I56" s="1057"/>
      <c r="J56" s="1057"/>
      <c r="K56" s="1057"/>
      <c r="L56" s="1057"/>
      <c r="M56" s="1057"/>
      <c r="N56" s="1057"/>
      <c r="O56" s="1057"/>
    </row>
    <row r="57" spans="1:15" ht="15" x14ac:dyDescent="0.25">
      <c r="A57" s="1412" t="s">
        <v>2178</v>
      </c>
      <c r="B57" s="1413"/>
      <c r="C57" s="1413"/>
      <c r="D57" s="1413"/>
      <c r="E57" s="1413"/>
      <c r="F57" s="1413"/>
      <c r="G57" s="1413"/>
      <c r="H57" s="1413"/>
      <c r="I57" s="1413"/>
      <c r="J57" s="1413"/>
      <c r="K57" s="1413"/>
      <c r="L57" s="1413"/>
      <c r="M57" s="1413"/>
      <c r="N57" s="1413"/>
      <c r="O57" s="1414"/>
    </row>
    <row r="58" spans="1:15" ht="15" x14ac:dyDescent="0.25">
      <c r="A58" s="1415" t="s">
        <v>2179</v>
      </c>
      <c r="B58" s="1416"/>
      <c r="C58" s="1416"/>
      <c r="D58" s="1416"/>
      <c r="E58" s="1416"/>
      <c r="F58" s="1416"/>
      <c r="G58" s="1416"/>
      <c r="H58" s="1416"/>
      <c r="I58" s="1416"/>
      <c r="J58" s="1416"/>
      <c r="K58" s="1416"/>
      <c r="L58" s="1416"/>
      <c r="M58" s="1417"/>
      <c r="N58" s="1058" t="s">
        <v>2163</v>
      </c>
      <c r="O58" s="1059" t="s">
        <v>2164</v>
      </c>
    </row>
    <row r="59" spans="1:15" ht="15" x14ac:dyDescent="0.25">
      <c r="A59" s="1432" t="s">
        <v>2165</v>
      </c>
      <c r="B59" s="1060"/>
      <c r="C59" s="1061"/>
      <c r="D59" s="1062"/>
      <c r="E59" s="1433" t="s">
        <v>2166</v>
      </c>
      <c r="F59" s="1062"/>
      <c r="G59" s="1063"/>
      <c r="H59" s="1062"/>
      <c r="I59" s="1433" t="s">
        <v>2167</v>
      </c>
      <c r="J59" s="1062"/>
      <c r="K59" s="1061"/>
      <c r="L59" s="1062"/>
      <c r="M59" s="1434" t="s">
        <v>2168</v>
      </c>
      <c r="N59" s="1436">
        <v>0.47</v>
      </c>
      <c r="O59" s="1439">
        <v>1</v>
      </c>
    </row>
    <row r="60" spans="1:15" ht="15" x14ac:dyDescent="0.25">
      <c r="A60" s="1432"/>
      <c r="B60" s="1064"/>
      <c r="C60" s="1076" t="s">
        <v>2180</v>
      </c>
      <c r="D60" s="1066"/>
      <c r="E60" s="1433"/>
      <c r="F60" s="1067"/>
      <c r="G60" s="1068"/>
      <c r="H60" s="1066"/>
      <c r="I60" s="1433"/>
      <c r="J60" s="1067"/>
      <c r="K60" s="1077"/>
      <c r="L60" s="1066"/>
      <c r="M60" s="1434"/>
      <c r="N60" s="1437"/>
      <c r="O60" s="1440">
        <v>0.83</v>
      </c>
    </row>
    <row r="61" spans="1:15" ht="15" x14ac:dyDescent="0.25">
      <c r="A61" s="1432"/>
      <c r="B61" s="1070"/>
      <c r="C61" s="1061"/>
      <c r="D61" s="1071"/>
      <c r="E61" s="1433"/>
      <c r="F61" s="1071"/>
      <c r="G61" s="1063"/>
      <c r="H61" s="1071"/>
      <c r="I61" s="1433"/>
      <c r="J61" s="1071"/>
      <c r="K61" s="1061"/>
      <c r="L61" s="1071"/>
      <c r="M61" s="1434"/>
      <c r="N61" s="1438"/>
      <c r="O61" s="1441"/>
    </row>
    <row r="62" spans="1:15" ht="15" x14ac:dyDescent="0.25">
      <c r="A62" s="1078" t="s">
        <v>2174</v>
      </c>
      <c r="B62" s="1411" t="s">
        <v>2181</v>
      </c>
      <c r="C62" s="1411"/>
      <c r="D62" s="1411"/>
      <c r="E62" s="1411"/>
      <c r="F62" s="1411"/>
      <c r="G62" s="1411"/>
      <c r="H62" s="1411"/>
      <c r="I62" s="1411"/>
      <c r="J62" s="1411"/>
      <c r="K62" s="1411"/>
      <c r="L62" s="1411"/>
      <c r="M62" s="1411"/>
      <c r="N62" s="1411"/>
      <c r="O62" s="1411"/>
    </row>
    <row r="63" spans="1:15" ht="15" x14ac:dyDescent="0.25">
      <c r="A63" s="1079" t="s">
        <v>2175</v>
      </c>
      <c r="B63" s="1411"/>
      <c r="C63" s="1411"/>
      <c r="D63" s="1411"/>
      <c r="E63" s="1411"/>
      <c r="F63" s="1411"/>
      <c r="G63" s="1411"/>
      <c r="H63" s="1411"/>
      <c r="I63" s="1411"/>
      <c r="J63" s="1411"/>
      <c r="K63" s="1411"/>
      <c r="L63" s="1411"/>
      <c r="M63" s="1411"/>
      <c r="N63" s="1411"/>
      <c r="O63" s="1411"/>
    </row>
    <row r="64" spans="1:15" ht="24" x14ac:dyDescent="0.25">
      <c r="A64" s="1079" t="s">
        <v>2182</v>
      </c>
      <c r="B64" s="1443" t="s">
        <v>2183</v>
      </c>
      <c r="C64" s="1443"/>
      <c r="D64" s="1443"/>
      <c r="E64" s="1443"/>
      <c r="F64" s="1443"/>
      <c r="G64" s="1443"/>
      <c r="H64" s="1443"/>
      <c r="I64" s="1443"/>
      <c r="J64" s="1443"/>
      <c r="K64" s="1443"/>
      <c r="L64" s="1443"/>
      <c r="M64" s="1443"/>
      <c r="N64" s="1443"/>
      <c r="O64" s="1443"/>
    </row>
    <row r="65" spans="1:15" ht="15" x14ac:dyDescent="0.25">
      <c r="A65" s="1057"/>
      <c r="B65" s="1057"/>
      <c r="C65" s="1057"/>
      <c r="D65" s="1057"/>
      <c r="E65" s="1057"/>
      <c r="F65" s="1057"/>
      <c r="G65" s="1075"/>
      <c r="H65" s="1057"/>
      <c r="I65" s="1057"/>
      <c r="J65" s="1057"/>
      <c r="K65" s="1057"/>
      <c r="L65" s="1057"/>
      <c r="M65" s="1057"/>
      <c r="N65" s="1057"/>
      <c r="O65" s="1057"/>
    </row>
    <row r="66" spans="1:15" ht="15" x14ac:dyDescent="0.25">
      <c r="A66" s="1412" t="s">
        <v>2184</v>
      </c>
      <c r="B66" s="1413"/>
      <c r="C66" s="1413"/>
      <c r="D66" s="1413"/>
      <c r="E66" s="1413"/>
      <c r="F66" s="1413"/>
      <c r="G66" s="1413"/>
      <c r="H66" s="1413"/>
      <c r="I66" s="1413"/>
      <c r="J66" s="1413"/>
      <c r="K66" s="1413"/>
      <c r="L66" s="1413"/>
      <c r="M66" s="1413"/>
      <c r="N66" s="1413"/>
      <c r="O66" s="1414"/>
    </row>
    <row r="67" spans="1:15" ht="15" x14ac:dyDescent="0.25">
      <c r="A67" s="1415" t="s">
        <v>2185</v>
      </c>
      <c r="B67" s="1416"/>
      <c r="C67" s="1416"/>
      <c r="D67" s="1416"/>
      <c r="E67" s="1416"/>
      <c r="F67" s="1416"/>
      <c r="G67" s="1416"/>
      <c r="H67" s="1416"/>
      <c r="I67" s="1416"/>
      <c r="J67" s="1416"/>
      <c r="K67" s="1416"/>
      <c r="L67" s="1416"/>
      <c r="M67" s="1417"/>
      <c r="N67" s="1058" t="s">
        <v>2163</v>
      </c>
      <c r="O67" s="1059" t="s">
        <v>2164</v>
      </c>
    </row>
    <row r="68" spans="1:15" ht="15" x14ac:dyDescent="0.25">
      <c r="A68" s="1432" t="s">
        <v>2165</v>
      </c>
      <c r="B68" s="1060"/>
      <c r="C68" s="1061"/>
      <c r="D68" s="1062"/>
      <c r="E68" s="1433" t="s">
        <v>2166</v>
      </c>
      <c r="F68" s="1062"/>
      <c r="G68" s="1063"/>
      <c r="H68" s="1062"/>
      <c r="I68" s="1433" t="s">
        <v>2167</v>
      </c>
      <c r="J68" s="1062"/>
      <c r="K68" s="1061"/>
      <c r="L68" s="1062"/>
      <c r="M68" s="1434" t="s">
        <v>2168</v>
      </c>
      <c r="N68" s="1435">
        <v>688</v>
      </c>
      <c r="O68" s="1435">
        <v>178</v>
      </c>
    </row>
    <row r="69" spans="1:15" ht="15" x14ac:dyDescent="0.25">
      <c r="A69" s="1432"/>
      <c r="B69" s="1064"/>
      <c r="C69" s="1080" t="s">
        <v>2180</v>
      </c>
      <c r="D69" s="1066"/>
      <c r="E69" s="1433"/>
      <c r="F69" s="1067"/>
      <c r="G69" s="1068"/>
      <c r="H69" s="1066"/>
      <c r="I69" s="1433"/>
      <c r="J69" s="1067"/>
      <c r="K69" s="1077"/>
      <c r="L69" s="1066"/>
      <c r="M69" s="1434"/>
      <c r="N69" s="1435"/>
      <c r="O69" s="1435"/>
    </row>
    <row r="70" spans="1:15" ht="15" x14ac:dyDescent="0.25">
      <c r="A70" s="1432"/>
      <c r="B70" s="1070"/>
      <c r="C70" s="1061"/>
      <c r="D70" s="1071"/>
      <c r="E70" s="1433"/>
      <c r="F70" s="1071"/>
      <c r="G70" s="1063"/>
      <c r="H70" s="1071"/>
      <c r="I70" s="1433"/>
      <c r="J70" s="1071"/>
      <c r="K70" s="1061"/>
      <c r="L70" s="1071"/>
      <c r="M70" s="1434"/>
      <c r="N70" s="1435"/>
      <c r="O70" s="1435"/>
    </row>
    <row r="71" spans="1:15" ht="15" x14ac:dyDescent="0.25">
      <c r="A71" s="1078" t="s">
        <v>2174</v>
      </c>
      <c r="B71" s="1431"/>
      <c r="C71" s="1431"/>
      <c r="D71" s="1431"/>
      <c r="E71" s="1431"/>
      <c r="F71" s="1431"/>
      <c r="G71" s="1431"/>
      <c r="H71" s="1431"/>
      <c r="I71" s="1431"/>
      <c r="J71" s="1431"/>
      <c r="K71" s="1431"/>
      <c r="L71" s="1431"/>
      <c r="M71" s="1431"/>
      <c r="N71" s="1431"/>
      <c r="O71" s="1431"/>
    </row>
    <row r="72" spans="1:15" ht="15" x14ac:dyDescent="0.25">
      <c r="A72" s="1079" t="s">
        <v>2175</v>
      </c>
      <c r="B72" s="1431"/>
      <c r="C72" s="1431"/>
      <c r="D72" s="1431"/>
      <c r="E72" s="1431"/>
      <c r="F72" s="1431"/>
      <c r="G72" s="1431"/>
      <c r="H72" s="1431"/>
      <c r="I72" s="1431"/>
      <c r="J72" s="1431"/>
      <c r="K72" s="1431"/>
      <c r="L72" s="1431"/>
      <c r="M72" s="1431"/>
      <c r="N72" s="1431"/>
      <c r="O72" s="1431"/>
    </row>
    <row r="73" spans="1:15" ht="24" x14ac:dyDescent="0.25">
      <c r="A73" s="1079" t="s">
        <v>2186</v>
      </c>
      <c r="B73" s="1411" t="s">
        <v>2187</v>
      </c>
      <c r="C73" s="1411"/>
      <c r="D73" s="1411"/>
      <c r="E73" s="1411"/>
      <c r="F73" s="1411"/>
      <c r="G73" s="1411"/>
      <c r="H73" s="1411"/>
      <c r="I73" s="1411"/>
      <c r="J73" s="1411"/>
      <c r="K73" s="1411"/>
      <c r="L73" s="1411"/>
      <c r="M73" s="1411"/>
      <c r="N73" s="1411"/>
      <c r="O73" s="1411"/>
    </row>
    <row r="74" spans="1:15" ht="15" x14ac:dyDescent="0.25">
      <c r="A74" s="1081"/>
      <c r="B74" s="1082"/>
      <c r="C74" s="1082"/>
      <c r="D74" s="1082"/>
      <c r="E74" s="1082"/>
      <c r="F74" s="1082"/>
      <c r="G74" s="1082"/>
      <c r="H74" s="1082"/>
      <c r="I74" s="1082"/>
      <c r="J74" s="1082"/>
      <c r="K74" s="1082"/>
      <c r="L74" s="1082"/>
      <c r="M74" s="1082"/>
      <c r="N74" s="1082"/>
      <c r="O74" s="1082"/>
    </row>
    <row r="75" spans="1:15" ht="15" x14ac:dyDescent="0.25">
      <c r="A75" s="1412" t="s">
        <v>2188</v>
      </c>
      <c r="B75" s="1413"/>
      <c r="C75" s="1413"/>
      <c r="D75" s="1413"/>
      <c r="E75" s="1413"/>
      <c r="F75" s="1413"/>
      <c r="G75" s="1413"/>
      <c r="H75" s="1413"/>
      <c r="I75" s="1413"/>
      <c r="J75" s="1413"/>
      <c r="K75" s="1413"/>
      <c r="L75" s="1413"/>
      <c r="M75" s="1413"/>
      <c r="N75" s="1413"/>
      <c r="O75" s="1414"/>
    </row>
    <row r="76" spans="1:15" ht="15" x14ac:dyDescent="0.25">
      <c r="A76" s="1415" t="s">
        <v>2189</v>
      </c>
      <c r="B76" s="1416"/>
      <c r="C76" s="1416"/>
      <c r="D76" s="1416"/>
      <c r="E76" s="1416"/>
      <c r="F76" s="1416"/>
      <c r="G76" s="1416"/>
      <c r="H76" s="1416"/>
      <c r="I76" s="1416"/>
      <c r="J76" s="1416"/>
      <c r="K76" s="1416"/>
      <c r="L76" s="1416"/>
      <c r="M76" s="1417"/>
      <c r="N76" s="1058" t="s">
        <v>2163</v>
      </c>
      <c r="O76" s="1059" t="s">
        <v>2164</v>
      </c>
    </row>
    <row r="77" spans="1:15" ht="15" x14ac:dyDescent="0.25">
      <c r="A77" s="1432" t="s">
        <v>2165</v>
      </c>
      <c r="B77" s="1060"/>
      <c r="C77" s="1061"/>
      <c r="D77" s="1062"/>
      <c r="E77" s="1433" t="s">
        <v>2166</v>
      </c>
      <c r="F77" s="1062"/>
      <c r="G77" s="1063"/>
      <c r="H77" s="1062"/>
      <c r="I77" s="1433" t="s">
        <v>2167</v>
      </c>
      <c r="J77" s="1062"/>
      <c r="K77" s="1061"/>
      <c r="L77" s="1062"/>
      <c r="M77" s="1434" t="s">
        <v>2168</v>
      </c>
      <c r="N77" s="1435">
        <v>688</v>
      </c>
      <c r="O77" s="1435">
        <v>178</v>
      </c>
    </row>
    <row r="78" spans="1:15" ht="15" x14ac:dyDescent="0.25">
      <c r="A78" s="1432"/>
      <c r="B78" s="1064"/>
      <c r="C78" s="1080" t="s">
        <v>2180</v>
      </c>
      <c r="D78" s="1066"/>
      <c r="E78" s="1433"/>
      <c r="F78" s="1067"/>
      <c r="G78" s="1068"/>
      <c r="H78" s="1066"/>
      <c r="I78" s="1433"/>
      <c r="J78" s="1067"/>
      <c r="K78" s="1077"/>
      <c r="L78" s="1066"/>
      <c r="M78" s="1434"/>
      <c r="N78" s="1435"/>
      <c r="O78" s="1435"/>
    </row>
    <row r="79" spans="1:15" ht="15" x14ac:dyDescent="0.25">
      <c r="A79" s="1432"/>
      <c r="B79" s="1070"/>
      <c r="C79" s="1061"/>
      <c r="D79" s="1071"/>
      <c r="E79" s="1433"/>
      <c r="F79" s="1071"/>
      <c r="G79" s="1063"/>
      <c r="H79" s="1071"/>
      <c r="I79" s="1433"/>
      <c r="J79" s="1071"/>
      <c r="K79" s="1061"/>
      <c r="L79" s="1071"/>
      <c r="M79" s="1434"/>
      <c r="N79" s="1435"/>
      <c r="O79" s="1435"/>
    </row>
    <row r="80" spans="1:15" ht="15" x14ac:dyDescent="0.25">
      <c r="A80" s="1078" t="s">
        <v>2174</v>
      </c>
      <c r="B80" s="1431"/>
      <c r="C80" s="1431"/>
      <c r="D80" s="1431"/>
      <c r="E80" s="1431"/>
      <c r="F80" s="1431"/>
      <c r="G80" s="1431"/>
      <c r="H80" s="1431"/>
      <c r="I80" s="1431"/>
      <c r="J80" s="1431"/>
      <c r="K80" s="1431"/>
      <c r="L80" s="1431"/>
      <c r="M80" s="1431"/>
      <c r="N80" s="1431"/>
      <c r="O80" s="1431"/>
    </row>
    <row r="81" spans="1:15" ht="15" x14ac:dyDescent="0.25">
      <c r="A81" s="1079" t="s">
        <v>2175</v>
      </c>
      <c r="B81" s="1431"/>
      <c r="C81" s="1431"/>
      <c r="D81" s="1431"/>
      <c r="E81" s="1431"/>
      <c r="F81" s="1431"/>
      <c r="G81" s="1431"/>
      <c r="H81" s="1431"/>
      <c r="I81" s="1431"/>
      <c r="J81" s="1431"/>
      <c r="K81" s="1431"/>
      <c r="L81" s="1431"/>
      <c r="M81" s="1431"/>
      <c r="N81" s="1431"/>
      <c r="O81" s="1431"/>
    </row>
    <row r="82" spans="1:15" ht="24" x14ac:dyDescent="0.25">
      <c r="A82" s="1079" t="s">
        <v>2186</v>
      </c>
      <c r="B82" s="1411" t="s">
        <v>2187</v>
      </c>
      <c r="C82" s="1411"/>
      <c r="D82" s="1411"/>
      <c r="E82" s="1411"/>
      <c r="F82" s="1411"/>
      <c r="G82" s="1411"/>
      <c r="H82" s="1411"/>
      <c r="I82" s="1411"/>
      <c r="J82" s="1411"/>
      <c r="K82" s="1411"/>
      <c r="L82" s="1411"/>
      <c r="M82" s="1411"/>
      <c r="N82" s="1411"/>
      <c r="O82" s="1411"/>
    </row>
    <row r="83" spans="1:15" ht="15" x14ac:dyDescent="0.25">
      <c r="A83" s="1083"/>
      <c r="B83" s="1084"/>
      <c r="C83" s="1084"/>
      <c r="D83" s="1084"/>
      <c r="E83" s="1084"/>
      <c r="F83" s="1084"/>
      <c r="G83" s="1084"/>
      <c r="H83" s="1084"/>
      <c r="I83" s="1084"/>
      <c r="J83" s="1084"/>
      <c r="K83" s="1084"/>
      <c r="L83" s="1084"/>
      <c r="M83" s="1084"/>
      <c r="N83" s="1084"/>
      <c r="O83" s="1084"/>
    </row>
    <row r="84" spans="1:15" ht="15" x14ac:dyDescent="0.25">
      <c r="A84" s="1412" t="s">
        <v>2190</v>
      </c>
      <c r="B84" s="1413"/>
      <c r="C84" s="1413"/>
      <c r="D84" s="1413"/>
      <c r="E84" s="1413"/>
      <c r="F84" s="1413"/>
      <c r="G84" s="1413"/>
      <c r="H84" s="1413"/>
      <c r="I84" s="1413"/>
      <c r="J84" s="1413"/>
      <c r="K84" s="1413"/>
      <c r="L84" s="1413"/>
      <c r="M84" s="1413"/>
      <c r="N84" s="1413"/>
      <c r="O84" s="1414"/>
    </row>
    <row r="85" spans="1:15" ht="15" x14ac:dyDescent="0.25">
      <c r="A85" s="1415" t="s">
        <v>2191</v>
      </c>
      <c r="B85" s="1416"/>
      <c r="C85" s="1416"/>
      <c r="D85" s="1416"/>
      <c r="E85" s="1416"/>
      <c r="F85" s="1416"/>
      <c r="G85" s="1416"/>
      <c r="H85" s="1416"/>
      <c r="I85" s="1416"/>
      <c r="J85" s="1416"/>
      <c r="K85" s="1416"/>
      <c r="L85" s="1416"/>
      <c r="M85" s="1417"/>
      <c r="N85" s="1058" t="s">
        <v>2163</v>
      </c>
      <c r="O85" s="1059" t="s">
        <v>2164</v>
      </c>
    </row>
    <row r="86" spans="1:15" ht="15" x14ac:dyDescent="0.25">
      <c r="A86" s="1432" t="s">
        <v>2165</v>
      </c>
      <c r="B86" s="1060"/>
      <c r="C86" s="1061"/>
      <c r="D86" s="1062"/>
      <c r="E86" s="1433" t="s">
        <v>2166</v>
      </c>
      <c r="F86" s="1062"/>
      <c r="G86" s="1063"/>
      <c r="H86" s="1062"/>
      <c r="I86" s="1433" t="s">
        <v>2167</v>
      </c>
      <c r="J86" s="1062"/>
      <c r="K86" s="1061"/>
      <c r="L86" s="1062"/>
      <c r="M86" s="1434" t="s">
        <v>2168</v>
      </c>
      <c r="N86" s="1435">
        <v>344</v>
      </c>
      <c r="O86" s="1435">
        <v>89</v>
      </c>
    </row>
    <row r="87" spans="1:15" ht="15" x14ac:dyDescent="0.25">
      <c r="A87" s="1432"/>
      <c r="B87" s="1064"/>
      <c r="C87" s="1080" t="s">
        <v>2180</v>
      </c>
      <c r="D87" s="1066"/>
      <c r="E87" s="1433"/>
      <c r="F87" s="1067"/>
      <c r="G87" s="1068"/>
      <c r="H87" s="1066"/>
      <c r="I87" s="1433"/>
      <c r="J87" s="1067"/>
      <c r="K87" s="1077"/>
      <c r="L87" s="1066"/>
      <c r="M87" s="1434"/>
      <c r="N87" s="1435"/>
      <c r="O87" s="1435"/>
    </row>
    <row r="88" spans="1:15" ht="15" x14ac:dyDescent="0.25">
      <c r="A88" s="1432"/>
      <c r="B88" s="1070"/>
      <c r="C88" s="1061"/>
      <c r="D88" s="1071"/>
      <c r="E88" s="1433"/>
      <c r="F88" s="1071"/>
      <c r="G88" s="1063"/>
      <c r="H88" s="1071"/>
      <c r="I88" s="1433"/>
      <c r="J88" s="1071"/>
      <c r="K88" s="1061"/>
      <c r="L88" s="1071"/>
      <c r="M88" s="1434"/>
      <c r="N88" s="1435"/>
      <c r="O88" s="1435"/>
    </row>
    <row r="89" spans="1:15" ht="15" x14ac:dyDescent="0.25">
      <c r="A89" s="1078" t="s">
        <v>2174</v>
      </c>
      <c r="B89" s="1431"/>
      <c r="C89" s="1431"/>
      <c r="D89" s="1431"/>
      <c r="E89" s="1431"/>
      <c r="F89" s="1431"/>
      <c r="G89" s="1431"/>
      <c r="H89" s="1431"/>
      <c r="I89" s="1431"/>
      <c r="J89" s="1431"/>
      <c r="K89" s="1431"/>
      <c r="L89" s="1431"/>
      <c r="M89" s="1431"/>
      <c r="N89" s="1431"/>
      <c r="O89" s="1431"/>
    </row>
    <row r="90" spans="1:15" ht="15" x14ac:dyDescent="0.25">
      <c r="A90" s="1079" t="s">
        <v>2175</v>
      </c>
      <c r="B90" s="1431"/>
      <c r="C90" s="1431"/>
      <c r="D90" s="1431"/>
      <c r="E90" s="1431"/>
      <c r="F90" s="1431"/>
      <c r="G90" s="1431"/>
      <c r="H90" s="1431"/>
      <c r="I90" s="1431"/>
      <c r="J90" s="1431"/>
      <c r="K90" s="1431"/>
      <c r="L90" s="1431"/>
      <c r="M90" s="1431"/>
      <c r="N90" s="1431"/>
      <c r="O90" s="1431"/>
    </row>
    <row r="91" spans="1:15" ht="24" x14ac:dyDescent="0.25">
      <c r="A91" s="1079" t="s">
        <v>2186</v>
      </c>
      <c r="B91" s="1411" t="s">
        <v>2187</v>
      </c>
      <c r="C91" s="1411"/>
      <c r="D91" s="1411"/>
      <c r="E91" s="1411"/>
      <c r="F91" s="1411"/>
      <c r="G91" s="1411"/>
      <c r="H91" s="1411"/>
      <c r="I91" s="1411"/>
      <c r="J91" s="1411"/>
      <c r="K91" s="1411"/>
      <c r="L91" s="1411"/>
      <c r="M91" s="1411"/>
      <c r="N91" s="1411"/>
      <c r="O91" s="1411"/>
    </row>
    <row r="92" spans="1:15" ht="15" x14ac:dyDescent="0.25">
      <c r="A92" s="1057"/>
      <c r="B92" s="1057"/>
      <c r="C92" s="1057"/>
      <c r="D92" s="1057"/>
      <c r="E92" s="1057"/>
      <c r="F92" s="1057"/>
      <c r="G92" s="1075"/>
      <c r="H92" s="1057"/>
      <c r="I92" s="1057"/>
      <c r="J92" s="1057"/>
      <c r="K92" s="1057"/>
      <c r="L92" s="1057"/>
      <c r="M92" s="1057"/>
      <c r="N92" s="1057"/>
      <c r="O92" s="1057"/>
    </row>
    <row r="93" spans="1:15" ht="15" x14ac:dyDescent="0.25">
      <c r="A93" s="1412" t="s">
        <v>2192</v>
      </c>
      <c r="B93" s="1413"/>
      <c r="C93" s="1413"/>
      <c r="D93" s="1413"/>
      <c r="E93" s="1413"/>
      <c r="F93" s="1413"/>
      <c r="G93" s="1413"/>
      <c r="H93" s="1413"/>
      <c r="I93" s="1413"/>
      <c r="J93" s="1413"/>
      <c r="K93" s="1413"/>
      <c r="L93" s="1413"/>
      <c r="M93" s="1413"/>
      <c r="N93" s="1413"/>
      <c r="O93" s="1414"/>
    </row>
    <row r="94" spans="1:15" ht="15" x14ac:dyDescent="0.25">
      <c r="A94" s="1415" t="s">
        <v>2193</v>
      </c>
      <c r="B94" s="1416"/>
      <c r="C94" s="1416"/>
      <c r="D94" s="1416"/>
      <c r="E94" s="1416"/>
      <c r="F94" s="1416"/>
      <c r="G94" s="1416"/>
      <c r="H94" s="1416"/>
      <c r="I94" s="1416"/>
      <c r="J94" s="1416"/>
      <c r="K94" s="1416"/>
      <c r="L94" s="1416"/>
      <c r="M94" s="1417"/>
      <c r="N94" s="1058" t="s">
        <v>2163</v>
      </c>
      <c r="O94" s="1059" t="s">
        <v>2164</v>
      </c>
    </row>
    <row r="95" spans="1:15" ht="15" x14ac:dyDescent="0.25">
      <c r="A95" s="1432" t="s">
        <v>2165</v>
      </c>
      <c r="B95" s="1060"/>
      <c r="C95" s="1061"/>
      <c r="D95" s="1062"/>
      <c r="E95" s="1433" t="s">
        <v>2166</v>
      </c>
      <c r="F95" s="1062"/>
      <c r="G95" s="1063"/>
      <c r="H95" s="1062"/>
      <c r="I95" s="1433" t="s">
        <v>2167</v>
      </c>
      <c r="J95" s="1062"/>
      <c r="K95" s="1061"/>
      <c r="L95" s="1062"/>
      <c r="M95" s="1434" t="s">
        <v>2168</v>
      </c>
      <c r="N95" s="1436">
        <v>0.49</v>
      </c>
      <c r="O95" s="1439">
        <v>1</v>
      </c>
    </row>
    <row r="96" spans="1:15" ht="15" x14ac:dyDescent="0.25">
      <c r="A96" s="1432"/>
      <c r="B96" s="1064"/>
      <c r="C96" s="1076" t="s">
        <v>2180</v>
      </c>
      <c r="D96" s="1066"/>
      <c r="E96" s="1433"/>
      <c r="F96" s="1067"/>
      <c r="G96" s="1068"/>
      <c r="H96" s="1066"/>
      <c r="I96" s="1433"/>
      <c r="J96" s="1067"/>
      <c r="K96" s="1072"/>
      <c r="L96" s="1066"/>
      <c r="M96" s="1434"/>
      <c r="N96" s="1437"/>
      <c r="O96" s="1440">
        <v>0.83</v>
      </c>
    </row>
    <row r="97" spans="1:15" ht="15" x14ac:dyDescent="0.25">
      <c r="A97" s="1432"/>
      <c r="B97" s="1070"/>
      <c r="C97" s="1061"/>
      <c r="D97" s="1071"/>
      <c r="E97" s="1433"/>
      <c r="F97" s="1071"/>
      <c r="G97" s="1063"/>
      <c r="H97" s="1071"/>
      <c r="I97" s="1433"/>
      <c r="J97" s="1071"/>
      <c r="K97" s="1061"/>
      <c r="L97" s="1071"/>
      <c r="M97" s="1434"/>
      <c r="N97" s="1438"/>
      <c r="O97" s="1441"/>
    </row>
    <row r="98" spans="1:15" ht="15" x14ac:dyDescent="0.25">
      <c r="A98" s="1078" t="s">
        <v>2174</v>
      </c>
      <c r="B98" s="1431"/>
      <c r="C98" s="1431"/>
      <c r="D98" s="1431"/>
      <c r="E98" s="1431"/>
      <c r="F98" s="1431"/>
      <c r="G98" s="1431"/>
      <c r="H98" s="1431"/>
      <c r="I98" s="1431"/>
      <c r="J98" s="1431"/>
      <c r="K98" s="1431"/>
      <c r="L98" s="1431"/>
      <c r="M98" s="1431"/>
      <c r="N98" s="1431"/>
      <c r="O98" s="1431"/>
    </row>
    <row r="99" spans="1:15" ht="15" x14ac:dyDescent="0.25">
      <c r="A99" s="1079" t="s">
        <v>2175</v>
      </c>
      <c r="B99" s="1431"/>
      <c r="C99" s="1431"/>
      <c r="D99" s="1431"/>
      <c r="E99" s="1431"/>
      <c r="F99" s="1431"/>
      <c r="G99" s="1431"/>
      <c r="H99" s="1431"/>
      <c r="I99" s="1431"/>
      <c r="J99" s="1431"/>
      <c r="K99" s="1431"/>
      <c r="L99" s="1431"/>
      <c r="M99" s="1431"/>
      <c r="N99" s="1431"/>
      <c r="O99" s="1431"/>
    </row>
    <row r="100" spans="1:15" ht="24" x14ac:dyDescent="0.25">
      <c r="A100" s="1079" t="s">
        <v>2182</v>
      </c>
      <c r="B100" s="1442" t="s">
        <v>2194</v>
      </c>
      <c r="C100" s="1442"/>
      <c r="D100" s="1442"/>
      <c r="E100" s="1442"/>
      <c r="F100" s="1442"/>
      <c r="G100" s="1442"/>
      <c r="H100" s="1442"/>
      <c r="I100" s="1442"/>
      <c r="J100" s="1442"/>
      <c r="K100" s="1442"/>
      <c r="L100" s="1442"/>
      <c r="M100" s="1442"/>
      <c r="N100" s="1442"/>
      <c r="O100" s="1442"/>
    </row>
    <row r="101" spans="1:15" ht="15" x14ac:dyDescent="0.25">
      <c r="A101" s="1057"/>
      <c r="B101" s="1057"/>
      <c r="C101" s="1057"/>
      <c r="D101" s="1057"/>
      <c r="E101" s="1057"/>
      <c r="F101" s="1057"/>
      <c r="G101" s="1075"/>
      <c r="H101" s="1057"/>
      <c r="I101" s="1057"/>
      <c r="J101" s="1057"/>
      <c r="K101" s="1057"/>
      <c r="L101" s="1057"/>
      <c r="M101" s="1057"/>
      <c r="N101" s="1057"/>
      <c r="O101" s="1057"/>
    </row>
    <row r="102" spans="1:15" ht="15" x14ac:dyDescent="0.25">
      <c r="A102" s="1412" t="s">
        <v>2195</v>
      </c>
      <c r="B102" s="1413"/>
      <c r="C102" s="1413"/>
      <c r="D102" s="1413"/>
      <c r="E102" s="1413"/>
      <c r="F102" s="1413"/>
      <c r="G102" s="1413"/>
      <c r="H102" s="1413"/>
      <c r="I102" s="1413"/>
      <c r="J102" s="1413"/>
      <c r="K102" s="1413"/>
      <c r="L102" s="1413"/>
      <c r="M102" s="1413"/>
      <c r="N102" s="1413"/>
      <c r="O102" s="1414"/>
    </row>
    <row r="103" spans="1:15" ht="15" x14ac:dyDescent="0.25">
      <c r="A103" s="1415" t="s">
        <v>2196</v>
      </c>
      <c r="B103" s="1416"/>
      <c r="C103" s="1416"/>
      <c r="D103" s="1416"/>
      <c r="E103" s="1416"/>
      <c r="F103" s="1416"/>
      <c r="G103" s="1416"/>
      <c r="H103" s="1416"/>
      <c r="I103" s="1416"/>
      <c r="J103" s="1416"/>
      <c r="K103" s="1416"/>
      <c r="L103" s="1416"/>
      <c r="M103" s="1417"/>
      <c r="N103" s="1058" t="s">
        <v>2163</v>
      </c>
      <c r="O103" s="1059" t="s">
        <v>2164</v>
      </c>
    </row>
    <row r="104" spans="1:15" ht="15" x14ac:dyDescent="0.25">
      <c r="A104" s="1432" t="s">
        <v>2165</v>
      </c>
      <c r="B104" s="1060"/>
      <c r="C104" s="1061"/>
      <c r="D104" s="1062"/>
      <c r="E104" s="1433" t="s">
        <v>2166</v>
      </c>
      <c r="F104" s="1062"/>
      <c r="G104" s="1063"/>
      <c r="H104" s="1062"/>
      <c r="I104" s="1433" t="s">
        <v>2167</v>
      </c>
      <c r="J104" s="1062"/>
      <c r="K104" s="1061"/>
      <c r="L104" s="1062"/>
      <c r="M104" s="1434" t="s">
        <v>2168</v>
      </c>
      <c r="N104" s="1436">
        <v>0.4</v>
      </c>
      <c r="O104" s="1439">
        <v>1</v>
      </c>
    </row>
    <row r="105" spans="1:15" ht="15" x14ac:dyDescent="0.25">
      <c r="A105" s="1432"/>
      <c r="B105" s="1064"/>
      <c r="C105" s="1076" t="s">
        <v>2180</v>
      </c>
      <c r="D105" s="1066"/>
      <c r="E105" s="1433"/>
      <c r="F105" s="1067"/>
      <c r="G105" s="1068"/>
      <c r="H105" s="1066"/>
      <c r="I105" s="1433"/>
      <c r="J105" s="1067"/>
      <c r="K105" s="1072"/>
      <c r="L105" s="1066"/>
      <c r="M105" s="1434"/>
      <c r="N105" s="1437"/>
      <c r="O105" s="1440">
        <v>0.83</v>
      </c>
    </row>
    <row r="106" spans="1:15" ht="15" x14ac:dyDescent="0.25">
      <c r="A106" s="1432"/>
      <c r="B106" s="1070"/>
      <c r="C106" s="1061"/>
      <c r="D106" s="1071"/>
      <c r="E106" s="1433"/>
      <c r="F106" s="1071"/>
      <c r="G106" s="1063"/>
      <c r="H106" s="1071"/>
      <c r="I106" s="1433"/>
      <c r="J106" s="1071"/>
      <c r="K106" s="1061"/>
      <c r="L106" s="1071"/>
      <c r="M106" s="1434"/>
      <c r="N106" s="1438"/>
      <c r="O106" s="1441"/>
    </row>
    <row r="107" spans="1:15" ht="15" x14ac:dyDescent="0.25">
      <c r="A107" s="1078" t="s">
        <v>2174</v>
      </c>
      <c r="B107" s="1431"/>
      <c r="C107" s="1431"/>
      <c r="D107" s="1431"/>
      <c r="E107" s="1431"/>
      <c r="F107" s="1431"/>
      <c r="G107" s="1431"/>
      <c r="H107" s="1431"/>
      <c r="I107" s="1431"/>
      <c r="J107" s="1431"/>
      <c r="K107" s="1431"/>
      <c r="L107" s="1431"/>
      <c r="M107" s="1431"/>
      <c r="N107" s="1431"/>
      <c r="O107" s="1431"/>
    </row>
    <row r="108" spans="1:15" ht="15" x14ac:dyDescent="0.25">
      <c r="A108" s="1079" t="s">
        <v>2175</v>
      </c>
      <c r="B108" s="1431"/>
      <c r="C108" s="1431"/>
      <c r="D108" s="1431"/>
      <c r="E108" s="1431"/>
      <c r="F108" s="1431"/>
      <c r="G108" s="1431"/>
      <c r="H108" s="1431"/>
      <c r="I108" s="1431"/>
      <c r="J108" s="1431"/>
      <c r="K108" s="1431"/>
      <c r="L108" s="1431"/>
      <c r="M108" s="1431"/>
      <c r="N108" s="1431"/>
      <c r="O108" s="1431"/>
    </row>
    <row r="109" spans="1:15" ht="24" x14ac:dyDescent="0.25">
      <c r="A109" s="1079" t="s">
        <v>2186</v>
      </c>
      <c r="B109" s="1442" t="s">
        <v>2197</v>
      </c>
      <c r="C109" s="1442"/>
      <c r="D109" s="1442"/>
      <c r="E109" s="1442"/>
      <c r="F109" s="1442"/>
      <c r="G109" s="1442"/>
      <c r="H109" s="1442"/>
      <c r="I109" s="1442"/>
      <c r="J109" s="1442"/>
      <c r="K109" s="1442"/>
      <c r="L109" s="1442"/>
      <c r="M109" s="1442"/>
      <c r="N109" s="1442"/>
      <c r="O109" s="1442"/>
    </row>
    <row r="110" spans="1:15" ht="15" x14ac:dyDescent="0.25">
      <c r="A110" s="1057"/>
      <c r="B110" s="1057"/>
      <c r="C110" s="1057"/>
      <c r="D110" s="1057"/>
      <c r="E110" s="1057"/>
      <c r="F110" s="1057"/>
      <c r="G110" s="1075"/>
      <c r="H110" s="1057"/>
      <c r="I110" s="1057"/>
      <c r="J110" s="1057"/>
      <c r="K110" s="1057"/>
      <c r="L110" s="1057"/>
      <c r="M110" s="1057"/>
      <c r="N110" s="1057"/>
      <c r="O110" s="1057"/>
    </row>
    <row r="111" spans="1:15" ht="15" x14ac:dyDescent="0.25">
      <c r="A111" s="1412" t="s">
        <v>2198</v>
      </c>
      <c r="B111" s="1413"/>
      <c r="C111" s="1413"/>
      <c r="D111" s="1413"/>
      <c r="E111" s="1413"/>
      <c r="F111" s="1413"/>
      <c r="G111" s="1413"/>
      <c r="H111" s="1413"/>
      <c r="I111" s="1413"/>
      <c r="J111" s="1413"/>
      <c r="K111" s="1413"/>
      <c r="L111" s="1413"/>
      <c r="M111" s="1413"/>
      <c r="N111" s="1413"/>
      <c r="O111" s="1414"/>
    </row>
    <row r="112" spans="1:15" ht="15" x14ac:dyDescent="0.25">
      <c r="A112" s="1415" t="s">
        <v>2199</v>
      </c>
      <c r="B112" s="1416"/>
      <c r="C112" s="1416"/>
      <c r="D112" s="1416"/>
      <c r="E112" s="1416"/>
      <c r="F112" s="1416"/>
      <c r="G112" s="1416"/>
      <c r="H112" s="1416"/>
      <c r="I112" s="1416"/>
      <c r="J112" s="1416"/>
      <c r="K112" s="1416"/>
      <c r="L112" s="1416"/>
      <c r="M112" s="1417"/>
      <c r="N112" s="1058" t="s">
        <v>2200</v>
      </c>
      <c r="O112" s="1059" t="s">
        <v>2164</v>
      </c>
    </row>
    <row r="113" spans="1:15" ht="15" x14ac:dyDescent="0.25">
      <c r="A113" s="1432" t="s">
        <v>2165</v>
      </c>
      <c r="B113" s="1060"/>
      <c r="C113" s="1061"/>
      <c r="D113" s="1062"/>
      <c r="E113" s="1433" t="s">
        <v>2166</v>
      </c>
      <c r="F113" s="1062"/>
      <c r="G113" s="1063"/>
      <c r="H113" s="1062"/>
      <c r="I113" s="1433" t="s">
        <v>2167</v>
      </c>
      <c r="J113" s="1062"/>
      <c r="K113" s="1061"/>
      <c r="L113" s="1062"/>
      <c r="M113" s="1434" t="s">
        <v>2168</v>
      </c>
      <c r="N113" s="1436">
        <v>0.4</v>
      </c>
      <c r="O113" s="1439">
        <v>1</v>
      </c>
    </row>
    <row r="114" spans="1:15" ht="15" x14ac:dyDescent="0.25">
      <c r="A114" s="1432"/>
      <c r="B114" s="1064"/>
      <c r="C114" s="1076" t="s">
        <v>2180</v>
      </c>
      <c r="D114" s="1066"/>
      <c r="E114" s="1433"/>
      <c r="F114" s="1067"/>
      <c r="G114" s="1068"/>
      <c r="H114" s="1066"/>
      <c r="I114" s="1433"/>
      <c r="J114" s="1067"/>
      <c r="K114" s="1072"/>
      <c r="L114" s="1066"/>
      <c r="M114" s="1434"/>
      <c r="N114" s="1437"/>
      <c r="O114" s="1440">
        <v>0.83</v>
      </c>
    </row>
    <row r="115" spans="1:15" ht="15" x14ac:dyDescent="0.25">
      <c r="A115" s="1432"/>
      <c r="B115" s="1070"/>
      <c r="C115" s="1061"/>
      <c r="D115" s="1071"/>
      <c r="E115" s="1433"/>
      <c r="F115" s="1071"/>
      <c r="G115" s="1063"/>
      <c r="H115" s="1071"/>
      <c r="I115" s="1433"/>
      <c r="J115" s="1071"/>
      <c r="K115" s="1061"/>
      <c r="L115" s="1071"/>
      <c r="M115" s="1434"/>
      <c r="N115" s="1438"/>
      <c r="O115" s="1441"/>
    </row>
    <row r="116" spans="1:15" ht="15" x14ac:dyDescent="0.25">
      <c r="A116" s="1078" t="s">
        <v>2174</v>
      </c>
      <c r="B116" s="1431"/>
      <c r="C116" s="1431"/>
      <c r="D116" s="1431"/>
      <c r="E116" s="1431"/>
      <c r="F116" s="1431"/>
      <c r="G116" s="1431"/>
      <c r="H116" s="1431"/>
      <c r="I116" s="1431"/>
      <c r="J116" s="1431"/>
      <c r="K116" s="1431"/>
      <c r="L116" s="1431"/>
      <c r="M116" s="1431"/>
      <c r="N116" s="1431"/>
      <c r="O116" s="1431"/>
    </row>
    <row r="117" spans="1:15" ht="15" x14ac:dyDescent="0.25">
      <c r="A117" s="1079" t="s">
        <v>2175</v>
      </c>
      <c r="B117" s="1431"/>
      <c r="C117" s="1431"/>
      <c r="D117" s="1431"/>
      <c r="E117" s="1431"/>
      <c r="F117" s="1431"/>
      <c r="G117" s="1431"/>
      <c r="H117" s="1431"/>
      <c r="I117" s="1431"/>
      <c r="J117" s="1431"/>
      <c r="K117" s="1431"/>
      <c r="L117" s="1431"/>
      <c r="M117" s="1431"/>
      <c r="N117" s="1431"/>
      <c r="O117" s="1431"/>
    </row>
    <row r="118" spans="1:15" ht="24" x14ac:dyDescent="0.25">
      <c r="A118" s="1079" t="s">
        <v>2186</v>
      </c>
      <c r="B118" s="1442" t="s">
        <v>2197</v>
      </c>
      <c r="C118" s="1442"/>
      <c r="D118" s="1442"/>
      <c r="E118" s="1442"/>
      <c r="F118" s="1442"/>
      <c r="G118" s="1442"/>
      <c r="H118" s="1442"/>
      <c r="I118" s="1442"/>
      <c r="J118" s="1442"/>
      <c r="K118" s="1442"/>
      <c r="L118" s="1442"/>
      <c r="M118" s="1442"/>
      <c r="N118" s="1442"/>
      <c r="O118" s="1442"/>
    </row>
    <row r="119" spans="1:15" ht="15" x14ac:dyDescent="0.25">
      <c r="A119" s="1057"/>
      <c r="B119" s="1057"/>
      <c r="C119" s="1057"/>
      <c r="D119" s="1057"/>
      <c r="E119" s="1057"/>
      <c r="F119" s="1057"/>
      <c r="G119" s="1075"/>
      <c r="H119" s="1057"/>
      <c r="I119" s="1057"/>
      <c r="J119" s="1057"/>
      <c r="K119" s="1057"/>
      <c r="L119" s="1057"/>
      <c r="M119" s="1057"/>
      <c r="N119" s="1057"/>
      <c r="O119" s="1057"/>
    </row>
    <row r="120" spans="1:15" ht="15" x14ac:dyDescent="0.25">
      <c r="A120" s="1412" t="s">
        <v>2201</v>
      </c>
      <c r="B120" s="1413"/>
      <c r="C120" s="1413"/>
      <c r="D120" s="1413"/>
      <c r="E120" s="1413"/>
      <c r="F120" s="1413"/>
      <c r="G120" s="1413"/>
      <c r="H120" s="1413"/>
      <c r="I120" s="1413"/>
      <c r="J120" s="1413"/>
      <c r="K120" s="1413"/>
      <c r="L120" s="1413"/>
      <c r="M120" s="1413"/>
      <c r="N120" s="1413"/>
      <c r="O120" s="1414"/>
    </row>
    <row r="121" spans="1:15" ht="15" x14ac:dyDescent="0.25">
      <c r="A121" s="1415" t="s">
        <v>2202</v>
      </c>
      <c r="B121" s="1416"/>
      <c r="C121" s="1416"/>
      <c r="D121" s="1416"/>
      <c r="E121" s="1416"/>
      <c r="F121" s="1416"/>
      <c r="G121" s="1416"/>
      <c r="H121" s="1416"/>
      <c r="I121" s="1416"/>
      <c r="J121" s="1416"/>
      <c r="K121" s="1416"/>
      <c r="L121" s="1416"/>
      <c r="M121" s="1417"/>
      <c r="N121" s="1058" t="s">
        <v>2200</v>
      </c>
      <c r="O121" s="1059" t="s">
        <v>2164</v>
      </c>
    </row>
    <row r="122" spans="1:15" ht="15" x14ac:dyDescent="0.25">
      <c r="A122" s="1432" t="s">
        <v>2165</v>
      </c>
      <c r="B122" s="1060"/>
      <c r="C122" s="1061"/>
      <c r="D122" s="1062"/>
      <c r="E122" s="1433" t="s">
        <v>2166</v>
      </c>
      <c r="F122" s="1062"/>
      <c r="G122" s="1063"/>
      <c r="H122" s="1062"/>
      <c r="I122" s="1433" t="s">
        <v>2167</v>
      </c>
      <c r="J122" s="1062"/>
      <c r="K122" s="1061"/>
      <c r="L122" s="1062"/>
      <c r="M122" s="1434" t="s">
        <v>2168</v>
      </c>
      <c r="N122" s="1436">
        <v>0.23</v>
      </c>
      <c r="O122" s="1439">
        <v>1</v>
      </c>
    </row>
    <row r="123" spans="1:15" ht="15" x14ac:dyDescent="0.25">
      <c r="A123" s="1432"/>
      <c r="B123" s="1064"/>
      <c r="C123" s="1076" t="s">
        <v>2180</v>
      </c>
      <c r="D123" s="1066"/>
      <c r="E123" s="1433"/>
      <c r="F123" s="1067"/>
      <c r="G123" s="1068"/>
      <c r="H123" s="1066"/>
      <c r="I123" s="1433"/>
      <c r="J123" s="1067"/>
      <c r="K123" s="1072"/>
      <c r="L123" s="1066"/>
      <c r="M123" s="1434"/>
      <c r="N123" s="1437"/>
      <c r="O123" s="1440">
        <v>0.83</v>
      </c>
    </row>
    <row r="124" spans="1:15" ht="15" x14ac:dyDescent="0.25">
      <c r="A124" s="1432"/>
      <c r="B124" s="1070"/>
      <c r="C124" s="1061"/>
      <c r="D124" s="1071"/>
      <c r="E124" s="1433"/>
      <c r="F124" s="1071"/>
      <c r="G124" s="1063"/>
      <c r="H124" s="1071"/>
      <c r="I124" s="1433"/>
      <c r="J124" s="1071"/>
      <c r="K124" s="1061"/>
      <c r="L124" s="1071"/>
      <c r="M124" s="1434"/>
      <c r="N124" s="1438"/>
      <c r="O124" s="1441"/>
    </row>
    <row r="125" spans="1:15" ht="15" x14ac:dyDescent="0.25">
      <c r="A125" s="1078" t="s">
        <v>2174</v>
      </c>
      <c r="B125" s="1431"/>
      <c r="C125" s="1431"/>
      <c r="D125" s="1431"/>
      <c r="E125" s="1431"/>
      <c r="F125" s="1431"/>
      <c r="G125" s="1431"/>
      <c r="H125" s="1431"/>
      <c r="I125" s="1431"/>
      <c r="J125" s="1431"/>
      <c r="K125" s="1431"/>
      <c r="L125" s="1431"/>
      <c r="M125" s="1431"/>
      <c r="N125" s="1431"/>
      <c r="O125" s="1431"/>
    </row>
    <row r="126" spans="1:15" ht="15" x14ac:dyDescent="0.25">
      <c r="A126" s="1079" t="s">
        <v>2175</v>
      </c>
      <c r="B126" s="1431"/>
      <c r="C126" s="1431"/>
      <c r="D126" s="1431"/>
      <c r="E126" s="1431"/>
      <c r="F126" s="1431"/>
      <c r="G126" s="1431"/>
      <c r="H126" s="1431"/>
      <c r="I126" s="1431"/>
      <c r="J126" s="1431"/>
      <c r="K126" s="1431"/>
      <c r="L126" s="1431"/>
      <c r="M126" s="1431"/>
      <c r="N126" s="1431"/>
      <c r="O126" s="1431"/>
    </row>
    <row r="127" spans="1:15" ht="24" x14ac:dyDescent="0.25">
      <c r="A127" s="1079" t="s">
        <v>2186</v>
      </c>
      <c r="B127" s="1442" t="s">
        <v>2203</v>
      </c>
      <c r="C127" s="1442"/>
      <c r="D127" s="1442"/>
      <c r="E127" s="1442"/>
      <c r="F127" s="1442"/>
      <c r="G127" s="1442"/>
      <c r="H127" s="1442"/>
      <c r="I127" s="1442"/>
      <c r="J127" s="1442"/>
      <c r="K127" s="1442"/>
      <c r="L127" s="1442"/>
      <c r="M127" s="1442"/>
      <c r="N127" s="1442"/>
      <c r="O127" s="1442"/>
    </row>
    <row r="128" spans="1:15" ht="15" x14ac:dyDescent="0.25">
      <c r="A128" s="1057"/>
      <c r="B128" s="1057"/>
      <c r="C128" s="1057"/>
      <c r="D128" s="1057"/>
      <c r="E128" s="1057"/>
      <c r="F128" s="1057"/>
      <c r="G128" s="1075"/>
      <c r="H128" s="1057"/>
      <c r="I128" s="1057"/>
      <c r="J128" s="1057"/>
      <c r="K128" s="1057"/>
      <c r="L128" s="1057"/>
      <c r="M128" s="1057"/>
      <c r="N128" s="1057"/>
      <c r="O128" s="1057"/>
    </row>
    <row r="129" spans="1:15" ht="15" x14ac:dyDescent="0.25">
      <c r="A129" s="1057"/>
      <c r="B129" s="1128"/>
      <c r="C129" s="1128" t="s">
        <v>2208</v>
      </c>
      <c r="D129" s="1128"/>
      <c r="E129" s="1128"/>
      <c r="F129" s="1057"/>
      <c r="G129" s="1075"/>
      <c r="H129" s="1057"/>
      <c r="I129" s="1458" t="s">
        <v>2160</v>
      </c>
      <c r="J129" s="1459"/>
      <c r="K129" s="1459"/>
      <c r="L129" s="1459"/>
      <c r="M129" s="1459"/>
      <c r="N129" s="1459"/>
      <c r="O129" s="1459"/>
    </row>
    <row r="130" spans="1:15" ht="15" x14ac:dyDescent="0.25">
      <c r="A130" s="1057"/>
      <c r="B130" s="1128"/>
      <c r="C130" s="1128" t="s">
        <v>2210</v>
      </c>
      <c r="D130" s="1128"/>
      <c r="E130" s="1128"/>
      <c r="F130" s="1057"/>
      <c r="G130" s="1075"/>
      <c r="H130" s="1057"/>
      <c r="I130" s="1456" t="s">
        <v>1268</v>
      </c>
      <c r="J130" s="1457"/>
      <c r="K130" s="1457"/>
      <c r="L130" s="1457"/>
      <c r="M130" s="1457"/>
      <c r="N130" s="1457"/>
      <c r="O130" s="1457"/>
    </row>
    <row r="131" spans="1:15" ht="15" x14ac:dyDescent="0.25">
      <c r="A131" s="1029"/>
      <c r="G131" s="1031"/>
      <c r="L131" s="1029"/>
    </row>
    <row r="132" spans="1:15" ht="15" x14ac:dyDescent="0.25">
      <c r="A132" s="1029"/>
      <c r="G132" s="1031"/>
      <c r="L132" s="1029"/>
    </row>
  </sheetData>
  <mergeCells count="134">
    <mergeCell ref="I130:O130"/>
    <mergeCell ref="A121:M121"/>
    <mergeCell ref="A122:A124"/>
    <mergeCell ref="E122:E124"/>
    <mergeCell ref="I122:I124"/>
    <mergeCell ref="M122:M124"/>
    <mergeCell ref="N122:N124"/>
    <mergeCell ref="O122:O124"/>
    <mergeCell ref="B127:O127"/>
    <mergeCell ref="I129:O129"/>
    <mergeCell ref="O59:O61"/>
    <mergeCell ref="A40:O40"/>
    <mergeCell ref="A41:O41"/>
    <mergeCell ref="A42:M42"/>
    <mergeCell ref="A43:A45"/>
    <mergeCell ref="E43:E45"/>
    <mergeCell ref="I43:I45"/>
    <mergeCell ref="M43:M45"/>
    <mergeCell ref="N43:N45"/>
    <mergeCell ref="O43:O45"/>
    <mergeCell ref="A46:O46"/>
    <mergeCell ref="A47:O47"/>
    <mergeCell ref="A48:O48"/>
    <mergeCell ref="A49:M49"/>
    <mergeCell ref="A50:A52"/>
    <mergeCell ref="E50:E52"/>
    <mergeCell ref="I50:I52"/>
    <mergeCell ref="M50:M52"/>
    <mergeCell ref="N50:N52"/>
    <mergeCell ref="O50:O52"/>
    <mergeCell ref="B125:O125"/>
    <mergeCell ref="B126:O126"/>
    <mergeCell ref="B116:O116"/>
    <mergeCell ref="B117:O117"/>
    <mergeCell ref="A113:A115"/>
    <mergeCell ref="E113:E115"/>
    <mergeCell ref="I113:I115"/>
    <mergeCell ref="M113:M115"/>
    <mergeCell ref="N113:N115"/>
    <mergeCell ref="O113:O115"/>
    <mergeCell ref="B118:O118"/>
    <mergeCell ref="A120:O120"/>
    <mergeCell ref="A111:O111"/>
    <mergeCell ref="A112:M112"/>
    <mergeCell ref="B98:O98"/>
    <mergeCell ref="B99:O99"/>
    <mergeCell ref="A95:A97"/>
    <mergeCell ref="E95:E97"/>
    <mergeCell ref="I95:I97"/>
    <mergeCell ref="M95:M97"/>
    <mergeCell ref="N95:N97"/>
    <mergeCell ref="O95:O97"/>
    <mergeCell ref="B100:O100"/>
    <mergeCell ref="A102:O102"/>
    <mergeCell ref="B107:O107"/>
    <mergeCell ref="B108:O108"/>
    <mergeCell ref="A103:M103"/>
    <mergeCell ref="A104:A106"/>
    <mergeCell ref="E104:E106"/>
    <mergeCell ref="I104:I106"/>
    <mergeCell ref="M104:M106"/>
    <mergeCell ref="N104:N106"/>
    <mergeCell ref="O104:O106"/>
    <mergeCell ref="B109:O109"/>
    <mergeCell ref="B91:O91"/>
    <mergeCell ref="A93:O93"/>
    <mergeCell ref="A94:M94"/>
    <mergeCell ref="B80:O80"/>
    <mergeCell ref="B81:O81"/>
    <mergeCell ref="A77:A79"/>
    <mergeCell ref="E77:E79"/>
    <mergeCell ref="I77:I79"/>
    <mergeCell ref="M77:M79"/>
    <mergeCell ref="N77:N79"/>
    <mergeCell ref="O77:O79"/>
    <mergeCell ref="B82:O82"/>
    <mergeCell ref="A84:O84"/>
    <mergeCell ref="B89:O89"/>
    <mergeCell ref="B90:O90"/>
    <mergeCell ref="A85:M85"/>
    <mergeCell ref="A86:A88"/>
    <mergeCell ref="E86:E88"/>
    <mergeCell ref="I86:I88"/>
    <mergeCell ref="M86:M88"/>
    <mergeCell ref="N86:N88"/>
    <mergeCell ref="O86:O88"/>
    <mergeCell ref="A8:A9"/>
    <mergeCell ref="C8:G8"/>
    <mergeCell ref="L8:L9"/>
    <mergeCell ref="B71:O71"/>
    <mergeCell ref="B72:O72"/>
    <mergeCell ref="A67:M67"/>
    <mergeCell ref="A68:A70"/>
    <mergeCell ref="E68:E70"/>
    <mergeCell ref="I68:I70"/>
    <mergeCell ref="M68:M70"/>
    <mergeCell ref="N68:N70"/>
    <mergeCell ref="O68:O70"/>
    <mergeCell ref="B64:O64"/>
    <mergeCell ref="A66:O66"/>
    <mergeCell ref="B53:O53"/>
    <mergeCell ref="B54:O54"/>
    <mergeCell ref="B55:O55"/>
    <mergeCell ref="A57:O57"/>
    <mergeCell ref="A58:M58"/>
    <mergeCell ref="A59:A61"/>
    <mergeCell ref="E59:E61"/>
    <mergeCell ref="I59:I61"/>
    <mergeCell ref="M59:M61"/>
    <mergeCell ref="N59:N61"/>
    <mergeCell ref="E27:H27"/>
    <mergeCell ref="E28:H28"/>
    <mergeCell ref="A39:O39"/>
    <mergeCell ref="B73:O73"/>
    <mergeCell ref="A75:O75"/>
    <mergeCell ref="A76:M76"/>
    <mergeCell ref="B62:O62"/>
    <mergeCell ref="B63:O63"/>
    <mergeCell ref="A1:B1"/>
    <mergeCell ref="C1:L1"/>
    <mergeCell ref="A2:B2"/>
    <mergeCell ref="C2:L2"/>
    <mergeCell ref="A3:B3"/>
    <mergeCell ref="C3:L3"/>
    <mergeCell ref="A4:B4"/>
    <mergeCell ref="C4:L4"/>
    <mergeCell ref="A5:B5"/>
    <mergeCell ref="C5:L5"/>
    <mergeCell ref="A7:L7"/>
    <mergeCell ref="M8:M9"/>
    <mergeCell ref="N8:N9"/>
    <mergeCell ref="A12:A13"/>
    <mergeCell ref="A14:A19"/>
    <mergeCell ref="L14:L19"/>
  </mergeCells>
  <hyperlinks>
    <hyperlink ref="K10" r:id="rId1" display="Gabinete de Comunicación Estratégica, Las Ciudadesmás habitables de México 2016" xr:uid="{3B8843E5-5D39-4FBF-8A51-E04535EE3A8E}"/>
    <hyperlink ref="K11:K19" r:id="rId2" display="Gabinete de Comunicación Estratégica, Las Ciudadesmás habitables de México 2016" xr:uid="{E53FAB98-F99E-4657-8D7B-66D14AF1CFCD}"/>
  </hyperlinks>
  <pageMargins left="0.70866141732283472" right="0.70866141732283472" top="0.82677165354330717" bottom="0.74803149606299213" header="0.31496062992125984" footer="0.31496062992125984"/>
  <pageSetup scale="34" fitToHeight="2" orientation="landscape" r:id="rId3"/>
  <headerFooter>
    <oddFooter>&amp;R&amp;P /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dimension ref="A1:J38"/>
  <sheetViews>
    <sheetView view="pageBreakPreview" zoomScale="110" zoomScaleNormal="100" zoomScaleSheetLayoutView="110" workbookViewId="0">
      <selection activeCell="E11" sqref="E11"/>
    </sheetView>
  </sheetViews>
  <sheetFormatPr baseColWidth="10" defaultColWidth="11.28515625" defaultRowHeight="16.5" x14ac:dyDescent="0.3"/>
  <cols>
    <col min="1" max="1" width="4.28515625" style="118" customWidth="1"/>
    <col min="2" max="2" width="41" style="100" customWidth="1"/>
    <col min="3" max="5" width="15.7109375" style="100" customWidth="1"/>
    <col min="6" max="16384" width="11.28515625" style="100"/>
  </cols>
  <sheetData>
    <row r="1" spans="1:6" x14ac:dyDescent="0.3">
      <c r="A1" s="718"/>
      <c r="B1" s="1460" t="str">
        <f>'ETCA-I-01'!A2</f>
        <v>Estado de Situación Financiera</v>
      </c>
      <c r="C1" s="1460"/>
      <c r="D1" s="1460"/>
      <c r="E1" s="1460"/>
    </row>
    <row r="2" spans="1:6" x14ac:dyDescent="0.3">
      <c r="A2" s="304"/>
      <c r="B2" s="1386" t="s">
        <v>853</v>
      </c>
      <c r="C2" s="1386"/>
      <c r="D2" s="1386"/>
      <c r="E2" s="1386"/>
    </row>
    <row r="3" spans="1:6" x14ac:dyDescent="0.3">
      <c r="A3" s="1461" t="str">
        <f>'ETCA-I-03'!A3</f>
        <v>Del 01 de Enero al 30 de Septiembre de 2021</v>
      </c>
      <c r="B3" s="1461"/>
      <c r="C3" s="1461"/>
      <c r="D3" s="1461"/>
      <c r="E3" s="1461"/>
    </row>
    <row r="4" spans="1:6" x14ac:dyDescent="0.3">
      <c r="A4" s="745"/>
      <c r="B4" s="1386" t="s">
        <v>1043</v>
      </c>
      <c r="C4" s="1386"/>
      <c r="D4" s="720"/>
      <c r="E4" s="304"/>
    </row>
    <row r="5" spans="1:6" ht="6.75" customHeight="1" thickBot="1" x14ac:dyDescent="0.35">
      <c r="A5" s="718"/>
      <c r="B5" s="721"/>
      <c r="C5" s="721"/>
      <c r="D5" s="721"/>
      <c r="E5" s="721"/>
    </row>
    <row r="6" spans="1:6" s="185" customFormat="1" x14ac:dyDescent="0.25">
      <c r="A6" s="1463" t="s">
        <v>246</v>
      </c>
      <c r="B6" s="1464"/>
      <c r="C6" s="1467" t="s">
        <v>854</v>
      </c>
      <c r="D6" s="1467" t="s">
        <v>434</v>
      </c>
      <c r="E6" s="1469" t="s">
        <v>855</v>
      </c>
    </row>
    <row r="7" spans="1:6" s="185" customFormat="1" ht="17.25" thickBot="1" x14ac:dyDescent="0.3">
      <c r="A7" s="1465"/>
      <c r="B7" s="1466"/>
      <c r="C7" s="1468"/>
      <c r="D7" s="1468"/>
      <c r="E7" s="1470"/>
    </row>
    <row r="8" spans="1:6" s="185" customFormat="1" ht="20.25" customHeight="1" x14ac:dyDescent="0.25">
      <c r="A8" s="360" t="s">
        <v>856</v>
      </c>
      <c r="B8" s="311"/>
      <c r="C8" s="321">
        <f>C9+C10</f>
        <v>103543736</v>
      </c>
      <c r="D8" s="321">
        <f>D9+D10</f>
        <v>18103504</v>
      </c>
      <c r="E8" s="366">
        <f>E9+E10</f>
        <v>17031719</v>
      </c>
      <c r="F8" s="392" t="str">
        <f>IF((C8-'ETCA-II-01'!C44)&gt;0.9,"ERROR!!!!! EL MONTO NO COINCIDE CON LO REPORTADO EN EL FORMATO ETCA-II-01 EN EL TOTAL DEVENGADO DEL ANALÍTICO DE INGRESOS","")</f>
        <v/>
      </c>
    </row>
    <row r="9" spans="1:6" s="185" customFormat="1" ht="20.25" customHeight="1" x14ac:dyDescent="0.25">
      <c r="A9" s="310"/>
      <c r="B9" s="362" t="s">
        <v>857</v>
      </c>
      <c r="C9" s="312"/>
      <c r="D9" s="312"/>
      <c r="E9" s="361"/>
    </row>
    <row r="10" spans="1:6" s="185" customFormat="1" ht="20.25" customHeight="1" x14ac:dyDescent="0.25">
      <c r="A10" s="310"/>
      <c r="B10" s="362" t="s">
        <v>858</v>
      </c>
      <c r="C10" s="312">
        <v>103543736</v>
      </c>
      <c r="D10" s="312">
        <v>18103504</v>
      </c>
      <c r="E10" s="361">
        <v>17031719</v>
      </c>
    </row>
    <row r="11" spans="1:6" s="185" customFormat="1" ht="20.25" customHeight="1" x14ac:dyDescent="0.25">
      <c r="A11" s="360" t="s">
        <v>859</v>
      </c>
      <c r="B11" s="362"/>
      <c r="C11" s="321">
        <f>C12+C13</f>
        <v>103543736</v>
      </c>
      <c r="D11" s="321">
        <f>+D12+D13</f>
        <v>68913890</v>
      </c>
      <c r="E11" s="366">
        <f>+E12+E13</f>
        <v>60512433</v>
      </c>
      <c r="F11" s="392" t="str">
        <f>IF((C11-'ETCA II-04'!B80)&gt;0.9,"ERROR!!!!! EL MONTO NO COINCIDE CON LO REPORTADO EN EL FORMATO ETCA-II-04 EN EL TOTAL DEVENGADO DEL ANALÍTICO DE INGRESOS","")</f>
        <v/>
      </c>
    </row>
    <row r="12" spans="1:6" s="185" customFormat="1" ht="20.25" customHeight="1" x14ac:dyDescent="0.25">
      <c r="A12" s="310"/>
      <c r="B12" s="362" t="s">
        <v>860</v>
      </c>
      <c r="C12" s="312"/>
      <c r="D12" s="312"/>
      <c r="E12" s="361"/>
    </row>
    <row r="13" spans="1:6" s="185" customFormat="1" ht="20.25" customHeight="1" x14ac:dyDescent="0.25">
      <c r="A13" s="310"/>
      <c r="B13" s="362" t="s">
        <v>861</v>
      </c>
      <c r="C13" s="312">
        <v>103543736</v>
      </c>
      <c r="D13" s="312">
        <v>68913890</v>
      </c>
      <c r="E13" s="361">
        <v>60512433</v>
      </c>
    </row>
    <row r="14" spans="1:6" s="185" customFormat="1" ht="20.25" customHeight="1" x14ac:dyDescent="0.25">
      <c r="A14" s="360" t="s">
        <v>862</v>
      </c>
      <c r="B14" s="362"/>
      <c r="C14" s="321">
        <f>C8-C11</f>
        <v>0</v>
      </c>
      <c r="D14" s="321">
        <f>D8-D11</f>
        <v>-50810386</v>
      </c>
      <c r="E14" s="366">
        <f>E8-E11</f>
        <v>-43480714</v>
      </c>
    </row>
    <row r="15" spans="1:6" s="185" customFormat="1" ht="20.25" customHeight="1" thickBot="1" x14ac:dyDescent="0.3">
      <c r="A15" s="310"/>
      <c r="B15" s="311"/>
      <c r="C15" s="312"/>
      <c r="D15" s="312"/>
      <c r="E15" s="314"/>
    </row>
    <row r="16" spans="1:6" s="185" customFormat="1" x14ac:dyDescent="0.25">
      <c r="A16" s="1463" t="s">
        <v>246</v>
      </c>
      <c r="B16" s="1464"/>
      <c r="C16" s="1467" t="s">
        <v>854</v>
      </c>
      <c r="D16" s="1467" t="s">
        <v>434</v>
      </c>
      <c r="E16" s="1471" t="s">
        <v>855</v>
      </c>
    </row>
    <row r="17" spans="1:6" s="185" customFormat="1" ht="12" customHeight="1" thickBot="1" x14ac:dyDescent="0.3">
      <c r="A17" s="1465"/>
      <c r="B17" s="1466"/>
      <c r="C17" s="1468"/>
      <c r="D17" s="1468"/>
      <c r="E17" s="1472"/>
    </row>
    <row r="18" spans="1:6" s="185" customFormat="1" ht="20.25" customHeight="1" x14ac:dyDescent="0.25">
      <c r="A18" s="360" t="s">
        <v>863</v>
      </c>
      <c r="B18" s="311"/>
      <c r="C18" s="321">
        <f>C14</f>
        <v>0</v>
      </c>
      <c r="D18" s="321">
        <f>D14</f>
        <v>-50810386</v>
      </c>
      <c r="E18" s="564">
        <f>E14</f>
        <v>-43480714</v>
      </c>
    </row>
    <row r="19" spans="1:6" s="185" customFormat="1" ht="20.25" customHeight="1" x14ac:dyDescent="0.25">
      <c r="A19" s="360" t="s">
        <v>864</v>
      </c>
      <c r="B19" s="311"/>
      <c r="C19" s="312">
        <v>4500000</v>
      </c>
      <c r="D19" s="312">
        <v>1999205</v>
      </c>
      <c r="E19" s="361">
        <v>1999205</v>
      </c>
      <c r="F19" s="392" t="str">
        <f>IF((D19-'ETCA-I-03'!C45)&gt;0.9,"ERROR!!!!! EL MONTO NO COINCIDE CON LO REPORTADO EN EL FORMATO ETCA-I-03 POR CONCEPTO DE INTERESES, COMISIONES Y GASTOS DE LA DEUDA","")</f>
        <v/>
      </c>
    </row>
    <row r="20" spans="1:6" s="185" customFormat="1" ht="20.25" customHeight="1" x14ac:dyDescent="0.25">
      <c r="A20" s="360" t="s">
        <v>865</v>
      </c>
      <c r="B20" s="311"/>
      <c r="C20" s="321">
        <f>C18-C19</f>
        <v>-4500000</v>
      </c>
      <c r="D20" s="321">
        <f>D18-D19</f>
        <v>-52809591</v>
      </c>
      <c r="E20" s="366">
        <f>E18-E19</f>
        <v>-45479919</v>
      </c>
    </row>
    <row r="21" spans="1:6" s="185" customFormat="1" ht="20.25" customHeight="1" thickBot="1" x14ac:dyDescent="0.3">
      <c r="A21" s="310"/>
      <c r="B21" s="311"/>
      <c r="C21" s="327"/>
      <c r="D21" s="327"/>
      <c r="E21" s="749"/>
    </row>
    <row r="22" spans="1:6" s="185" customFormat="1" ht="28.5" customHeight="1" x14ac:dyDescent="0.25">
      <c r="A22" s="1463" t="s">
        <v>246</v>
      </c>
      <c r="B22" s="1464"/>
      <c r="C22" s="1467" t="s">
        <v>854</v>
      </c>
      <c r="D22" s="363" t="s">
        <v>434</v>
      </c>
      <c r="E22" s="1471" t="s">
        <v>855</v>
      </c>
    </row>
    <row r="23" spans="1:6" s="185" customFormat="1" ht="0.75" customHeight="1" thickBot="1" x14ac:dyDescent="0.3">
      <c r="A23" s="1465"/>
      <c r="B23" s="1466"/>
      <c r="C23" s="1468"/>
      <c r="D23" s="364"/>
      <c r="E23" s="1472"/>
    </row>
    <row r="24" spans="1:6" s="185" customFormat="1" ht="20.25" customHeight="1" x14ac:dyDescent="0.25">
      <c r="A24" s="360" t="s">
        <v>866</v>
      </c>
      <c r="B24" s="311"/>
      <c r="C24" s="312"/>
      <c r="D24" s="312"/>
      <c r="E24" s="314"/>
    </row>
    <row r="25" spans="1:6" s="185" customFormat="1" ht="20.25" customHeight="1" x14ac:dyDescent="0.25">
      <c r="A25" s="360" t="s">
        <v>867</v>
      </c>
      <c r="B25" s="311"/>
      <c r="C25" s="312">
        <v>10000000</v>
      </c>
      <c r="D25" s="312">
        <v>7499988</v>
      </c>
      <c r="E25" s="314">
        <v>7499988</v>
      </c>
    </row>
    <row r="26" spans="1:6" s="185" customFormat="1" ht="20.25" customHeight="1" x14ac:dyDescent="0.25">
      <c r="A26" s="360" t="s">
        <v>868</v>
      </c>
      <c r="B26" s="311"/>
      <c r="C26" s="321">
        <f>C24-C25</f>
        <v>-10000000</v>
      </c>
      <c r="D26" s="321">
        <f>D24-D25</f>
        <v>-7499988</v>
      </c>
      <c r="E26" s="366">
        <f>E24-E25</f>
        <v>-7499988</v>
      </c>
    </row>
    <row r="27" spans="1:6" s="185" customFormat="1" ht="20.25" customHeight="1" thickBot="1" x14ac:dyDescent="0.3">
      <c r="A27" s="746"/>
      <c r="B27" s="747"/>
      <c r="C27" s="748"/>
      <c r="D27" s="748"/>
      <c r="E27" s="365"/>
    </row>
    <row r="28" spans="1:6" s="185" customFormat="1" ht="18" customHeight="1" x14ac:dyDescent="0.25">
      <c r="A28" s="722" t="s">
        <v>81</v>
      </c>
      <c r="B28" s="723"/>
      <c r="C28" s="723"/>
      <c r="D28" s="723"/>
      <c r="E28" s="723"/>
    </row>
    <row r="29" spans="1:6" s="185" customFormat="1" ht="18" customHeight="1" x14ac:dyDescent="0.25">
      <c r="A29" s="722"/>
      <c r="B29" s="723"/>
      <c r="C29" s="723"/>
      <c r="D29" s="723"/>
      <c r="E29" s="723"/>
    </row>
    <row r="30" spans="1:6" s="185" customFormat="1" ht="18" customHeight="1" x14ac:dyDescent="0.25">
      <c r="A30" s="478"/>
      <c r="B30" s="478"/>
      <c r="C30" s="478"/>
      <c r="D30" s="478"/>
      <c r="E30" s="478"/>
    </row>
    <row r="31" spans="1:6" s="185" customFormat="1" ht="18" customHeight="1" x14ac:dyDescent="0.25">
      <c r="A31" s="478"/>
      <c r="B31" s="478"/>
      <c r="C31" s="478"/>
      <c r="D31" s="478"/>
      <c r="E31" s="478"/>
    </row>
    <row r="32" spans="1:6" s="185" customFormat="1" ht="18" customHeight="1" x14ac:dyDescent="0.25">
      <c r="A32" s="478"/>
      <c r="B32" s="478"/>
      <c r="C32" s="478"/>
      <c r="D32" s="478"/>
      <c r="E32" s="478"/>
    </row>
    <row r="33" spans="1:10" ht="18" customHeight="1" x14ac:dyDescent="0.3">
      <c r="A33" s="722" t="s">
        <v>244</v>
      </c>
      <c r="B33" s="726" t="s">
        <v>869</v>
      </c>
      <c r="C33" s="723"/>
      <c r="D33" s="723"/>
      <c r="E33" s="723"/>
      <c r="J33" s="320"/>
    </row>
    <row r="34" spans="1:10" ht="49.5" customHeight="1" x14ac:dyDescent="0.3">
      <c r="A34" s="1462" t="s">
        <v>870</v>
      </c>
      <c r="B34" s="1462"/>
      <c r="C34" s="1462"/>
      <c r="D34" s="1462"/>
      <c r="E34" s="1462"/>
    </row>
    <row r="35" spans="1:10" x14ac:dyDescent="0.3">
      <c r="A35" s="719"/>
      <c r="B35" s="723"/>
      <c r="C35" s="723"/>
      <c r="D35" s="723"/>
      <c r="E35" s="723"/>
    </row>
    <row r="36" spans="1:10" ht="75" customHeight="1" x14ac:dyDescent="0.3">
      <c r="A36" s="1462" t="s">
        <v>871</v>
      </c>
      <c r="B36" s="1462"/>
      <c r="C36" s="1462"/>
      <c r="D36" s="1462"/>
      <c r="E36" s="1462"/>
    </row>
    <row r="37" spans="1:10" ht="5.25" customHeight="1" x14ac:dyDescent="0.3">
      <c r="A37" s="719"/>
      <c r="B37" s="723"/>
      <c r="C37" s="723"/>
      <c r="D37" s="723"/>
      <c r="E37" s="723"/>
    </row>
    <row r="38" spans="1:10" ht="13.5" customHeight="1" x14ac:dyDescent="0.3">
      <c r="A38" s="1462" t="s">
        <v>872</v>
      </c>
      <c r="B38" s="1462"/>
      <c r="C38" s="1462"/>
      <c r="D38" s="1462"/>
      <c r="E38" s="1462"/>
    </row>
  </sheetData>
  <sheetProtection insertHyperlinks="0"/>
  <mergeCells count="18">
    <mergeCell ref="A36:E36"/>
    <mergeCell ref="A38:E38"/>
    <mergeCell ref="A22:B23"/>
    <mergeCell ref="C22:C23"/>
    <mergeCell ref="E22:E23"/>
    <mergeCell ref="B1:E1"/>
    <mergeCell ref="B2:E2"/>
    <mergeCell ref="B4:C4"/>
    <mergeCell ref="A3:E3"/>
    <mergeCell ref="A34:E34"/>
    <mergeCell ref="A6:B7"/>
    <mergeCell ref="C6:C7"/>
    <mergeCell ref="E6:E7"/>
    <mergeCell ref="C16:C17"/>
    <mergeCell ref="E16:E17"/>
    <mergeCell ref="A16:B17"/>
    <mergeCell ref="D6:D7"/>
    <mergeCell ref="D16:D17"/>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8"/>
  <sheetViews>
    <sheetView view="pageBreakPreview" zoomScale="110" zoomScaleNormal="100" zoomScaleSheetLayoutView="110" workbookViewId="0">
      <selection activeCell="E11" sqref="E11"/>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146" t="str">
        <f>'ETCA-I-01'!A1:G1</f>
        <v>TELEVISORA DE HERMOSILLO, S.A. DE C.V.</v>
      </c>
      <c r="B1" s="1146"/>
      <c r="C1" s="1146"/>
      <c r="D1" s="1146"/>
      <c r="E1" s="1146"/>
    </row>
    <row r="2" spans="1:6" ht="15.75" customHeight="1" x14ac:dyDescent="0.25">
      <c r="A2" s="1144" t="s">
        <v>873</v>
      </c>
      <c r="B2" s="1144"/>
      <c r="C2" s="1144"/>
      <c r="D2" s="1144"/>
      <c r="E2" s="1144"/>
    </row>
    <row r="3" spans="1:6" ht="15.75" customHeight="1" x14ac:dyDescent="0.25">
      <c r="A3" s="1188" t="str">
        <f>'ETCA-I-03'!A3:D3</f>
        <v>Del 01 de Enero al 30 de Septiembre de 2021</v>
      </c>
      <c r="B3" s="1188"/>
      <c r="C3" s="1188"/>
      <c r="D3" s="1188"/>
      <c r="E3" s="1188"/>
    </row>
    <row r="4" spans="1:6" ht="15.75" customHeight="1" x14ac:dyDescent="0.25">
      <c r="A4" s="1491" t="s">
        <v>84</v>
      </c>
      <c r="B4" s="1491"/>
      <c r="C4" s="1491"/>
      <c r="D4" s="1491"/>
      <c r="E4" s="1491"/>
    </row>
    <row r="5" spans="1:6" ht="15.75" customHeight="1" thickBot="1" x14ac:dyDescent="0.3">
      <c r="A5" s="757"/>
      <c r="B5" s="757"/>
      <c r="C5" s="757"/>
      <c r="D5" s="757"/>
      <c r="E5" s="757"/>
    </row>
    <row r="6" spans="1:6" x14ac:dyDescent="0.25">
      <c r="A6" s="1480" t="s">
        <v>85</v>
      </c>
      <c r="B6" s="1481"/>
      <c r="C6" s="743" t="s">
        <v>874</v>
      </c>
      <c r="D6" s="1379" t="s">
        <v>434</v>
      </c>
      <c r="E6" s="642" t="s">
        <v>875</v>
      </c>
    </row>
    <row r="7" spans="1:6" ht="15.75" thickBot="1" x14ac:dyDescent="0.3">
      <c r="A7" s="1482"/>
      <c r="B7" s="1483"/>
      <c r="C7" s="744" t="s">
        <v>563</v>
      </c>
      <c r="D7" s="1380"/>
      <c r="E7" s="597" t="s">
        <v>566</v>
      </c>
    </row>
    <row r="8" spans="1:6" ht="7.5" customHeight="1" x14ac:dyDescent="0.25">
      <c r="A8" s="758"/>
      <c r="B8" s="598"/>
      <c r="C8" s="598"/>
      <c r="D8" s="598"/>
      <c r="E8" s="598"/>
    </row>
    <row r="9" spans="1:6" x14ac:dyDescent="0.25">
      <c r="A9" s="758"/>
      <c r="B9" s="599" t="s">
        <v>876</v>
      </c>
      <c r="C9" s="710">
        <f>SUM(C10:C12)</f>
        <v>93543736</v>
      </c>
      <c r="D9" s="710">
        <f>SUM(D10:D12)</f>
        <v>10603516</v>
      </c>
      <c r="E9" s="710">
        <f>SUM(E10:E12)</f>
        <v>9531731</v>
      </c>
      <c r="F9" s="485"/>
    </row>
    <row r="10" spans="1:6" ht="14.25" customHeight="1" x14ac:dyDescent="0.25">
      <c r="A10" s="758"/>
      <c r="B10" s="598" t="s">
        <v>877</v>
      </c>
      <c r="C10" s="700">
        <v>103543736</v>
      </c>
      <c r="D10" s="700">
        <v>18103504</v>
      </c>
      <c r="E10" s="700">
        <v>17031719</v>
      </c>
      <c r="F10" s="485"/>
    </row>
    <row r="11" spans="1:6" ht="14.25" customHeight="1" x14ac:dyDescent="0.25">
      <c r="A11" s="758"/>
      <c r="B11" s="598" t="s">
        <v>878</v>
      </c>
      <c r="C11" s="700">
        <v>0</v>
      </c>
      <c r="D11" s="700">
        <v>0</v>
      </c>
      <c r="E11" s="700">
        <v>0</v>
      </c>
      <c r="F11" s="485"/>
    </row>
    <row r="12" spans="1:6" ht="14.25" customHeight="1" x14ac:dyDescent="0.25">
      <c r="A12" s="758"/>
      <c r="B12" s="598" t="s">
        <v>879</v>
      </c>
      <c r="C12" s="700">
        <v>-10000000</v>
      </c>
      <c r="D12" s="700">
        <v>-7499988</v>
      </c>
      <c r="E12" s="700">
        <v>-7499988</v>
      </c>
    </row>
    <row r="13" spans="1:6" ht="3.75" customHeight="1" x14ac:dyDescent="0.25">
      <c r="A13" s="756"/>
      <c r="B13" s="599"/>
      <c r="C13" s="705"/>
      <c r="D13" s="705"/>
      <c r="E13" s="705"/>
    </row>
    <row r="14" spans="1:6" x14ac:dyDescent="0.25">
      <c r="A14" s="756"/>
      <c r="B14" s="599" t="s">
        <v>880</v>
      </c>
      <c r="C14" s="710">
        <f>SUM(C15:C16)</f>
        <v>93543736</v>
      </c>
      <c r="D14" s="710">
        <f>SUM(D15:D16)</f>
        <v>61413902</v>
      </c>
      <c r="E14" s="710">
        <f>SUM(E15:E16)</f>
        <v>53012445</v>
      </c>
      <c r="F14" s="485"/>
    </row>
    <row r="15" spans="1:6" ht="21" customHeight="1" x14ac:dyDescent="0.25">
      <c r="A15" s="758"/>
      <c r="B15" s="598" t="s">
        <v>881</v>
      </c>
      <c r="C15" s="700">
        <v>93543736</v>
      </c>
      <c r="D15" s="700">
        <f>68913890-7499988</f>
        <v>61413902</v>
      </c>
      <c r="E15" s="700">
        <f>60512433-7499988</f>
        <v>53012445</v>
      </c>
      <c r="F15" s="485"/>
    </row>
    <row r="16" spans="1:6" ht="21" customHeight="1" x14ac:dyDescent="0.25">
      <c r="A16" s="758"/>
      <c r="B16" s="598" t="s">
        <v>882</v>
      </c>
      <c r="C16" s="700">
        <v>0</v>
      </c>
      <c r="D16" s="700">
        <v>0</v>
      </c>
      <c r="E16" s="700">
        <v>0</v>
      </c>
      <c r="F16" s="485"/>
    </row>
    <row r="17" spans="1:6" ht="8.25" customHeight="1" x14ac:dyDescent="0.25">
      <c r="A17" s="758"/>
      <c r="B17" s="598"/>
      <c r="C17" s="705"/>
      <c r="D17" s="705"/>
      <c r="E17" s="705"/>
    </row>
    <row r="18" spans="1:6" x14ac:dyDescent="0.25">
      <c r="A18" s="758"/>
      <c r="B18" s="599" t="s">
        <v>883</v>
      </c>
      <c r="C18" s="710">
        <f>SUM(C19:C20)</f>
        <v>0</v>
      </c>
      <c r="D18" s="710">
        <f t="shared" ref="D18:E18" si="0">SUM(D19:D20)</f>
        <v>0</v>
      </c>
      <c r="E18" s="710">
        <f t="shared" si="0"/>
        <v>0</v>
      </c>
      <c r="F18" s="485" t="s">
        <v>244</v>
      </c>
    </row>
    <row r="19" spans="1:6" ht="19.5" customHeight="1" x14ac:dyDescent="0.25">
      <c r="A19" s="758"/>
      <c r="B19" s="598" t="s">
        <v>884</v>
      </c>
      <c r="C19" s="712"/>
      <c r="D19" s="700">
        <v>0</v>
      </c>
      <c r="E19" s="700">
        <v>0</v>
      </c>
      <c r="F19" s="485" t="s">
        <v>244</v>
      </c>
    </row>
    <row r="20" spans="1:6" ht="19.5" customHeight="1" x14ac:dyDescent="0.25">
      <c r="A20" s="758"/>
      <c r="B20" s="598" t="s">
        <v>885</v>
      </c>
      <c r="C20" s="712"/>
      <c r="D20" s="700">
        <v>0</v>
      </c>
      <c r="E20" s="700">
        <v>0</v>
      </c>
      <c r="F20" s="485" t="s">
        <v>244</v>
      </c>
    </row>
    <row r="21" spans="1:6" ht="6.75" customHeight="1" x14ac:dyDescent="0.25">
      <c r="A21" s="758"/>
      <c r="B21" s="598"/>
      <c r="C21" s="705"/>
      <c r="D21" s="705"/>
      <c r="E21" s="705"/>
      <c r="F21" s="485" t="s">
        <v>244</v>
      </c>
    </row>
    <row r="22" spans="1:6" x14ac:dyDescent="0.25">
      <c r="A22" s="1492"/>
      <c r="B22" s="599" t="s">
        <v>886</v>
      </c>
      <c r="C22" s="710">
        <f>+C9-C14+C18</f>
        <v>0</v>
      </c>
      <c r="D22" s="710">
        <f>+D9-D14+D18</f>
        <v>-50810386</v>
      </c>
      <c r="E22" s="710">
        <f>+E9-E14+E18</f>
        <v>-43480714</v>
      </c>
    </row>
    <row r="23" spans="1:6" ht="6.75" customHeight="1" x14ac:dyDescent="0.25">
      <c r="A23" s="1492"/>
      <c r="B23" s="599"/>
      <c r="C23" s="705" t="s">
        <v>244</v>
      </c>
      <c r="D23" s="705" t="s">
        <v>244</v>
      </c>
      <c r="E23" s="705" t="s">
        <v>244</v>
      </c>
    </row>
    <row r="24" spans="1:6" ht="16.5" customHeight="1" x14ac:dyDescent="0.25">
      <c r="A24" s="1492"/>
      <c r="B24" s="599" t="s">
        <v>887</v>
      </c>
      <c r="C24" s="710">
        <f>+C22-C12</f>
        <v>10000000</v>
      </c>
      <c r="D24" s="710">
        <f>+D22-D12</f>
        <v>-43310398</v>
      </c>
      <c r="E24" s="710">
        <f>+E22-E12</f>
        <v>-35980726</v>
      </c>
    </row>
    <row r="25" spans="1:6" ht="6" customHeight="1" x14ac:dyDescent="0.25">
      <c r="A25" s="1492"/>
      <c r="B25" s="599"/>
      <c r="C25" s="705" t="s">
        <v>244</v>
      </c>
      <c r="D25" s="705" t="s">
        <v>244</v>
      </c>
      <c r="E25" s="705" t="s">
        <v>244</v>
      </c>
    </row>
    <row r="26" spans="1:6" ht="30" customHeight="1" x14ac:dyDescent="0.25">
      <c r="A26" s="758"/>
      <c r="B26" s="599" t="s">
        <v>888</v>
      </c>
      <c r="C26" s="710">
        <f>+C24-C18</f>
        <v>10000000</v>
      </c>
      <c r="D26" s="710">
        <f>+D24-D18</f>
        <v>-43310398</v>
      </c>
      <c r="E26" s="710">
        <f>+E24-E18</f>
        <v>-35980726</v>
      </c>
    </row>
    <row r="27" spans="1:6" ht="6" customHeight="1" thickBot="1" x14ac:dyDescent="0.3">
      <c r="A27" s="601"/>
      <c r="B27" s="602"/>
      <c r="C27" s="603"/>
      <c r="D27" s="603"/>
      <c r="E27" s="603"/>
    </row>
    <row r="28" spans="1:6" ht="12" customHeight="1" thickBot="1" x14ac:dyDescent="0.3">
      <c r="A28" s="1493"/>
      <c r="B28" s="1493"/>
      <c r="C28" s="1493"/>
      <c r="D28" s="1493"/>
      <c r="E28" s="1493"/>
    </row>
    <row r="29" spans="1:6" ht="15.75" thickBot="1" x14ac:dyDescent="0.3">
      <c r="A29" s="1494" t="s">
        <v>246</v>
      </c>
      <c r="B29" s="1495"/>
      <c r="C29" s="742" t="s">
        <v>889</v>
      </c>
      <c r="D29" s="742" t="s">
        <v>434</v>
      </c>
      <c r="E29" s="742" t="s">
        <v>661</v>
      </c>
    </row>
    <row r="30" spans="1:6" ht="6" customHeight="1" x14ac:dyDescent="0.25">
      <c r="A30" s="758"/>
      <c r="B30" s="598"/>
      <c r="C30" s="598"/>
      <c r="D30" s="598"/>
      <c r="E30" s="598"/>
    </row>
    <row r="31" spans="1:6" ht="18" customHeight="1" x14ac:dyDescent="0.25">
      <c r="A31" s="1490"/>
      <c r="B31" s="599" t="s">
        <v>890</v>
      </c>
      <c r="C31" s="710">
        <f>SUM(C32:C33)</f>
        <v>4500000</v>
      </c>
      <c r="D31" s="710">
        <f>SUM(D32:D33)</f>
        <v>1999205</v>
      </c>
      <c r="E31" s="710">
        <f>SUM(E32:E33)</f>
        <v>1999205</v>
      </c>
      <c r="F31" s="485" t="str">
        <f>IF(C31&lt;&gt;'ETCA-IV-01'!C19,"ERROR!!!!! EL MONTO NO COINCIDE CON LO REPORTADO EN EL FORMATO ETCA-IV-01 ","")</f>
        <v/>
      </c>
    </row>
    <row r="32" spans="1:6" ht="26.25" customHeight="1" x14ac:dyDescent="0.25">
      <c r="A32" s="1490"/>
      <c r="B32" s="600" t="s">
        <v>891</v>
      </c>
      <c r="C32" s="700">
        <v>4500000</v>
      </c>
      <c r="D32" s="700">
        <v>1999205</v>
      </c>
      <c r="E32" s="700">
        <v>1999205</v>
      </c>
      <c r="F32" s="485" t="str">
        <f>IF(D31&lt;&gt;'ETCA-IV-01'!D19,"ERROR!!!!! EL MONTO NO COINCIDE CON LO REPORTADO EN EL FORMATO ETCA-IV-01 ","")</f>
        <v/>
      </c>
    </row>
    <row r="33" spans="1:7" ht="26.25" customHeight="1" x14ac:dyDescent="0.25">
      <c r="A33" s="1490"/>
      <c r="B33" s="600" t="s">
        <v>892</v>
      </c>
      <c r="C33" s="705">
        <v>0</v>
      </c>
      <c r="D33" s="705">
        <v>0</v>
      </c>
      <c r="E33" s="705">
        <v>0</v>
      </c>
      <c r="F33" s="485"/>
      <c r="G33" s="927"/>
    </row>
    <row r="34" spans="1:7" ht="4.5" customHeight="1" x14ac:dyDescent="0.25">
      <c r="A34" s="756"/>
      <c r="B34" s="599"/>
      <c r="C34" s="700"/>
      <c r="D34" s="700"/>
      <c r="E34" s="700"/>
    </row>
    <row r="35" spans="1:7" x14ac:dyDescent="0.25">
      <c r="A35" s="756"/>
      <c r="B35" s="599" t="s">
        <v>893</v>
      </c>
      <c r="C35" s="710">
        <f>+C26+C31</f>
        <v>14500000</v>
      </c>
      <c r="D35" s="710">
        <f>+D26+D31</f>
        <v>-41311193</v>
      </c>
      <c r="E35" s="710">
        <f>+E26+E31</f>
        <v>-33981521</v>
      </c>
    </row>
    <row r="36" spans="1:7" ht="6.75" customHeight="1" thickBot="1" x14ac:dyDescent="0.3">
      <c r="A36" s="596"/>
      <c r="B36" s="595"/>
      <c r="C36" s="595"/>
      <c r="D36" s="595"/>
      <c r="E36" s="595"/>
    </row>
    <row r="37" spans="1:7" ht="9" customHeight="1" thickBot="1" x14ac:dyDescent="0.3"/>
    <row r="38" spans="1:7" x14ac:dyDescent="0.25">
      <c r="A38" s="1480" t="s">
        <v>246</v>
      </c>
      <c r="B38" s="1481"/>
      <c r="C38" s="1484" t="s">
        <v>894</v>
      </c>
      <c r="D38" s="1374" t="s">
        <v>434</v>
      </c>
      <c r="E38" s="605" t="s">
        <v>875</v>
      </c>
    </row>
    <row r="39" spans="1:7" ht="15.75" thickBot="1" x14ac:dyDescent="0.3">
      <c r="A39" s="1482"/>
      <c r="B39" s="1483"/>
      <c r="C39" s="1485"/>
      <c r="D39" s="1375"/>
      <c r="E39" s="606" t="s">
        <v>661</v>
      </c>
    </row>
    <row r="40" spans="1:7" ht="5.25" customHeight="1" x14ac:dyDescent="0.25">
      <c r="A40" s="753"/>
      <c r="B40" s="607"/>
      <c r="C40" s="607"/>
      <c r="D40" s="607"/>
      <c r="E40" s="607"/>
    </row>
    <row r="41" spans="1:7" x14ac:dyDescent="0.25">
      <c r="A41" s="752"/>
      <c r="B41" s="755" t="s">
        <v>895</v>
      </c>
      <c r="C41" s="711">
        <f>SUM(C42:C43)</f>
        <v>0</v>
      </c>
      <c r="D41" s="711">
        <f>SUM(D42:D43)</f>
        <v>0</v>
      </c>
      <c r="E41" s="711">
        <f>SUM(E42:E43)</f>
        <v>0</v>
      </c>
      <c r="F41" s="485" t="str">
        <f>IF(C41&lt;&gt;'ETCA-IV-01'!C24,"ERROR!!!!! EL MONTO NO COINCIDE CON LO REPORTADO EN EL FORMATO ETCA-IV-01 ","")</f>
        <v/>
      </c>
    </row>
    <row r="42" spans="1:7" x14ac:dyDescent="0.25">
      <c r="A42" s="1476"/>
      <c r="B42" s="608" t="s">
        <v>896</v>
      </c>
      <c r="C42" s="700">
        <v>0</v>
      </c>
      <c r="D42" s="700">
        <v>0</v>
      </c>
      <c r="E42" s="700">
        <v>0</v>
      </c>
      <c r="F42" s="485" t="str">
        <f>IF(D41&lt;&gt;'ETCA-IV-01'!D24,"ERROR!!!!! EL MONTO NO COINCIDE CON LO REPORTADO EN EL FORMATO ETCA-IV-01 ","")</f>
        <v/>
      </c>
    </row>
    <row r="43" spans="1:7" x14ac:dyDescent="0.25">
      <c r="A43" s="1476"/>
      <c r="B43" s="608" t="s">
        <v>897</v>
      </c>
      <c r="C43" s="700">
        <v>0</v>
      </c>
      <c r="D43" s="700" t="s">
        <v>244</v>
      </c>
      <c r="E43" s="700">
        <v>0</v>
      </c>
      <c r="F43" s="485" t="str">
        <f>IF(E41&lt;&gt;'ETCA-IV-01'!E24,"ERROR!!!!! EL MONTO NO COINCIDE CON LO REPORTADO EN EL FORMATO ETCA-IV-01 ","")</f>
        <v/>
      </c>
    </row>
    <row r="44" spans="1:7" x14ac:dyDescent="0.25">
      <c r="A44" s="1473"/>
      <c r="B44" s="755" t="s">
        <v>898</v>
      </c>
      <c r="C44" s="711">
        <f>SUM(C45:C46)</f>
        <v>10000000</v>
      </c>
      <c r="D44" s="711">
        <f>SUM(D45:D46)</f>
        <v>7499988</v>
      </c>
      <c r="E44" s="711">
        <f>SUM(E45:E46)</f>
        <v>7499988</v>
      </c>
      <c r="F44" s="485" t="str">
        <f>IF(C44&lt;&gt;'ETCA-IV-01'!C25,"ERROR!!!!! EL MONTO NO COINCIDE CON LO REPORTADO EN EL FORMATO ETCA-IV-01 ","")</f>
        <v/>
      </c>
    </row>
    <row r="45" spans="1:7" x14ac:dyDescent="0.25">
      <c r="A45" s="1473"/>
      <c r="B45" s="608" t="s">
        <v>899</v>
      </c>
      <c r="C45" s="700">
        <v>10000000</v>
      </c>
      <c r="D45" s="700">
        <v>7499988</v>
      </c>
      <c r="E45" s="700">
        <v>7499988</v>
      </c>
      <c r="F45" s="485" t="str">
        <f>IF(D44&lt;&gt;'ETCA-IV-01'!D25,"ERROR!!!!! EL MONTO NO COINCIDE CON LO REPORTADO EN EL FORMATO ETCA-IV-01 ","")</f>
        <v/>
      </c>
    </row>
    <row r="46" spans="1:7" x14ac:dyDescent="0.25">
      <c r="A46" s="1473"/>
      <c r="B46" s="608" t="s">
        <v>900</v>
      </c>
      <c r="C46" s="700">
        <v>0</v>
      </c>
      <c r="D46" s="700">
        <v>0</v>
      </c>
      <c r="E46" s="700">
        <v>0</v>
      </c>
      <c r="F46" s="485" t="str">
        <f>IF(E44&lt;&gt;'ETCA-IV-01'!E25,"ERROR!!!!! EL MONTO NO COINCIDE CON LO REPORTADO EN EL FORMATO ETCA-IV-01 ","")</f>
        <v/>
      </c>
    </row>
    <row r="47" spans="1:7" ht="6.75" customHeight="1" x14ac:dyDescent="0.25">
      <c r="A47" s="752"/>
      <c r="B47" s="755"/>
      <c r="C47" s="624"/>
      <c r="D47" s="624"/>
      <c r="E47" s="624"/>
    </row>
    <row r="48" spans="1:7" x14ac:dyDescent="0.25">
      <c r="A48" s="1473"/>
      <c r="B48" s="1486" t="s">
        <v>901</v>
      </c>
      <c r="C48" s="1488">
        <f>+C41-C44</f>
        <v>-10000000</v>
      </c>
      <c r="D48" s="1488">
        <f>+D41-D44</f>
        <v>-7499988</v>
      </c>
      <c r="E48" s="1488">
        <f>+E41-E44</f>
        <v>-7499988</v>
      </c>
    </row>
    <row r="49" spans="1:5" ht="15.75" thickBot="1" x14ac:dyDescent="0.3">
      <c r="A49" s="1474"/>
      <c r="B49" s="1487"/>
      <c r="C49" s="1489"/>
      <c r="D49" s="1489"/>
      <c r="E49" s="1489"/>
    </row>
    <row r="50" spans="1:5" x14ac:dyDescent="0.25">
      <c r="A50" s="612"/>
      <c r="B50" s="612"/>
      <c r="C50" s="612"/>
      <c r="D50" s="612"/>
      <c r="E50" s="612"/>
    </row>
    <row r="51" spans="1:5" x14ac:dyDescent="0.25">
      <c r="A51" s="612"/>
      <c r="B51" s="612"/>
      <c r="C51" s="612"/>
      <c r="D51" s="612"/>
      <c r="E51" s="612"/>
    </row>
    <row r="52" spans="1:5" x14ac:dyDescent="0.25">
      <c r="A52" s="612"/>
      <c r="B52" s="612"/>
      <c r="C52" s="612"/>
      <c r="D52" s="612"/>
      <c r="E52" s="612"/>
    </row>
    <row r="53" spans="1:5" ht="15.75" thickBot="1" x14ac:dyDescent="0.3">
      <c r="A53" s="612"/>
      <c r="B53" s="612"/>
      <c r="C53" s="612"/>
      <c r="D53" s="612"/>
      <c r="E53" s="612"/>
    </row>
    <row r="54" spans="1:5" x14ac:dyDescent="0.25">
      <c r="A54" s="1480" t="s">
        <v>246</v>
      </c>
      <c r="B54" s="1481"/>
      <c r="C54" s="605" t="s">
        <v>874</v>
      </c>
      <c r="D54" s="1374" t="s">
        <v>434</v>
      </c>
      <c r="E54" s="605" t="s">
        <v>875</v>
      </c>
    </row>
    <row r="55" spans="1:5" ht="15.75" thickBot="1" x14ac:dyDescent="0.3">
      <c r="A55" s="1482"/>
      <c r="B55" s="1483"/>
      <c r="C55" s="606" t="s">
        <v>889</v>
      </c>
      <c r="D55" s="1375"/>
      <c r="E55" s="606" t="s">
        <v>661</v>
      </c>
    </row>
    <row r="56" spans="1:5" ht="6" customHeight="1" x14ac:dyDescent="0.25">
      <c r="A56" s="1477"/>
      <c r="B56" s="1478"/>
      <c r="C56" s="607"/>
      <c r="D56" s="607"/>
      <c r="E56" s="607"/>
    </row>
    <row r="57" spans="1:5" x14ac:dyDescent="0.25">
      <c r="A57" s="1476"/>
      <c r="B57" s="1479" t="s">
        <v>902</v>
      </c>
      <c r="C57" s="1475">
        <f>+C10</f>
        <v>103543736</v>
      </c>
      <c r="D57" s="1475">
        <f>+D10</f>
        <v>18103504</v>
      </c>
      <c r="E57" s="1475">
        <f>+E10</f>
        <v>17031719</v>
      </c>
    </row>
    <row r="58" spans="1:5" x14ac:dyDescent="0.25">
      <c r="A58" s="1476"/>
      <c r="B58" s="1479"/>
      <c r="C58" s="1475"/>
      <c r="D58" s="1475"/>
      <c r="E58" s="1475"/>
    </row>
    <row r="59" spans="1:5" ht="19.5" x14ac:dyDescent="0.25">
      <c r="A59" s="1476"/>
      <c r="B59" s="609" t="s">
        <v>903</v>
      </c>
      <c r="C59" s="706">
        <f>+C60-C61</f>
        <v>-10000000</v>
      </c>
      <c r="D59" s="706">
        <f>+D60-D61</f>
        <v>-7499988</v>
      </c>
      <c r="E59" s="706">
        <f>+E60-E61</f>
        <v>-7499988</v>
      </c>
    </row>
    <row r="60" spans="1:5" x14ac:dyDescent="0.25">
      <c r="A60" s="1476"/>
      <c r="B60" s="608" t="s">
        <v>896</v>
      </c>
      <c r="C60" s="706">
        <f>+C42</f>
        <v>0</v>
      </c>
      <c r="D60" s="706">
        <f>+D42</f>
        <v>0</v>
      </c>
      <c r="E60" s="706">
        <f>+E42</f>
        <v>0</v>
      </c>
    </row>
    <row r="61" spans="1:5" x14ac:dyDescent="0.25">
      <c r="A61" s="1476"/>
      <c r="B61" s="608" t="s">
        <v>899</v>
      </c>
      <c r="C61" s="706">
        <f>+C45</f>
        <v>10000000</v>
      </c>
      <c r="D61" s="706">
        <f>+D45</f>
        <v>7499988</v>
      </c>
      <c r="E61" s="706">
        <f>+E45</f>
        <v>7499988</v>
      </c>
    </row>
    <row r="62" spans="1:5" ht="5.25" customHeight="1" x14ac:dyDescent="0.25">
      <c r="A62" s="1476"/>
      <c r="B62" s="754"/>
      <c r="C62" s="706"/>
      <c r="D62" s="706"/>
      <c r="E62" s="706"/>
    </row>
    <row r="63" spans="1:5" x14ac:dyDescent="0.25">
      <c r="A63" s="753"/>
      <c r="B63" s="754" t="s">
        <v>881</v>
      </c>
      <c r="C63" s="706">
        <f>+C15</f>
        <v>93543736</v>
      </c>
      <c r="D63" s="706">
        <f>+D15</f>
        <v>61413902</v>
      </c>
      <c r="E63" s="706">
        <f>+E15</f>
        <v>53012445</v>
      </c>
    </row>
    <row r="64" spans="1:5" ht="6.75" customHeight="1" x14ac:dyDescent="0.25">
      <c r="A64" s="753"/>
      <c r="B64" s="754"/>
      <c r="C64" s="706"/>
      <c r="D64" s="706"/>
      <c r="E64" s="706"/>
    </row>
    <row r="65" spans="1:5" x14ac:dyDescent="0.25">
      <c r="A65" s="753"/>
      <c r="B65" s="754" t="s">
        <v>884</v>
      </c>
      <c r="C65" s="707"/>
      <c r="D65" s="713">
        <f>+D19</f>
        <v>0</v>
      </c>
      <c r="E65" s="713">
        <f>+E19</f>
        <v>0</v>
      </c>
    </row>
    <row r="66" spans="1:5" x14ac:dyDescent="0.25">
      <c r="A66" s="753"/>
      <c r="B66" s="754"/>
      <c r="C66" s="706"/>
      <c r="D66" s="706"/>
      <c r="E66" s="706"/>
    </row>
    <row r="67" spans="1:5" ht="19.5" x14ac:dyDescent="0.25">
      <c r="A67" s="1473"/>
      <c r="B67" s="599" t="s">
        <v>904</v>
      </c>
      <c r="C67" s="709">
        <f>+C10+C59-C15+C19</f>
        <v>0</v>
      </c>
      <c r="D67" s="709">
        <f>+D10+D59-D15+D19</f>
        <v>-50810386</v>
      </c>
      <c r="E67" s="709">
        <f>+E10+E59-E15+E19</f>
        <v>-43480714</v>
      </c>
    </row>
    <row r="68" spans="1:5" x14ac:dyDescent="0.25">
      <c r="A68" s="1473"/>
      <c r="B68" s="610"/>
      <c r="C68" s="706" t="s">
        <v>244</v>
      </c>
      <c r="D68" s="706" t="s">
        <v>244</v>
      </c>
      <c r="E68" s="706" t="s">
        <v>244</v>
      </c>
    </row>
    <row r="69" spans="1:5" ht="19.5" x14ac:dyDescent="0.25">
      <c r="A69" s="1473"/>
      <c r="B69" s="599" t="s">
        <v>905</v>
      </c>
      <c r="C69" s="709">
        <f>+C67-C59</f>
        <v>10000000</v>
      </c>
      <c r="D69" s="709">
        <f>+D67-D59</f>
        <v>-43310398</v>
      </c>
      <c r="E69" s="709">
        <f>+E67-E59</f>
        <v>-35980726</v>
      </c>
    </row>
    <row r="70" spans="1:5" ht="15.75" thickBot="1" x14ac:dyDescent="0.3">
      <c r="A70" s="1474"/>
      <c r="B70" s="611"/>
      <c r="C70" s="625" t="s">
        <v>244</v>
      </c>
      <c r="D70" s="626" t="s">
        <v>244</v>
      </c>
      <c r="E70" s="625" t="s">
        <v>244</v>
      </c>
    </row>
    <row r="71" spans="1:5" ht="5.25" customHeight="1" thickBot="1" x14ac:dyDescent="0.3"/>
    <row r="72" spans="1:5" x14ac:dyDescent="0.25">
      <c r="A72" s="1480" t="s">
        <v>246</v>
      </c>
      <c r="B72" s="1481"/>
      <c r="C72" s="1484" t="s">
        <v>894</v>
      </c>
      <c r="D72" s="1374" t="s">
        <v>434</v>
      </c>
      <c r="E72" s="605" t="s">
        <v>875</v>
      </c>
    </row>
    <row r="73" spans="1:5" ht="15.75" thickBot="1" x14ac:dyDescent="0.3">
      <c r="A73" s="1482"/>
      <c r="B73" s="1483"/>
      <c r="C73" s="1485"/>
      <c r="D73" s="1375"/>
      <c r="E73" s="606" t="s">
        <v>661</v>
      </c>
    </row>
    <row r="74" spans="1:5" x14ac:dyDescent="0.25">
      <c r="A74" s="1477"/>
      <c r="B74" s="1478"/>
      <c r="C74" s="607"/>
      <c r="D74" s="607"/>
      <c r="E74" s="607"/>
    </row>
    <row r="75" spans="1:5" x14ac:dyDescent="0.25">
      <c r="A75" s="1476"/>
      <c r="B75" s="1479" t="s">
        <v>878</v>
      </c>
      <c r="C75" s="1475">
        <f>+C11</f>
        <v>0</v>
      </c>
      <c r="D75" s="1475">
        <f>+D11</f>
        <v>0</v>
      </c>
      <c r="E75" s="1475">
        <f>+E11</f>
        <v>0</v>
      </c>
    </row>
    <row r="76" spans="1:5" x14ac:dyDescent="0.25">
      <c r="A76" s="1476"/>
      <c r="B76" s="1479"/>
      <c r="C76" s="1475"/>
      <c r="D76" s="1475"/>
      <c r="E76" s="1475"/>
    </row>
    <row r="77" spans="1:5" ht="19.5" x14ac:dyDescent="0.25">
      <c r="A77" s="1476"/>
      <c r="B77" s="609" t="s">
        <v>906</v>
      </c>
      <c r="C77" s="706">
        <f>+C78-C79</f>
        <v>0</v>
      </c>
      <c r="D77" s="706">
        <f>+D78-D79</f>
        <v>0</v>
      </c>
      <c r="E77" s="706">
        <f>+E78-E79</f>
        <v>0</v>
      </c>
    </row>
    <row r="78" spans="1:5" x14ac:dyDescent="0.25">
      <c r="A78" s="1476"/>
      <c r="B78" s="608" t="s">
        <v>897</v>
      </c>
      <c r="C78" s="706">
        <f>+C43</f>
        <v>0</v>
      </c>
      <c r="D78" s="706">
        <v>0</v>
      </c>
      <c r="E78" s="706">
        <v>0</v>
      </c>
    </row>
    <row r="79" spans="1:5" x14ac:dyDescent="0.25">
      <c r="A79" s="1476"/>
      <c r="B79" s="608" t="s">
        <v>900</v>
      </c>
      <c r="C79" s="706">
        <f>+C46</f>
        <v>0</v>
      </c>
      <c r="D79" s="706">
        <v>0</v>
      </c>
      <c r="E79" s="706">
        <v>0</v>
      </c>
    </row>
    <row r="80" spans="1:5" x14ac:dyDescent="0.25">
      <c r="A80" s="1476"/>
      <c r="B80" s="754"/>
      <c r="C80" s="706"/>
      <c r="D80" s="706"/>
      <c r="E80" s="706"/>
    </row>
    <row r="81" spans="1:5" x14ac:dyDescent="0.25">
      <c r="A81" s="753"/>
      <c r="B81" s="754" t="s">
        <v>907</v>
      </c>
      <c r="C81" s="706">
        <f>+C16</f>
        <v>0</v>
      </c>
      <c r="D81" s="706">
        <f>+D16</f>
        <v>0</v>
      </c>
      <c r="E81" s="706">
        <f>+E16</f>
        <v>0</v>
      </c>
    </row>
    <row r="82" spans="1:5" x14ac:dyDescent="0.25">
      <c r="A82" s="753"/>
      <c r="B82" s="754"/>
      <c r="C82" s="706" t="s">
        <v>244</v>
      </c>
      <c r="D82" s="706" t="s">
        <v>244</v>
      </c>
      <c r="E82" s="706" t="s">
        <v>244</v>
      </c>
    </row>
    <row r="83" spans="1:5" x14ac:dyDescent="0.25">
      <c r="A83" s="753"/>
      <c r="B83" s="754" t="s">
        <v>885</v>
      </c>
      <c r="C83" s="707"/>
      <c r="D83" s="713">
        <f>+D20</f>
        <v>0</v>
      </c>
      <c r="E83" s="713">
        <f>+E20</f>
        <v>0</v>
      </c>
    </row>
    <row r="84" spans="1:5" x14ac:dyDescent="0.25">
      <c r="A84" s="753"/>
      <c r="B84" s="754"/>
      <c r="C84" s="706"/>
      <c r="D84" s="706"/>
      <c r="E84" s="706"/>
    </row>
    <row r="85" spans="1:5" ht="19.5" x14ac:dyDescent="0.25">
      <c r="A85" s="1473"/>
      <c r="B85" s="599" t="s">
        <v>908</v>
      </c>
      <c r="C85" s="708">
        <f>+C75+C77-C81+C83</f>
        <v>0</v>
      </c>
      <c r="D85" s="708">
        <f>+D75+D77-D81+D83</f>
        <v>0</v>
      </c>
      <c r="E85" s="708">
        <f>+E75+E77-E81+E83</f>
        <v>0</v>
      </c>
    </row>
    <row r="86" spans="1:5" x14ac:dyDescent="0.25">
      <c r="A86" s="1473"/>
      <c r="B86" s="610"/>
      <c r="C86" s="709"/>
      <c r="D86" s="709"/>
      <c r="E86" s="709"/>
    </row>
    <row r="87" spans="1:5" ht="19.5" x14ac:dyDescent="0.25">
      <c r="A87" s="1473"/>
      <c r="B87" s="599" t="s">
        <v>909</v>
      </c>
      <c r="C87" s="710">
        <f>+C85-C77</f>
        <v>0</v>
      </c>
      <c r="D87" s="710">
        <f>+D85-D77</f>
        <v>0</v>
      </c>
      <c r="E87" s="710">
        <f>+E85-E77</f>
        <v>0</v>
      </c>
    </row>
    <row r="88" spans="1:5" ht="15.75" thickBot="1" x14ac:dyDescent="0.3">
      <c r="A88" s="1474"/>
      <c r="B88" s="611"/>
      <c r="C88" s="611"/>
      <c r="D88" s="611"/>
      <c r="E88" s="611"/>
    </row>
  </sheetData>
  <sheetProtection formatColumns="0" formatRows="0" insertHyperlinks="0"/>
  <mergeCells count="41">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 ref="A48:A49"/>
    <mergeCell ref="B48:B49"/>
    <mergeCell ref="C48:C49"/>
    <mergeCell ref="D48:D49"/>
    <mergeCell ref="E48:E49"/>
    <mergeCell ref="A54:B55"/>
    <mergeCell ref="D54:D55"/>
    <mergeCell ref="A56:B56"/>
    <mergeCell ref="A57:A58"/>
    <mergeCell ref="B57:B58"/>
    <mergeCell ref="C57:C58"/>
    <mergeCell ref="D57:D58"/>
    <mergeCell ref="A67:A70"/>
    <mergeCell ref="A72:B73"/>
    <mergeCell ref="C72:C73"/>
    <mergeCell ref="D72:D73"/>
    <mergeCell ref="E57:E58"/>
    <mergeCell ref="A59:A62"/>
    <mergeCell ref="A85:A88"/>
    <mergeCell ref="E75:E76"/>
    <mergeCell ref="A77:A80"/>
    <mergeCell ref="A74:B74"/>
    <mergeCell ref="A75:A76"/>
    <mergeCell ref="B75:B76"/>
    <mergeCell ref="C75:C76"/>
    <mergeCell ref="D75:D76"/>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dimension ref="A1:D30"/>
  <sheetViews>
    <sheetView view="pageBreakPreview" zoomScale="110" zoomScaleNormal="100" zoomScaleSheetLayoutView="110" workbookViewId="0">
      <selection activeCell="C37" sqref="C37"/>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500" t="str">
        <f>'ETCA-I-01'!A1:G1</f>
        <v>TELEVISORA DE HERMOSILLO, S.A. DE C.V.</v>
      </c>
      <c r="B1" s="1500"/>
      <c r="C1" s="1500"/>
      <c r="D1" s="1500"/>
    </row>
    <row r="2" spans="1:4" x14ac:dyDescent="0.3">
      <c r="A2" s="1501" t="s">
        <v>20</v>
      </c>
      <c r="B2" s="1501"/>
      <c r="C2" s="1501"/>
      <c r="D2" s="1501"/>
    </row>
    <row r="3" spans="1:4" x14ac:dyDescent="0.3">
      <c r="A3" s="1501" t="str">
        <f>'ETCA-I-03'!A3:D3</f>
        <v>Del 01 de Enero al 30 de Septiembre de 2021</v>
      </c>
      <c r="B3" s="1501"/>
      <c r="C3" s="1501"/>
      <c r="D3" s="1501"/>
    </row>
    <row r="4" spans="1:4" x14ac:dyDescent="0.3">
      <c r="A4" s="37"/>
      <c r="B4" s="1501" t="s">
        <v>910</v>
      </c>
      <c r="C4" s="1501"/>
      <c r="D4" s="45"/>
    </row>
    <row r="5" spans="1:4" ht="6.75" customHeight="1" thickBot="1" x14ac:dyDescent="0.35"/>
    <row r="6" spans="1:4" s="31" customFormat="1" ht="30" customHeight="1" x14ac:dyDescent="0.25">
      <c r="A6" s="1504" t="s">
        <v>911</v>
      </c>
      <c r="B6" s="1505"/>
      <c r="C6" s="1502" t="s">
        <v>912</v>
      </c>
      <c r="D6" s="1503"/>
    </row>
    <row r="7" spans="1:4" s="31" customFormat="1" ht="32.25" customHeight="1" thickBot="1" x14ac:dyDescent="0.3">
      <c r="A7" s="1506"/>
      <c r="B7" s="1507"/>
      <c r="C7" s="38" t="s">
        <v>913</v>
      </c>
      <c r="D7" s="39" t="s">
        <v>914</v>
      </c>
    </row>
    <row r="8" spans="1:4" s="31" customFormat="1" ht="31.5" customHeight="1" x14ac:dyDescent="0.25">
      <c r="A8" s="34">
        <v>1</v>
      </c>
      <c r="B8" s="878" t="s">
        <v>1092</v>
      </c>
      <c r="C8" s="35" t="s">
        <v>1093</v>
      </c>
      <c r="D8" s="36" t="s">
        <v>1094</v>
      </c>
    </row>
    <row r="9" spans="1:4" s="31" customFormat="1" ht="31.5" customHeight="1" x14ac:dyDescent="0.25">
      <c r="A9" s="34">
        <v>2</v>
      </c>
      <c r="B9" s="878" t="s">
        <v>1092</v>
      </c>
      <c r="C9" s="35" t="s">
        <v>1095</v>
      </c>
      <c r="D9" s="36">
        <v>45409949</v>
      </c>
    </row>
    <row r="10" spans="1:4" s="31" customFormat="1" ht="31.5" customHeight="1" x14ac:dyDescent="0.25">
      <c r="A10" s="34">
        <v>3</v>
      </c>
      <c r="B10" s="878" t="s">
        <v>1092</v>
      </c>
      <c r="C10" s="35" t="s">
        <v>1096</v>
      </c>
      <c r="D10" s="36" t="s">
        <v>1097</v>
      </c>
    </row>
    <row r="11" spans="1:4" s="31" customFormat="1" ht="31.5" customHeight="1" x14ac:dyDescent="0.25">
      <c r="A11" s="34">
        <v>4</v>
      </c>
      <c r="B11" s="878" t="s">
        <v>1092</v>
      </c>
      <c r="C11" s="35" t="s">
        <v>1096</v>
      </c>
      <c r="D11" s="36" t="s">
        <v>1098</v>
      </c>
    </row>
    <row r="12" spans="1:4" s="31" customFormat="1" ht="31.5" customHeight="1" x14ac:dyDescent="0.25">
      <c r="A12" s="34">
        <v>5</v>
      </c>
      <c r="B12" s="878" t="s">
        <v>1092</v>
      </c>
      <c r="C12" s="35" t="s">
        <v>1096</v>
      </c>
      <c r="D12" s="36">
        <v>51500593097</v>
      </c>
    </row>
    <row r="13" spans="1:4" s="31" customFormat="1" ht="31.5" customHeight="1" x14ac:dyDescent="0.25">
      <c r="A13" s="34">
        <v>6</v>
      </c>
      <c r="B13" s="43"/>
      <c r="C13" s="35"/>
      <c r="D13" s="36"/>
    </row>
    <row r="14" spans="1:4" s="31" customFormat="1" ht="31.5" customHeight="1" x14ac:dyDescent="0.25">
      <c r="A14" s="34">
        <v>7</v>
      </c>
      <c r="B14" s="43"/>
      <c r="C14" s="35"/>
      <c r="D14" s="36"/>
    </row>
    <row r="15" spans="1:4" s="31" customFormat="1" ht="31.5" customHeight="1" x14ac:dyDescent="0.25">
      <c r="A15" s="34">
        <v>8</v>
      </c>
      <c r="B15" s="43"/>
      <c r="C15" s="35"/>
      <c r="D15" s="36"/>
    </row>
    <row r="16" spans="1:4" s="31" customFormat="1" ht="31.5" customHeight="1" x14ac:dyDescent="0.25">
      <c r="A16" s="34">
        <v>9</v>
      </c>
      <c r="B16" s="43"/>
      <c r="C16" s="35"/>
      <c r="D16" s="36"/>
    </row>
    <row r="17" spans="1:4" s="31" customFormat="1" ht="31.5" customHeight="1" x14ac:dyDescent="0.25">
      <c r="A17" s="34"/>
      <c r="B17" s="43"/>
      <c r="C17" s="35"/>
      <c r="D17" s="36"/>
    </row>
    <row r="18" spans="1:4" s="31" customFormat="1" ht="31.5" customHeight="1" x14ac:dyDescent="0.25">
      <c r="A18" s="34"/>
      <c r="B18" s="43"/>
      <c r="C18" s="35"/>
      <c r="D18" s="36"/>
    </row>
    <row r="19" spans="1:4" s="31" customFormat="1" ht="31.5" customHeight="1" x14ac:dyDescent="0.25">
      <c r="A19" s="34"/>
      <c r="B19" s="43"/>
      <c r="C19" s="35"/>
      <c r="D19" s="36"/>
    </row>
    <row r="20" spans="1:4" s="31" customFormat="1" ht="31.5" customHeight="1" x14ac:dyDescent="0.25">
      <c r="A20" s="34"/>
      <c r="B20" s="43"/>
      <c r="C20" s="35"/>
      <c r="D20" s="36"/>
    </row>
    <row r="21" spans="1:4" s="31" customFormat="1" ht="31.5" customHeight="1" x14ac:dyDescent="0.25">
      <c r="A21" s="34"/>
      <c r="B21" s="43"/>
      <c r="C21" s="35"/>
      <c r="D21" s="36"/>
    </row>
    <row r="22" spans="1:4" s="31" customFormat="1" ht="31.5" customHeight="1" x14ac:dyDescent="0.25">
      <c r="A22" s="34"/>
      <c r="B22" s="43"/>
      <c r="C22" s="35"/>
      <c r="D22" s="36"/>
    </row>
    <row r="23" spans="1:4" s="31" customFormat="1" ht="31.5" customHeight="1" x14ac:dyDescent="0.25">
      <c r="A23" s="34">
        <v>10</v>
      </c>
      <c r="B23" s="43"/>
      <c r="C23" s="35"/>
      <c r="D23" s="36"/>
    </row>
    <row r="24" spans="1:4" s="31" customFormat="1" ht="31.5" customHeight="1" x14ac:dyDescent="0.25">
      <c r="A24" s="1496"/>
      <c r="B24" s="1497"/>
      <c r="C24" s="1498"/>
      <c r="D24" s="1499"/>
    </row>
    <row r="25" spans="1:4" x14ac:dyDescent="0.3">
      <c r="A25" s="414" t="s">
        <v>81</v>
      </c>
      <c r="B25" s="44"/>
    </row>
    <row r="26" spans="1:4" x14ac:dyDescent="0.3">
      <c r="A26" s="414"/>
      <c r="B26" s="44"/>
    </row>
    <row r="27" spans="1:4" x14ac:dyDescent="0.3">
      <c r="A27" s="414"/>
      <c r="B27" s="44"/>
    </row>
    <row r="28" spans="1:4" x14ac:dyDescent="0.3">
      <c r="A28" s="414"/>
      <c r="B28" s="44"/>
    </row>
    <row r="29" spans="1:4" x14ac:dyDescent="0.3">
      <c r="A29" s="3"/>
    </row>
    <row r="30" spans="1:4" ht="18.75" x14ac:dyDescent="0.3">
      <c r="B30" s="367" t="s">
        <v>915</v>
      </c>
    </row>
  </sheetData>
  <mergeCells count="7">
    <mergeCell ref="A24:D24"/>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523"/>
  <sheetViews>
    <sheetView topLeftCell="A61" workbookViewId="0">
      <selection activeCell="D21" sqref="D21"/>
    </sheetView>
  </sheetViews>
  <sheetFormatPr baseColWidth="10" defaultRowHeight="15" x14ac:dyDescent="0.25"/>
  <cols>
    <col min="1" max="1" width="29" customWidth="1"/>
    <col min="2" max="2" width="38.5703125" customWidth="1"/>
    <col min="3" max="3" width="46.140625" customWidth="1"/>
  </cols>
  <sheetData>
    <row r="1" spans="1:3" ht="15.75" x14ac:dyDescent="0.25">
      <c r="A1" s="970"/>
      <c r="B1" s="970" t="s">
        <v>1088</v>
      </c>
      <c r="C1" s="970"/>
    </row>
    <row r="2" spans="1:3" ht="15.75" x14ac:dyDescent="0.25">
      <c r="A2" s="1500" t="s">
        <v>1298</v>
      </c>
      <c r="B2" s="1500"/>
      <c r="C2" s="1500"/>
    </row>
    <row r="3" spans="1:3" ht="15.75" x14ac:dyDescent="0.25">
      <c r="A3" s="1500" t="str">
        <f>+'ETCA-I-01'!A3:G3</f>
        <v>Al 30 de Septiembre de 2021</v>
      </c>
      <c r="B3" s="1500"/>
      <c r="C3" s="1500"/>
    </row>
    <row r="4" spans="1:3" ht="15.75" thickBot="1" x14ac:dyDescent="0.3"/>
    <row r="5" spans="1:3" x14ac:dyDescent="0.25">
      <c r="A5" s="1509" t="s">
        <v>1299</v>
      </c>
      <c r="B5" s="1509" t="s">
        <v>246</v>
      </c>
      <c r="C5" s="948" t="s">
        <v>1300</v>
      </c>
    </row>
    <row r="6" spans="1:3" ht="24" x14ac:dyDescent="0.25">
      <c r="A6" s="1510"/>
      <c r="B6" s="1510"/>
      <c r="C6" s="949" t="s">
        <v>1301</v>
      </c>
    </row>
    <row r="7" spans="1:3" x14ac:dyDescent="0.25">
      <c r="A7" s="950">
        <v>1</v>
      </c>
      <c r="B7" s="950" t="s">
        <v>1302</v>
      </c>
      <c r="C7" s="960"/>
    </row>
    <row r="8" spans="1:3" x14ac:dyDescent="0.25">
      <c r="A8" s="950"/>
      <c r="B8" s="950"/>
      <c r="C8" s="960"/>
    </row>
    <row r="9" spans="1:3" x14ac:dyDescent="0.25">
      <c r="A9" s="950">
        <v>1.1000000000000001</v>
      </c>
      <c r="B9" s="950" t="s">
        <v>1303</v>
      </c>
      <c r="C9" s="960"/>
    </row>
    <row r="10" spans="1:3" x14ac:dyDescent="0.25">
      <c r="A10" s="950"/>
      <c r="B10" s="950"/>
      <c r="C10" s="960"/>
    </row>
    <row r="11" spans="1:3" x14ac:dyDescent="0.25">
      <c r="A11" s="950" t="s">
        <v>1304</v>
      </c>
      <c r="B11" s="950" t="s">
        <v>198</v>
      </c>
      <c r="C11" s="960"/>
    </row>
    <row r="12" spans="1:3" ht="24" x14ac:dyDescent="0.25">
      <c r="A12" s="950" t="s">
        <v>1305</v>
      </c>
      <c r="B12" s="950" t="s">
        <v>1306</v>
      </c>
      <c r="C12" s="950"/>
    </row>
    <row r="13" spans="1:3" x14ac:dyDescent="0.25">
      <c r="A13" s="960"/>
      <c r="B13" s="951"/>
      <c r="C13" s="960"/>
    </row>
    <row r="14" spans="1:3" x14ac:dyDescent="0.25">
      <c r="A14" s="960" t="s">
        <v>1307</v>
      </c>
      <c r="B14" s="951" t="s">
        <v>1308</v>
      </c>
      <c r="C14" s="960"/>
    </row>
    <row r="15" spans="1:3" x14ac:dyDescent="0.25">
      <c r="A15" s="960" t="s">
        <v>1309</v>
      </c>
      <c r="B15" s="960" t="s">
        <v>1310</v>
      </c>
      <c r="C15" s="963">
        <v>0</v>
      </c>
    </row>
    <row r="16" spans="1:3" x14ac:dyDescent="0.25">
      <c r="A16" s="950"/>
      <c r="B16" s="950"/>
      <c r="C16" s="950"/>
    </row>
    <row r="17" spans="1:3" ht="24" x14ac:dyDescent="0.25">
      <c r="A17" s="960" t="s">
        <v>1311</v>
      </c>
      <c r="B17" s="951" t="s">
        <v>1312</v>
      </c>
      <c r="C17" s="960"/>
    </row>
    <row r="18" spans="1:3" x14ac:dyDescent="0.25">
      <c r="A18" s="960" t="s">
        <v>1313</v>
      </c>
      <c r="B18" s="960" t="s">
        <v>1310</v>
      </c>
      <c r="C18" s="963">
        <v>0</v>
      </c>
    </row>
    <row r="19" spans="1:3" x14ac:dyDescent="0.25">
      <c r="A19" s="950"/>
      <c r="B19" s="950"/>
      <c r="C19" s="950"/>
    </row>
    <row r="20" spans="1:3" x14ac:dyDescent="0.25">
      <c r="A20" s="960" t="s">
        <v>1314</v>
      </c>
      <c r="B20" s="951" t="s">
        <v>1315</v>
      </c>
      <c r="C20" s="960"/>
    </row>
    <row r="21" spans="1:3" x14ac:dyDescent="0.25">
      <c r="A21" s="950"/>
      <c r="B21" s="950"/>
      <c r="C21" s="950"/>
    </row>
    <row r="22" spans="1:3" ht="24" x14ac:dyDescent="0.25">
      <c r="A22" s="950" t="s">
        <v>1316</v>
      </c>
      <c r="B22" s="950" t="s">
        <v>1317</v>
      </c>
      <c r="C22" s="950"/>
    </row>
    <row r="23" spans="1:3" x14ac:dyDescent="0.25">
      <c r="A23" s="960" t="s">
        <v>1318</v>
      </c>
      <c r="B23" s="960" t="s">
        <v>1319</v>
      </c>
      <c r="C23" s="963">
        <v>0</v>
      </c>
    </row>
    <row r="24" spans="1:3" x14ac:dyDescent="0.25">
      <c r="A24" s="960"/>
      <c r="B24" s="960"/>
      <c r="C24" s="960"/>
    </row>
    <row r="25" spans="1:3" x14ac:dyDescent="0.25">
      <c r="A25" s="950" t="s">
        <v>1320</v>
      </c>
      <c r="B25" s="950" t="s">
        <v>1321</v>
      </c>
      <c r="C25" s="963">
        <v>0</v>
      </c>
    </row>
    <row r="26" spans="1:3" x14ac:dyDescent="0.25">
      <c r="A26" s="960"/>
      <c r="B26" s="960"/>
      <c r="C26" s="960"/>
    </row>
    <row r="27" spans="1:3" x14ac:dyDescent="0.25">
      <c r="A27" s="950" t="s">
        <v>1322</v>
      </c>
      <c r="B27" s="950" t="s">
        <v>1323</v>
      </c>
      <c r="C27" s="950"/>
    </row>
    <row r="28" spans="1:3" ht="24" x14ac:dyDescent="0.25">
      <c r="A28" s="960" t="s">
        <v>1324</v>
      </c>
      <c r="B28" s="960" t="s">
        <v>1325</v>
      </c>
      <c r="C28" s="963">
        <v>0</v>
      </c>
    </row>
    <row r="29" spans="1:3" x14ac:dyDescent="0.25">
      <c r="A29" s="960" t="s">
        <v>1326</v>
      </c>
      <c r="B29" s="960" t="s">
        <v>1327</v>
      </c>
      <c r="C29" s="963">
        <v>0</v>
      </c>
    </row>
    <row r="30" spans="1:3" ht="24" x14ac:dyDescent="0.25">
      <c r="A30" s="960" t="s">
        <v>1328</v>
      </c>
      <c r="B30" s="960" t="s">
        <v>1329</v>
      </c>
      <c r="C30" s="963">
        <v>0</v>
      </c>
    </row>
    <row r="31" spans="1:3" x14ac:dyDescent="0.25">
      <c r="A31" s="960" t="s">
        <v>1330</v>
      </c>
      <c r="B31" s="960" t="s">
        <v>1331</v>
      </c>
      <c r="C31" s="963">
        <v>0</v>
      </c>
    </row>
    <row r="32" spans="1:3" x14ac:dyDescent="0.25">
      <c r="A32" s="950"/>
      <c r="B32" s="950"/>
      <c r="C32" s="950"/>
    </row>
    <row r="33" spans="1:3" ht="36" x14ac:dyDescent="0.25">
      <c r="A33" s="950" t="s">
        <v>1332</v>
      </c>
      <c r="B33" s="950" t="s">
        <v>1333</v>
      </c>
      <c r="C33" s="950"/>
    </row>
    <row r="34" spans="1:3" x14ac:dyDescent="0.25">
      <c r="A34" s="960" t="s">
        <v>1334</v>
      </c>
      <c r="B34" s="960" t="s">
        <v>1335</v>
      </c>
      <c r="C34" s="963">
        <v>0</v>
      </c>
    </row>
    <row r="35" spans="1:3" x14ac:dyDescent="0.25">
      <c r="A35" s="960" t="s">
        <v>1336</v>
      </c>
      <c r="B35" s="960" t="s">
        <v>1337</v>
      </c>
      <c r="C35" s="963">
        <v>0</v>
      </c>
    </row>
    <row r="36" spans="1:3" x14ac:dyDescent="0.25">
      <c r="A36" s="950"/>
      <c r="B36" s="950"/>
      <c r="C36" s="950"/>
    </row>
    <row r="37" spans="1:3" x14ac:dyDescent="0.25">
      <c r="A37" s="950" t="s">
        <v>1338</v>
      </c>
      <c r="B37" s="950" t="s">
        <v>1339</v>
      </c>
      <c r="C37" s="963">
        <v>0</v>
      </c>
    </row>
    <row r="38" spans="1:3" x14ac:dyDescent="0.25">
      <c r="A38" s="960"/>
      <c r="B38" s="960"/>
      <c r="C38" s="960"/>
    </row>
    <row r="39" spans="1:3" x14ac:dyDescent="0.25">
      <c r="A39" s="950" t="s">
        <v>1340</v>
      </c>
      <c r="B39" s="950" t="s">
        <v>1341</v>
      </c>
      <c r="C39" s="963">
        <v>0</v>
      </c>
    </row>
    <row r="40" spans="1:3" x14ac:dyDescent="0.25">
      <c r="A40" s="960"/>
      <c r="B40" s="960"/>
      <c r="C40" s="960"/>
    </row>
    <row r="41" spans="1:3" x14ac:dyDescent="0.25">
      <c r="A41" s="950" t="s">
        <v>1342</v>
      </c>
      <c r="B41" s="950" t="s">
        <v>1343</v>
      </c>
      <c r="C41" s="963">
        <v>0</v>
      </c>
    </row>
    <row r="42" spans="1:3" x14ac:dyDescent="0.25">
      <c r="A42" s="960"/>
      <c r="B42" s="960"/>
      <c r="C42" s="960"/>
    </row>
    <row r="43" spans="1:3" x14ac:dyDescent="0.25">
      <c r="A43" s="950" t="s">
        <v>1344</v>
      </c>
      <c r="B43" s="950" t="s">
        <v>1345</v>
      </c>
      <c r="C43" s="963">
        <v>0</v>
      </c>
    </row>
    <row r="44" spans="1:3" x14ac:dyDescent="0.25">
      <c r="A44" s="950"/>
      <c r="B44" s="950"/>
      <c r="C44" s="960"/>
    </row>
    <row r="45" spans="1:3" x14ac:dyDescent="0.25">
      <c r="A45" s="950" t="s">
        <v>1346</v>
      </c>
      <c r="B45" s="950" t="s">
        <v>1347</v>
      </c>
      <c r="C45" s="960"/>
    </row>
    <row r="46" spans="1:3" x14ac:dyDescent="0.25">
      <c r="A46" s="960" t="s">
        <v>1348</v>
      </c>
      <c r="B46" s="960" t="s">
        <v>1349</v>
      </c>
      <c r="C46" s="963">
        <v>0</v>
      </c>
    </row>
    <row r="47" spans="1:3" x14ac:dyDescent="0.25">
      <c r="A47" s="960" t="s">
        <v>1350</v>
      </c>
      <c r="B47" s="960" t="s">
        <v>1351</v>
      </c>
      <c r="C47" s="963">
        <v>0</v>
      </c>
    </row>
    <row r="48" spans="1:3" ht="24" x14ac:dyDescent="0.25">
      <c r="A48" s="960" t="s">
        <v>1352</v>
      </c>
      <c r="B48" s="960" t="s">
        <v>1353</v>
      </c>
      <c r="C48" s="963">
        <v>0</v>
      </c>
    </row>
    <row r="49" spans="1:3" x14ac:dyDescent="0.25">
      <c r="A49" s="960" t="s">
        <v>1354</v>
      </c>
      <c r="B49" s="960" t="s">
        <v>1355</v>
      </c>
      <c r="C49" s="963">
        <v>0</v>
      </c>
    </row>
    <row r="50" spans="1:3" x14ac:dyDescent="0.25">
      <c r="A50" s="950" t="s">
        <v>1356</v>
      </c>
      <c r="B50" s="950" t="s">
        <v>418</v>
      </c>
      <c r="C50" s="963">
        <v>0</v>
      </c>
    </row>
    <row r="51" spans="1:3" x14ac:dyDescent="0.25">
      <c r="A51" s="960"/>
      <c r="B51" s="960"/>
      <c r="C51" s="960"/>
    </row>
    <row r="52" spans="1:3" ht="24" x14ac:dyDescent="0.25">
      <c r="A52" s="950" t="s">
        <v>1357</v>
      </c>
      <c r="B52" s="950" t="s">
        <v>1358</v>
      </c>
      <c r="C52" s="960"/>
    </row>
    <row r="53" spans="1:3" x14ac:dyDescent="0.25">
      <c r="A53" s="960" t="s">
        <v>1359</v>
      </c>
      <c r="B53" s="960" t="s">
        <v>1360</v>
      </c>
      <c r="C53" s="963">
        <v>0</v>
      </c>
    </row>
    <row r="54" spans="1:3" ht="24" x14ac:dyDescent="0.25">
      <c r="A54" s="960" t="s">
        <v>1361</v>
      </c>
      <c r="B54" s="960" t="s">
        <v>1362</v>
      </c>
      <c r="C54" s="962">
        <f>+'ETCA-II-01'!F13</f>
        <v>983.58299999999997</v>
      </c>
    </row>
    <row r="55" spans="1:3" ht="24" x14ac:dyDescent="0.25">
      <c r="A55" s="960" t="s">
        <v>1363</v>
      </c>
      <c r="B55" s="960" t="s">
        <v>1364</v>
      </c>
      <c r="C55" s="963">
        <v>0</v>
      </c>
    </row>
    <row r="56" spans="1:3" x14ac:dyDescent="0.25">
      <c r="A56" s="960"/>
      <c r="B56" s="960"/>
      <c r="C56" s="960"/>
    </row>
    <row r="57" spans="1:3" x14ac:dyDescent="0.25">
      <c r="A57" s="950" t="s">
        <v>1365</v>
      </c>
      <c r="B57" s="950" t="s">
        <v>1366</v>
      </c>
      <c r="C57" s="960"/>
    </row>
    <row r="58" spans="1:3" x14ac:dyDescent="0.25">
      <c r="A58" s="960" t="s">
        <v>1367</v>
      </c>
      <c r="B58" s="960" t="s">
        <v>1368</v>
      </c>
      <c r="C58" s="963">
        <v>0</v>
      </c>
    </row>
    <row r="59" spans="1:3" x14ac:dyDescent="0.25">
      <c r="A59" s="960" t="s">
        <v>1369</v>
      </c>
      <c r="B59" s="960" t="s">
        <v>1370</v>
      </c>
      <c r="C59" s="960"/>
    </row>
    <row r="60" spans="1:3" x14ac:dyDescent="0.25">
      <c r="A60" s="960" t="s">
        <v>1371</v>
      </c>
      <c r="B60" s="960" t="s">
        <v>1372</v>
      </c>
      <c r="C60" s="960"/>
    </row>
    <row r="61" spans="1:3" x14ac:dyDescent="0.25">
      <c r="A61" s="960" t="s">
        <v>1373</v>
      </c>
      <c r="B61" s="960" t="s">
        <v>1374</v>
      </c>
      <c r="C61" s="963">
        <v>0</v>
      </c>
    </row>
    <row r="62" spans="1:3" x14ac:dyDescent="0.25">
      <c r="A62" s="960" t="s">
        <v>1375</v>
      </c>
      <c r="B62" s="960" t="s">
        <v>1376</v>
      </c>
      <c r="C62" s="963">
        <v>0</v>
      </c>
    </row>
    <row r="63" spans="1:3" x14ac:dyDescent="0.25">
      <c r="A63" s="960" t="s">
        <v>1377</v>
      </c>
      <c r="B63" s="960" t="s">
        <v>1378</v>
      </c>
      <c r="C63" s="963">
        <v>0</v>
      </c>
    </row>
    <row r="64" spans="1:3" x14ac:dyDescent="0.25">
      <c r="A64" s="960"/>
      <c r="B64" s="960"/>
      <c r="C64" s="960"/>
    </row>
    <row r="65" spans="1:3" ht="36" x14ac:dyDescent="0.25">
      <c r="A65" s="950" t="s">
        <v>1379</v>
      </c>
      <c r="B65" s="950" t="s">
        <v>1380</v>
      </c>
      <c r="C65" s="950"/>
    </row>
    <row r="66" spans="1:3" x14ac:dyDescent="0.25">
      <c r="A66" s="960" t="s">
        <v>1381</v>
      </c>
      <c r="B66" s="960" t="s">
        <v>1382</v>
      </c>
      <c r="C66" s="963">
        <v>0</v>
      </c>
    </row>
    <row r="67" spans="1:3" x14ac:dyDescent="0.25">
      <c r="A67" s="960" t="s">
        <v>1383</v>
      </c>
      <c r="B67" s="960" t="s">
        <v>1384</v>
      </c>
      <c r="C67" s="963">
        <v>0</v>
      </c>
    </row>
    <row r="68" spans="1:3" x14ac:dyDescent="0.25">
      <c r="A68" s="960" t="s">
        <v>1385</v>
      </c>
      <c r="B68" s="960" t="s">
        <v>1386</v>
      </c>
      <c r="C68" s="961">
        <f>+'ETCA-II-01'!F15</f>
        <v>4930792</v>
      </c>
    </row>
    <row r="69" spans="1:3" x14ac:dyDescent="0.25">
      <c r="A69" s="950"/>
      <c r="B69" s="950"/>
      <c r="C69" s="950"/>
    </row>
    <row r="70" spans="1:3" x14ac:dyDescent="0.25">
      <c r="A70" s="950"/>
      <c r="B70" s="950"/>
      <c r="C70" s="950"/>
    </row>
    <row r="71" spans="1:3" ht="24" x14ac:dyDescent="0.25">
      <c r="A71" s="950" t="s">
        <v>1387</v>
      </c>
      <c r="B71" s="950" t="s">
        <v>1388</v>
      </c>
      <c r="C71" s="950"/>
    </row>
    <row r="72" spans="1:3" ht="36" x14ac:dyDescent="0.25">
      <c r="A72" s="960" t="s">
        <v>1389</v>
      </c>
      <c r="B72" s="960" t="s">
        <v>1390</v>
      </c>
      <c r="C72" s="963">
        <v>0</v>
      </c>
    </row>
    <row r="73" spans="1:3" ht="36" x14ac:dyDescent="0.25">
      <c r="A73" s="960" t="s">
        <v>1391</v>
      </c>
      <c r="B73" s="960" t="s">
        <v>1392</v>
      </c>
      <c r="C73" s="963">
        <v>0</v>
      </c>
    </row>
    <row r="74" spans="1:3" x14ac:dyDescent="0.25">
      <c r="A74" s="950"/>
      <c r="B74" s="950"/>
      <c r="C74" s="950"/>
    </row>
    <row r="75" spans="1:3" ht="24" x14ac:dyDescent="0.25">
      <c r="A75" s="950" t="s">
        <v>1393</v>
      </c>
      <c r="B75" s="950" t="s">
        <v>1394</v>
      </c>
      <c r="C75" s="950"/>
    </row>
    <row r="76" spans="1:3" x14ac:dyDescent="0.25">
      <c r="A76" s="960" t="s">
        <v>1395</v>
      </c>
      <c r="B76" s="960" t="s">
        <v>1396</v>
      </c>
      <c r="C76" s="952" t="s">
        <v>1397</v>
      </c>
    </row>
    <row r="77" spans="1:3" x14ac:dyDescent="0.25">
      <c r="A77" s="960" t="s">
        <v>1398</v>
      </c>
      <c r="B77" s="960" t="s">
        <v>1399</v>
      </c>
      <c r="C77" s="963">
        <v>0</v>
      </c>
    </row>
    <row r="78" spans="1:3" x14ac:dyDescent="0.25">
      <c r="A78" s="960" t="s">
        <v>1400</v>
      </c>
      <c r="B78" s="960" t="s">
        <v>1401</v>
      </c>
      <c r="C78" s="960"/>
    </row>
    <row r="79" spans="1:3" x14ac:dyDescent="0.25">
      <c r="A79" s="960" t="s">
        <v>1402</v>
      </c>
      <c r="B79" s="960" t="s">
        <v>1403</v>
      </c>
      <c r="C79" s="962">
        <f>+'ETCA-II-01'!F17</f>
        <v>13171728</v>
      </c>
    </row>
    <row r="80" spans="1:3" x14ac:dyDescent="0.25">
      <c r="A80" s="960" t="s">
        <v>1404</v>
      </c>
      <c r="B80" s="960" t="s">
        <v>1405</v>
      </c>
      <c r="C80" s="963">
        <v>0</v>
      </c>
    </row>
    <row r="81" spans="1:3" x14ac:dyDescent="0.25">
      <c r="A81" s="960" t="s">
        <v>1406</v>
      </c>
      <c r="B81" s="960" t="s">
        <v>219</v>
      </c>
      <c r="C81" s="963">
        <v>0</v>
      </c>
    </row>
    <row r="82" spans="1:3" ht="24" x14ac:dyDescent="0.25">
      <c r="A82" s="960" t="s">
        <v>1407</v>
      </c>
      <c r="B82" s="960" t="s">
        <v>1408</v>
      </c>
      <c r="C82" s="963">
        <v>0</v>
      </c>
    </row>
    <row r="83" spans="1:3" x14ac:dyDescent="0.25">
      <c r="A83" s="960" t="s">
        <v>1409</v>
      </c>
      <c r="B83" s="960" t="s">
        <v>1410</v>
      </c>
      <c r="C83" s="963">
        <v>0</v>
      </c>
    </row>
    <row r="84" spans="1:3" x14ac:dyDescent="0.25">
      <c r="A84" s="960" t="s">
        <v>1411</v>
      </c>
      <c r="B84" s="960" t="s">
        <v>1412</v>
      </c>
      <c r="C84" s="963">
        <v>0</v>
      </c>
    </row>
    <row r="85" spans="1:3" x14ac:dyDescent="0.25">
      <c r="A85" s="960" t="s">
        <v>1413</v>
      </c>
      <c r="B85" s="960" t="s">
        <v>1414</v>
      </c>
      <c r="C85" s="960"/>
    </row>
    <row r="86" spans="1:3" x14ac:dyDescent="0.25">
      <c r="A86" s="960" t="s">
        <v>1415</v>
      </c>
      <c r="B86" s="960" t="s">
        <v>1416</v>
      </c>
      <c r="C86" s="960"/>
    </row>
    <row r="87" spans="1:3" x14ac:dyDescent="0.25">
      <c r="A87" s="960" t="s">
        <v>1417</v>
      </c>
      <c r="B87" s="960" t="s">
        <v>1418</v>
      </c>
      <c r="C87" s="960"/>
    </row>
    <row r="88" spans="1:3" x14ac:dyDescent="0.25">
      <c r="A88" s="960" t="s">
        <v>1419</v>
      </c>
      <c r="B88" s="960" t="s">
        <v>1420</v>
      </c>
      <c r="C88" s="960"/>
    </row>
    <row r="89" spans="1:3" x14ac:dyDescent="0.25">
      <c r="A89" s="950"/>
      <c r="B89" s="950"/>
      <c r="C89" s="950"/>
    </row>
    <row r="90" spans="1:3" x14ac:dyDescent="0.25">
      <c r="A90" s="950" t="s">
        <v>1421</v>
      </c>
      <c r="B90" s="950" t="s">
        <v>225</v>
      </c>
      <c r="C90" s="963">
        <v>0</v>
      </c>
    </row>
    <row r="91" spans="1:3" x14ac:dyDescent="0.25">
      <c r="A91" s="960"/>
      <c r="B91" s="960"/>
      <c r="C91" s="960"/>
    </row>
    <row r="92" spans="1:3" x14ac:dyDescent="0.25">
      <c r="A92" s="950">
        <v>1.2</v>
      </c>
      <c r="B92" s="950" t="s">
        <v>1422</v>
      </c>
      <c r="C92" s="960"/>
    </row>
    <row r="93" spans="1:3" x14ac:dyDescent="0.25">
      <c r="A93" s="950"/>
      <c r="B93" s="950"/>
      <c r="C93" s="960"/>
    </row>
    <row r="94" spans="1:3" x14ac:dyDescent="0.25">
      <c r="A94" s="950" t="s">
        <v>1423</v>
      </c>
      <c r="B94" s="950" t="s">
        <v>1424</v>
      </c>
      <c r="C94" s="960"/>
    </row>
    <row r="95" spans="1:3" x14ac:dyDescent="0.25">
      <c r="A95" s="960" t="s">
        <v>1425</v>
      </c>
      <c r="B95" s="960" t="s">
        <v>1426</v>
      </c>
      <c r="C95" s="963">
        <v>0</v>
      </c>
    </row>
    <row r="96" spans="1:3" x14ac:dyDescent="0.25">
      <c r="A96" s="960" t="s">
        <v>1427</v>
      </c>
      <c r="B96" s="960" t="s">
        <v>1428</v>
      </c>
      <c r="C96" s="963">
        <v>0</v>
      </c>
    </row>
    <row r="97" spans="1:3" x14ac:dyDescent="0.25">
      <c r="A97" s="960" t="s">
        <v>1429</v>
      </c>
      <c r="B97" s="960" t="s">
        <v>1430</v>
      </c>
      <c r="C97" s="963">
        <v>0</v>
      </c>
    </row>
    <row r="98" spans="1:3" x14ac:dyDescent="0.25">
      <c r="A98" s="950"/>
      <c r="B98" s="950"/>
      <c r="C98" s="950"/>
    </row>
    <row r="99" spans="1:3" x14ac:dyDescent="0.25">
      <c r="A99" s="950" t="s">
        <v>1431</v>
      </c>
      <c r="B99" s="950" t="s">
        <v>1432</v>
      </c>
      <c r="C99" s="953" t="s">
        <v>1433</v>
      </c>
    </row>
    <row r="100" spans="1:3" x14ac:dyDescent="0.25">
      <c r="A100" s="960" t="s">
        <v>1434</v>
      </c>
      <c r="B100" s="960" t="s">
        <v>213</v>
      </c>
      <c r="C100" s="963">
        <v>0</v>
      </c>
    </row>
    <row r="101" spans="1:3" x14ac:dyDescent="0.25">
      <c r="A101" s="960" t="s">
        <v>1435</v>
      </c>
      <c r="B101" s="960" t="s">
        <v>1436</v>
      </c>
      <c r="C101" s="963">
        <v>0</v>
      </c>
    </row>
    <row r="102" spans="1:3" x14ac:dyDescent="0.25">
      <c r="A102" s="960" t="s">
        <v>1437</v>
      </c>
      <c r="B102" s="960" t="s">
        <v>1438</v>
      </c>
      <c r="C102" s="963">
        <v>0</v>
      </c>
    </row>
    <row r="103" spans="1:3" x14ac:dyDescent="0.25">
      <c r="A103" s="960" t="s">
        <v>1439</v>
      </c>
      <c r="B103" s="960" t="s">
        <v>1440</v>
      </c>
      <c r="C103" s="963">
        <v>0</v>
      </c>
    </row>
    <row r="104" spans="1:3" x14ac:dyDescent="0.25">
      <c r="A104" s="960" t="s">
        <v>1441</v>
      </c>
      <c r="B104" s="960" t="s">
        <v>1442</v>
      </c>
      <c r="C104" s="963">
        <v>0</v>
      </c>
    </row>
    <row r="105" spans="1:3" x14ac:dyDescent="0.25">
      <c r="A105" s="960" t="s">
        <v>1443</v>
      </c>
      <c r="B105" s="960" t="s">
        <v>1444</v>
      </c>
      <c r="C105" s="963">
        <v>0</v>
      </c>
    </row>
    <row r="106" spans="1:3" x14ac:dyDescent="0.25">
      <c r="A106" s="1508" t="s">
        <v>1445</v>
      </c>
      <c r="B106" s="1508" t="s">
        <v>1446</v>
      </c>
      <c r="C106" s="963">
        <v>0</v>
      </c>
    </row>
    <row r="107" spans="1:3" x14ac:dyDescent="0.25">
      <c r="A107" s="1508"/>
      <c r="B107" s="1508"/>
      <c r="C107" s="963">
        <v>0</v>
      </c>
    </row>
    <row r="108" spans="1:3" x14ac:dyDescent="0.25">
      <c r="A108" s="950"/>
      <c r="B108" s="950"/>
      <c r="C108" s="950"/>
    </row>
    <row r="109" spans="1:3" ht="24" x14ac:dyDescent="0.25">
      <c r="A109" s="950" t="s">
        <v>1447</v>
      </c>
      <c r="B109" s="950" t="s">
        <v>1448</v>
      </c>
      <c r="C109" s="953" t="s">
        <v>1433</v>
      </c>
    </row>
    <row r="110" spans="1:3" x14ac:dyDescent="0.25">
      <c r="A110" s="950"/>
      <c r="B110" s="950"/>
      <c r="C110" s="950"/>
    </row>
    <row r="111" spans="1:3" x14ac:dyDescent="0.25">
      <c r="A111" s="960" t="s">
        <v>1449</v>
      </c>
      <c r="B111" s="960" t="s">
        <v>1450</v>
      </c>
      <c r="C111" s="961">
        <f>+'ETCA-I-05'!B21</f>
        <v>5614266</v>
      </c>
    </row>
    <row r="112" spans="1:3" x14ac:dyDescent="0.25">
      <c r="A112" s="960" t="s">
        <v>1451</v>
      </c>
      <c r="B112" s="960" t="s">
        <v>1452</v>
      </c>
      <c r="C112" s="963">
        <v>0</v>
      </c>
    </row>
    <row r="113" spans="1:3" x14ac:dyDescent="0.25">
      <c r="A113" s="960" t="s">
        <v>1453</v>
      </c>
      <c r="B113" s="960" t="s">
        <v>1454</v>
      </c>
      <c r="C113" s="961">
        <f>+'ETCA-I-05'!B12</f>
        <v>8156</v>
      </c>
    </row>
    <row r="114" spans="1:3" x14ac:dyDescent="0.25">
      <c r="A114" s="960" t="s">
        <v>1455</v>
      </c>
      <c r="B114" s="960" t="s">
        <v>235</v>
      </c>
      <c r="C114" s="963">
        <v>0</v>
      </c>
    </row>
    <row r="115" spans="1:3" ht="24" x14ac:dyDescent="0.25">
      <c r="A115" s="950" t="s">
        <v>1456</v>
      </c>
      <c r="B115" s="950" t="s">
        <v>1457</v>
      </c>
      <c r="C115" s="950"/>
    </row>
    <row r="116" spans="1:3" x14ac:dyDescent="0.25">
      <c r="A116" s="1508" t="s">
        <v>1458</v>
      </c>
      <c r="B116" s="1508" t="s">
        <v>1396</v>
      </c>
      <c r="C116" s="952" t="s">
        <v>1459</v>
      </c>
    </row>
    <row r="117" spans="1:3" x14ac:dyDescent="0.25">
      <c r="A117" s="1508"/>
      <c r="B117" s="1508"/>
      <c r="C117" s="960" t="s">
        <v>1460</v>
      </c>
    </row>
    <row r="118" spans="1:3" x14ac:dyDescent="0.25">
      <c r="A118" s="960" t="s">
        <v>1461</v>
      </c>
      <c r="B118" s="960" t="s">
        <v>1399</v>
      </c>
      <c r="C118" s="963">
        <v>0</v>
      </c>
    </row>
    <row r="119" spans="1:3" x14ac:dyDescent="0.25">
      <c r="A119" s="960" t="s">
        <v>1462</v>
      </c>
      <c r="B119" s="960" t="s">
        <v>1463</v>
      </c>
      <c r="C119" s="960"/>
    </row>
    <row r="120" spans="1:3" x14ac:dyDescent="0.25">
      <c r="A120" s="960" t="s">
        <v>1464</v>
      </c>
      <c r="B120" s="960" t="s">
        <v>1403</v>
      </c>
      <c r="C120" s="963">
        <v>0</v>
      </c>
    </row>
    <row r="121" spans="1:3" x14ac:dyDescent="0.25">
      <c r="A121" s="960" t="s">
        <v>1465</v>
      </c>
      <c r="B121" s="960" t="s">
        <v>1405</v>
      </c>
      <c r="C121" s="963">
        <v>0</v>
      </c>
    </row>
    <row r="122" spans="1:3" x14ac:dyDescent="0.25">
      <c r="A122" s="960" t="s">
        <v>1466</v>
      </c>
      <c r="B122" s="960" t="s">
        <v>219</v>
      </c>
      <c r="C122" s="963">
        <v>0</v>
      </c>
    </row>
    <row r="123" spans="1:3" ht="24" x14ac:dyDescent="0.25">
      <c r="A123" s="960" t="s">
        <v>1467</v>
      </c>
      <c r="B123" s="960" t="s">
        <v>1408</v>
      </c>
      <c r="C123" s="963">
        <v>0</v>
      </c>
    </row>
    <row r="124" spans="1:3" x14ac:dyDescent="0.25">
      <c r="A124" s="960" t="s">
        <v>1468</v>
      </c>
      <c r="B124" s="960" t="s">
        <v>1410</v>
      </c>
      <c r="C124" s="963">
        <v>0</v>
      </c>
    </row>
    <row r="125" spans="1:3" x14ac:dyDescent="0.25">
      <c r="A125" s="960" t="s">
        <v>1469</v>
      </c>
      <c r="B125" s="960" t="s">
        <v>1412</v>
      </c>
      <c r="C125" s="963">
        <v>0</v>
      </c>
    </row>
    <row r="126" spans="1:3" x14ac:dyDescent="0.25">
      <c r="A126" s="960" t="s">
        <v>1470</v>
      </c>
      <c r="B126" s="960" t="s">
        <v>1414</v>
      </c>
      <c r="C126" s="963">
        <v>0</v>
      </c>
    </row>
    <row r="127" spans="1:3" x14ac:dyDescent="0.25">
      <c r="A127" s="960" t="s">
        <v>1471</v>
      </c>
      <c r="B127" s="960" t="s">
        <v>1416</v>
      </c>
      <c r="C127" s="960"/>
    </row>
    <row r="128" spans="1:3" x14ac:dyDescent="0.25">
      <c r="A128" s="960" t="s">
        <v>1472</v>
      </c>
      <c r="B128" s="960" t="s">
        <v>1418</v>
      </c>
      <c r="C128" s="960"/>
    </row>
    <row r="129" spans="1:3" x14ac:dyDescent="0.25">
      <c r="A129" s="960" t="s">
        <v>1473</v>
      </c>
      <c r="B129" s="960" t="s">
        <v>1420</v>
      </c>
      <c r="C129" s="960"/>
    </row>
    <row r="130" spans="1:3" x14ac:dyDescent="0.25">
      <c r="A130" s="950"/>
      <c r="B130" s="950"/>
      <c r="C130" s="950"/>
    </row>
    <row r="131" spans="1:3" ht="24" x14ac:dyDescent="0.25">
      <c r="A131" s="950" t="s">
        <v>1474</v>
      </c>
      <c r="B131" s="950" t="s">
        <v>1475</v>
      </c>
      <c r="C131" s="960" t="s">
        <v>1476</v>
      </c>
    </row>
    <row r="132" spans="1:3" ht="24" x14ac:dyDescent="0.25">
      <c r="A132" s="960" t="s">
        <v>1477</v>
      </c>
      <c r="B132" s="960" t="s">
        <v>1478</v>
      </c>
      <c r="C132" s="960"/>
    </row>
    <row r="133" spans="1:3" ht="24" x14ac:dyDescent="0.25">
      <c r="A133" s="960" t="s">
        <v>1479</v>
      </c>
      <c r="B133" s="960" t="s">
        <v>1480</v>
      </c>
      <c r="C133" s="960"/>
    </row>
    <row r="134" spans="1:3" ht="24" x14ac:dyDescent="0.25">
      <c r="A134" s="960" t="s">
        <v>1481</v>
      </c>
      <c r="B134" s="960" t="s">
        <v>1482</v>
      </c>
      <c r="C134" s="960"/>
    </row>
    <row r="135" spans="1:3" ht="24" x14ac:dyDescent="0.25">
      <c r="A135" s="960" t="s">
        <v>1483</v>
      </c>
      <c r="B135" s="960" t="s">
        <v>1484</v>
      </c>
      <c r="C135" s="960"/>
    </row>
    <row r="136" spans="1:3" x14ac:dyDescent="0.25">
      <c r="A136" s="950"/>
      <c r="B136" s="950"/>
      <c r="C136" s="950"/>
    </row>
    <row r="137" spans="1:3" x14ac:dyDescent="0.25">
      <c r="A137" s="950"/>
      <c r="B137" s="950" t="s">
        <v>1485</v>
      </c>
      <c r="C137" s="969">
        <f>+'ETCA-II-01'!F19</f>
        <v>18103503.583000001</v>
      </c>
    </row>
    <row r="138" spans="1:3" x14ac:dyDescent="0.25">
      <c r="A138" s="950"/>
      <c r="B138" s="950"/>
      <c r="C138" s="950"/>
    </row>
    <row r="139" spans="1:3" x14ac:dyDescent="0.25">
      <c r="A139" s="950">
        <v>2</v>
      </c>
      <c r="B139" s="950" t="s">
        <v>1486</v>
      </c>
      <c r="C139" s="960"/>
    </row>
    <row r="140" spans="1:3" x14ac:dyDescent="0.25">
      <c r="A140" s="950"/>
      <c r="B140" s="950"/>
      <c r="C140" s="950"/>
    </row>
    <row r="141" spans="1:3" x14ac:dyDescent="0.25">
      <c r="A141" s="950">
        <v>2.1</v>
      </c>
      <c r="B141" s="950" t="s">
        <v>1487</v>
      </c>
      <c r="C141" s="960"/>
    </row>
    <row r="142" spans="1:3" ht="36" x14ac:dyDescent="0.25">
      <c r="A142" s="950" t="s">
        <v>1488</v>
      </c>
      <c r="B142" s="950" t="s">
        <v>1489</v>
      </c>
      <c r="C142" s="950"/>
    </row>
    <row r="143" spans="1:3" x14ac:dyDescent="0.25">
      <c r="A143" s="960" t="s">
        <v>1490</v>
      </c>
      <c r="B143" s="960" t="s">
        <v>1491</v>
      </c>
      <c r="C143" s="960"/>
    </row>
    <row r="144" spans="1:3" x14ac:dyDescent="0.25">
      <c r="A144" s="960" t="s">
        <v>1492</v>
      </c>
      <c r="B144" s="960" t="s">
        <v>1493</v>
      </c>
      <c r="C144" s="962">
        <f>+'ETCA-II-13'!F9-C145</f>
        <v>43906649</v>
      </c>
    </row>
    <row r="145" spans="1:3" x14ac:dyDescent="0.25">
      <c r="A145" s="960" t="s">
        <v>1494</v>
      </c>
      <c r="B145" s="960" t="s">
        <v>1495</v>
      </c>
      <c r="C145" s="962">
        <f>SUM('ETCA-II-13'!F35:F37)</f>
        <v>6738130</v>
      </c>
    </row>
    <row r="146" spans="1:3" x14ac:dyDescent="0.25">
      <c r="A146" s="960" t="s">
        <v>1496</v>
      </c>
      <c r="B146" s="960" t="s">
        <v>1497</v>
      </c>
      <c r="C146" s="962">
        <f>+'ETCA-II-13'!F118</f>
        <v>1032616</v>
      </c>
    </row>
    <row r="147" spans="1:3" x14ac:dyDescent="0.25">
      <c r="A147" s="960" t="s">
        <v>1498</v>
      </c>
      <c r="B147" s="960" t="s">
        <v>1499</v>
      </c>
      <c r="C147" s="962">
        <f>+'ETCA-II-13'!F121</f>
        <v>0</v>
      </c>
    </row>
    <row r="148" spans="1:3" x14ac:dyDescent="0.25">
      <c r="A148" s="950"/>
      <c r="B148" s="950"/>
      <c r="C148" s="950"/>
    </row>
    <row r="149" spans="1:3" x14ac:dyDescent="0.25">
      <c r="A149" s="960"/>
      <c r="B149" s="960"/>
      <c r="C149" s="953" t="s">
        <v>1433</v>
      </c>
    </row>
    <row r="150" spans="1:3" ht="24" x14ac:dyDescent="0.25">
      <c r="A150" s="960" t="s">
        <v>1500</v>
      </c>
      <c r="B150" s="960" t="s">
        <v>1501</v>
      </c>
      <c r="C150" s="963">
        <v>0</v>
      </c>
    </row>
    <row r="151" spans="1:3" x14ac:dyDescent="0.25">
      <c r="A151" s="960" t="s">
        <v>1502</v>
      </c>
      <c r="B151" s="960" t="s">
        <v>1450</v>
      </c>
      <c r="C151" s="961">
        <f>+'ETCA-I-05'!B21</f>
        <v>5614266</v>
      </c>
    </row>
    <row r="152" spans="1:3" x14ac:dyDescent="0.25">
      <c r="A152" s="960" t="s">
        <v>1503</v>
      </c>
      <c r="B152" s="960" t="s">
        <v>1452</v>
      </c>
      <c r="C152" s="964">
        <f>+'ETCA-I-05'!B12</f>
        <v>8156</v>
      </c>
    </row>
    <row r="153" spans="1:3" x14ac:dyDescent="0.25">
      <c r="A153" s="960"/>
      <c r="B153" s="960"/>
      <c r="C153" s="960"/>
    </row>
    <row r="154" spans="1:3" ht="36" x14ac:dyDescent="0.25">
      <c r="A154" s="960" t="s">
        <v>1504</v>
      </c>
      <c r="B154" s="960" t="s">
        <v>1505</v>
      </c>
      <c r="C154" s="963">
        <v>0</v>
      </c>
    </row>
    <row r="155" spans="1:3" x14ac:dyDescent="0.25">
      <c r="A155" s="950"/>
      <c r="B155" s="950"/>
      <c r="C155" s="950"/>
    </row>
    <row r="156" spans="1:3" ht="24" x14ac:dyDescent="0.25">
      <c r="A156" s="950" t="s">
        <v>1506</v>
      </c>
      <c r="B156" s="950" t="s">
        <v>1507</v>
      </c>
      <c r="C156" s="963">
        <v>0</v>
      </c>
    </row>
    <row r="157" spans="1:3" x14ac:dyDescent="0.25">
      <c r="A157" s="950"/>
      <c r="B157" s="950"/>
      <c r="C157" s="950"/>
    </row>
    <row r="158" spans="1:3" x14ac:dyDescent="0.25">
      <c r="A158" s="950" t="s">
        <v>1508</v>
      </c>
      <c r="B158" s="950" t="s">
        <v>1509</v>
      </c>
      <c r="C158" s="950"/>
    </row>
    <row r="159" spans="1:3" x14ac:dyDescent="0.25">
      <c r="A159" s="960" t="s">
        <v>1510</v>
      </c>
      <c r="B159" s="960" t="s">
        <v>1368</v>
      </c>
      <c r="C159" s="960"/>
    </row>
    <row r="160" spans="1:3" x14ac:dyDescent="0.25">
      <c r="A160" s="960" t="s">
        <v>1511</v>
      </c>
      <c r="B160" s="960" t="s">
        <v>1512</v>
      </c>
      <c r="C160" s="963">
        <v>0</v>
      </c>
    </row>
    <row r="161" spans="1:3" x14ac:dyDescent="0.25">
      <c r="A161" s="960" t="s">
        <v>1513</v>
      </c>
      <c r="B161" s="960" t="s">
        <v>1514</v>
      </c>
      <c r="C161" s="963">
        <v>0</v>
      </c>
    </row>
    <row r="162" spans="1:3" x14ac:dyDescent="0.25">
      <c r="A162" s="960" t="s">
        <v>1515</v>
      </c>
      <c r="B162" s="960" t="s">
        <v>1516</v>
      </c>
      <c r="C162" s="963">
        <v>0</v>
      </c>
    </row>
    <row r="163" spans="1:3" x14ac:dyDescent="0.25">
      <c r="A163" s="960" t="s">
        <v>1517</v>
      </c>
      <c r="B163" s="960" t="s">
        <v>1374</v>
      </c>
      <c r="C163" s="963">
        <v>0</v>
      </c>
    </row>
    <row r="164" spans="1:3" ht="24" x14ac:dyDescent="0.25">
      <c r="A164" s="960" t="s">
        <v>1518</v>
      </c>
      <c r="B164" s="960" t="s">
        <v>1519</v>
      </c>
      <c r="C164" s="963">
        <v>0</v>
      </c>
    </row>
    <row r="165" spans="1:3" x14ac:dyDescent="0.25">
      <c r="A165" s="950"/>
      <c r="B165" s="950"/>
      <c r="C165" s="950"/>
    </row>
    <row r="166" spans="1:3" ht="24" x14ac:dyDescent="0.25">
      <c r="A166" s="950" t="s">
        <v>1520</v>
      </c>
      <c r="B166" s="950" t="s">
        <v>1521</v>
      </c>
      <c r="C166" s="950"/>
    </row>
    <row r="167" spans="1:3" x14ac:dyDescent="0.25">
      <c r="A167" s="960" t="s">
        <v>1522</v>
      </c>
      <c r="B167" s="960" t="s">
        <v>1523</v>
      </c>
      <c r="C167" s="960"/>
    </row>
    <row r="168" spans="1:3" x14ac:dyDescent="0.25">
      <c r="A168" s="960" t="s">
        <v>1524</v>
      </c>
      <c r="B168" s="960" t="s">
        <v>1525</v>
      </c>
      <c r="C168" s="963">
        <v>0</v>
      </c>
    </row>
    <row r="169" spans="1:3" x14ac:dyDescent="0.25">
      <c r="A169" s="960" t="s">
        <v>1526</v>
      </c>
      <c r="B169" s="960" t="s">
        <v>1527</v>
      </c>
      <c r="C169" s="963">
        <v>0</v>
      </c>
    </row>
    <row r="170" spans="1:3" x14ac:dyDescent="0.25">
      <c r="A170" s="960" t="s">
        <v>1528</v>
      </c>
      <c r="B170" s="960" t="s">
        <v>1529</v>
      </c>
      <c r="C170" s="963">
        <v>0</v>
      </c>
    </row>
    <row r="171" spans="1:3" x14ac:dyDescent="0.25">
      <c r="A171" s="960" t="s">
        <v>1530</v>
      </c>
      <c r="B171" s="960" t="s">
        <v>1531</v>
      </c>
      <c r="C171" s="963">
        <v>0</v>
      </c>
    </row>
    <row r="172" spans="1:3" x14ac:dyDescent="0.25">
      <c r="A172" s="960" t="s">
        <v>1532</v>
      </c>
      <c r="B172" s="960" t="s">
        <v>1527</v>
      </c>
      <c r="C172" s="963">
        <v>0</v>
      </c>
    </row>
    <row r="173" spans="1:3" x14ac:dyDescent="0.25">
      <c r="A173" s="950"/>
      <c r="B173" s="950"/>
      <c r="C173" s="950"/>
    </row>
    <row r="174" spans="1:3" ht="24" x14ac:dyDescent="0.25">
      <c r="A174" s="950" t="s">
        <v>1533</v>
      </c>
      <c r="B174" s="950" t="s">
        <v>1534</v>
      </c>
      <c r="C174" s="950"/>
    </row>
    <row r="175" spans="1:3" x14ac:dyDescent="0.25">
      <c r="A175" s="950" t="s">
        <v>1535</v>
      </c>
      <c r="B175" s="950" t="s">
        <v>1536</v>
      </c>
      <c r="C175" s="960"/>
    </row>
    <row r="176" spans="1:3" x14ac:dyDescent="0.25">
      <c r="A176" s="960" t="s">
        <v>1537</v>
      </c>
      <c r="B176" s="960" t="s">
        <v>1538</v>
      </c>
      <c r="C176" s="963">
        <v>0</v>
      </c>
    </row>
    <row r="177" spans="1:3" x14ac:dyDescent="0.25">
      <c r="A177" s="960" t="s">
        <v>1539</v>
      </c>
      <c r="B177" s="960" t="s">
        <v>1540</v>
      </c>
      <c r="C177" s="963">
        <v>0</v>
      </c>
    </row>
    <row r="178" spans="1:3" x14ac:dyDescent="0.25">
      <c r="A178" s="960" t="s">
        <v>1541</v>
      </c>
      <c r="B178" s="960" t="s">
        <v>1542</v>
      </c>
      <c r="C178" s="963">
        <v>0</v>
      </c>
    </row>
    <row r="179" spans="1:3" x14ac:dyDescent="0.25">
      <c r="A179" s="960" t="s">
        <v>1543</v>
      </c>
      <c r="B179" s="960" t="s">
        <v>1544</v>
      </c>
      <c r="C179" s="963">
        <v>0</v>
      </c>
    </row>
    <row r="180" spans="1:3" x14ac:dyDescent="0.25">
      <c r="A180" s="960" t="s">
        <v>1545</v>
      </c>
      <c r="B180" s="960" t="s">
        <v>835</v>
      </c>
      <c r="C180" s="963">
        <v>0</v>
      </c>
    </row>
    <row r="181" spans="1:3" x14ac:dyDescent="0.25">
      <c r="A181" s="960" t="s">
        <v>1546</v>
      </c>
      <c r="B181" s="960" t="s">
        <v>1547</v>
      </c>
      <c r="C181" s="963">
        <v>0</v>
      </c>
    </row>
    <row r="182" spans="1:3" x14ac:dyDescent="0.25">
      <c r="A182" s="960" t="s">
        <v>1548</v>
      </c>
      <c r="B182" s="960" t="s">
        <v>1549</v>
      </c>
      <c r="C182" s="963">
        <v>0</v>
      </c>
    </row>
    <row r="183" spans="1:3" x14ac:dyDescent="0.25">
      <c r="A183" s="950"/>
      <c r="B183" s="950"/>
      <c r="C183" s="950"/>
    </row>
    <row r="184" spans="1:3" x14ac:dyDescent="0.25">
      <c r="A184" s="950" t="s">
        <v>1550</v>
      </c>
      <c r="B184" s="950" t="s">
        <v>1551</v>
      </c>
      <c r="C184" s="960"/>
    </row>
    <row r="185" spans="1:3" x14ac:dyDescent="0.25">
      <c r="A185" s="960" t="s">
        <v>1552</v>
      </c>
      <c r="B185" s="960" t="s">
        <v>1553</v>
      </c>
      <c r="C185" s="960"/>
    </row>
    <row r="186" spans="1:3" x14ac:dyDescent="0.25">
      <c r="A186" s="960" t="s">
        <v>1554</v>
      </c>
      <c r="B186" s="960" t="s">
        <v>1403</v>
      </c>
      <c r="C186" s="963">
        <v>0</v>
      </c>
    </row>
    <row r="187" spans="1:3" x14ac:dyDescent="0.25">
      <c r="A187" s="960" t="s">
        <v>1555</v>
      </c>
      <c r="B187" s="960" t="s">
        <v>1405</v>
      </c>
      <c r="C187" s="963">
        <v>0</v>
      </c>
    </row>
    <row r="188" spans="1:3" x14ac:dyDescent="0.25">
      <c r="A188" s="960" t="s">
        <v>1556</v>
      </c>
      <c r="B188" s="960" t="s">
        <v>1557</v>
      </c>
      <c r="C188" s="963">
        <v>0</v>
      </c>
    </row>
    <row r="189" spans="1:3" ht="24" x14ac:dyDescent="0.25">
      <c r="A189" s="960" t="s">
        <v>1558</v>
      </c>
      <c r="B189" s="960" t="s">
        <v>1408</v>
      </c>
      <c r="C189" s="963">
        <v>0</v>
      </c>
    </row>
    <row r="190" spans="1:3" x14ac:dyDescent="0.25">
      <c r="A190" s="960" t="s">
        <v>1559</v>
      </c>
      <c r="B190" s="960" t="s">
        <v>1560</v>
      </c>
      <c r="C190" s="963">
        <v>0</v>
      </c>
    </row>
    <row r="191" spans="1:3" x14ac:dyDescent="0.25">
      <c r="A191" s="960" t="s">
        <v>1561</v>
      </c>
      <c r="B191" s="960" t="s">
        <v>1562</v>
      </c>
      <c r="C191" s="963">
        <v>0</v>
      </c>
    </row>
    <row r="192" spans="1:3" x14ac:dyDescent="0.25">
      <c r="A192" s="960" t="s">
        <v>1563</v>
      </c>
      <c r="B192" s="960" t="s">
        <v>1564</v>
      </c>
      <c r="C192" s="963">
        <v>0</v>
      </c>
    </row>
    <row r="193" spans="1:3" x14ac:dyDescent="0.25">
      <c r="A193" s="960" t="s">
        <v>1565</v>
      </c>
      <c r="B193" s="960" t="s">
        <v>1566</v>
      </c>
      <c r="C193" s="963">
        <v>0</v>
      </c>
    </row>
    <row r="194" spans="1:3" x14ac:dyDescent="0.25">
      <c r="A194" s="960" t="s">
        <v>1567</v>
      </c>
      <c r="B194" s="960" t="s">
        <v>1568</v>
      </c>
      <c r="C194" s="963">
        <v>0</v>
      </c>
    </row>
    <row r="195" spans="1:3" x14ac:dyDescent="0.25">
      <c r="A195" s="960" t="s">
        <v>1569</v>
      </c>
      <c r="B195" s="960" t="s">
        <v>1570</v>
      </c>
      <c r="C195" s="963">
        <v>0</v>
      </c>
    </row>
    <row r="196" spans="1:3" x14ac:dyDescent="0.25">
      <c r="A196" s="950"/>
      <c r="B196" s="950"/>
      <c r="C196" s="950"/>
    </row>
    <row r="197" spans="1:3" ht="36" x14ac:dyDescent="0.25">
      <c r="A197" s="950" t="s">
        <v>1571</v>
      </c>
      <c r="B197" s="950" t="s">
        <v>1572</v>
      </c>
      <c r="C197" s="950"/>
    </row>
    <row r="198" spans="1:3" x14ac:dyDescent="0.25">
      <c r="A198" s="950"/>
      <c r="B198" s="950"/>
      <c r="C198" s="950"/>
    </row>
    <row r="199" spans="1:3" x14ac:dyDescent="0.25">
      <c r="A199" s="950" t="s">
        <v>1573</v>
      </c>
      <c r="B199" s="950" t="s">
        <v>225</v>
      </c>
      <c r="C199" s="963">
        <v>0</v>
      </c>
    </row>
    <row r="200" spans="1:3" x14ac:dyDescent="0.25">
      <c r="A200" s="950"/>
      <c r="B200" s="950"/>
      <c r="C200" s="950"/>
    </row>
    <row r="201" spans="1:3" x14ac:dyDescent="0.25">
      <c r="A201" s="950" t="s">
        <v>1574</v>
      </c>
      <c r="B201" s="950" t="s">
        <v>1575</v>
      </c>
      <c r="C201" s="963">
        <v>0</v>
      </c>
    </row>
    <row r="202" spans="1:3" x14ac:dyDescent="0.25">
      <c r="A202" s="960" t="s">
        <v>1576</v>
      </c>
      <c r="B202" s="960" t="s">
        <v>40</v>
      </c>
      <c r="C202" s="963">
        <v>0</v>
      </c>
    </row>
    <row r="203" spans="1:3" x14ac:dyDescent="0.25">
      <c r="A203" s="960" t="s">
        <v>1577</v>
      </c>
      <c r="B203" s="960" t="s">
        <v>57</v>
      </c>
      <c r="C203" s="963">
        <v>0</v>
      </c>
    </row>
    <row r="204" spans="1:3" ht="24" x14ac:dyDescent="0.25">
      <c r="A204" s="960" t="s">
        <v>1578</v>
      </c>
      <c r="B204" s="960" t="s">
        <v>1579</v>
      </c>
      <c r="C204" s="963">
        <v>0</v>
      </c>
    </row>
    <row r="205" spans="1:3" ht="24" x14ac:dyDescent="0.25">
      <c r="A205" s="960" t="s">
        <v>1580</v>
      </c>
      <c r="B205" s="960" t="s">
        <v>1581</v>
      </c>
      <c r="C205" s="963">
        <v>0</v>
      </c>
    </row>
    <row r="206" spans="1:3" x14ac:dyDescent="0.25">
      <c r="A206" s="950"/>
      <c r="B206" s="950"/>
      <c r="C206" s="950"/>
    </row>
    <row r="207" spans="1:3" x14ac:dyDescent="0.25">
      <c r="A207" s="950">
        <v>2.2000000000000002</v>
      </c>
      <c r="B207" s="950" t="s">
        <v>1582</v>
      </c>
      <c r="C207" s="960"/>
    </row>
    <row r="208" spans="1:3" x14ac:dyDescent="0.25">
      <c r="A208" s="950"/>
      <c r="B208" s="950"/>
      <c r="C208" s="950"/>
    </row>
    <row r="209" spans="1:3" x14ac:dyDescent="0.25">
      <c r="A209" s="950" t="s">
        <v>1583</v>
      </c>
      <c r="B209" s="950" t="s">
        <v>1584</v>
      </c>
      <c r="C209" s="963">
        <v>0</v>
      </c>
    </row>
    <row r="210" spans="1:3" x14ac:dyDescent="0.25">
      <c r="A210" s="950" t="s">
        <v>1585</v>
      </c>
      <c r="B210" s="950" t="s">
        <v>1586</v>
      </c>
      <c r="C210" s="960"/>
    </row>
    <row r="211" spans="1:3" x14ac:dyDescent="0.25">
      <c r="A211" s="960" t="s">
        <v>1587</v>
      </c>
      <c r="B211" s="960" t="s">
        <v>1588</v>
      </c>
      <c r="C211" s="960"/>
    </row>
    <row r="212" spans="1:3" x14ac:dyDescent="0.25">
      <c r="A212" s="960" t="s">
        <v>1589</v>
      </c>
      <c r="B212" s="960" t="s">
        <v>1590</v>
      </c>
      <c r="C212" s="963">
        <v>0</v>
      </c>
    </row>
    <row r="213" spans="1:3" x14ac:dyDescent="0.25">
      <c r="A213" s="960" t="s">
        <v>1591</v>
      </c>
      <c r="B213" s="960" t="s">
        <v>1592</v>
      </c>
      <c r="C213" s="963">
        <v>0</v>
      </c>
    </row>
    <row r="214" spans="1:3" x14ac:dyDescent="0.25">
      <c r="A214" s="960" t="s">
        <v>1593</v>
      </c>
      <c r="B214" s="960" t="s">
        <v>1594</v>
      </c>
      <c r="C214" s="963">
        <v>0</v>
      </c>
    </row>
    <row r="215" spans="1:3" x14ac:dyDescent="0.25">
      <c r="A215" s="960" t="s">
        <v>1595</v>
      </c>
      <c r="B215" s="960" t="s">
        <v>1596</v>
      </c>
      <c r="C215" s="960"/>
    </row>
    <row r="216" spans="1:3" x14ac:dyDescent="0.25">
      <c r="A216" s="960" t="s">
        <v>1597</v>
      </c>
      <c r="B216" s="960" t="s">
        <v>1598</v>
      </c>
      <c r="C216" s="963">
        <v>0</v>
      </c>
    </row>
    <row r="217" spans="1:3" ht="24" x14ac:dyDescent="0.25">
      <c r="A217" s="960" t="s">
        <v>1599</v>
      </c>
      <c r="B217" s="960" t="s">
        <v>1600</v>
      </c>
      <c r="C217" s="963">
        <v>0</v>
      </c>
    </row>
    <row r="218" spans="1:3" x14ac:dyDescent="0.25">
      <c r="A218" s="960" t="s">
        <v>1601</v>
      </c>
      <c r="B218" s="960" t="s">
        <v>1602</v>
      </c>
      <c r="C218" s="963">
        <v>0</v>
      </c>
    </row>
    <row r="219" spans="1:3" x14ac:dyDescent="0.25">
      <c r="A219" s="960" t="s">
        <v>1603</v>
      </c>
      <c r="B219" s="960" t="s">
        <v>1604</v>
      </c>
      <c r="C219" s="963">
        <v>0</v>
      </c>
    </row>
    <row r="220" spans="1:3" x14ac:dyDescent="0.25">
      <c r="A220" s="960" t="s">
        <v>1605</v>
      </c>
      <c r="B220" s="960" t="s">
        <v>1606</v>
      </c>
      <c r="C220" s="960"/>
    </row>
    <row r="221" spans="1:3" ht="24" x14ac:dyDescent="0.25">
      <c r="A221" s="960" t="s">
        <v>1607</v>
      </c>
      <c r="B221" s="960" t="s">
        <v>1608</v>
      </c>
      <c r="C221" s="963">
        <v>0</v>
      </c>
    </row>
    <row r="222" spans="1:3" ht="24" x14ac:dyDescent="0.25">
      <c r="A222" s="960" t="s">
        <v>1609</v>
      </c>
      <c r="B222" s="960" t="s">
        <v>1610</v>
      </c>
      <c r="C222" s="963">
        <v>0</v>
      </c>
    </row>
    <row r="223" spans="1:3" x14ac:dyDescent="0.25">
      <c r="A223" s="960" t="s">
        <v>1611</v>
      </c>
      <c r="B223" s="960" t="s">
        <v>1612</v>
      </c>
      <c r="C223" s="960" t="s">
        <v>244</v>
      </c>
    </row>
    <row r="224" spans="1:3" x14ac:dyDescent="0.25">
      <c r="A224" s="960" t="s">
        <v>1613</v>
      </c>
      <c r="B224" s="960" t="s">
        <v>1614</v>
      </c>
      <c r="C224" s="960"/>
    </row>
    <row r="225" spans="1:3" x14ac:dyDescent="0.25">
      <c r="A225" s="960" t="s">
        <v>1615</v>
      </c>
      <c r="B225" s="960" t="s">
        <v>1616</v>
      </c>
      <c r="C225" s="960"/>
    </row>
    <row r="226" spans="1:3" x14ac:dyDescent="0.25">
      <c r="A226" s="960" t="s">
        <v>1617</v>
      </c>
      <c r="B226" s="960" t="s">
        <v>1618</v>
      </c>
      <c r="C226" s="963">
        <v>0</v>
      </c>
    </row>
    <row r="227" spans="1:3" ht="24" x14ac:dyDescent="0.25">
      <c r="A227" s="960" t="s">
        <v>1619</v>
      </c>
      <c r="B227" s="960" t="s">
        <v>1620</v>
      </c>
      <c r="C227" s="960"/>
    </row>
    <row r="228" spans="1:3" x14ac:dyDescent="0.25">
      <c r="A228" s="960" t="s">
        <v>1621</v>
      </c>
      <c r="B228" s="960" t="s">
        <v>1622</v>
      </c>
      <c r="C228" s="963">
        <v>0</v>
      </c>
    </row>
    <row r="229" spans="1:3" x14ac:dyDescent="0.25">
      <c r="A229" s="950"/>
      <c r="B229" s="950"/>
      <c r="C229" s="950"/>
    </row>
    <row r="230" spans="1:3" x14ac:dyDescent="0.25">
      <c r="A230" s="960" t="s">
        <v>1623</v>
      </c>
      <c r="B230" s="950" t="s">
        <v>1624</v>
      </c>
      <c r="C230" s="963">
        <v>0</v>
      </c>
    </row>
    <row r="231" spans="1:3" x14ac:dyDescent="0.25">
      <c r="A231" s="960" t="s">
        <v>1625</v>
      </c>
      <c r="B231" s="960" t="s">
        <v>213</v>
      </c>
      <c r="C231" s="963">
        <v>0</v>
      </c>
    </row>
    <row r="232" spans="1:3" x14ac:dyDescent="0.25">
      <c r="A232" s="960" t="s">
        <v>1626</v>
      </c>
      <c r="B232" s="960" t="s">
        <v>1436</v>
      </c>
      <c r="C232" s="960"/>
    </row>
    <row r="233" spans="1:3" x14ac:dyDescent="0.25">
      <c r="A233" s="960" t="s">
        <v>1627</v>
      </c>
      <c r="B233" s="960" t="s">
        <v>1438</v>
      </c>
      <c r="C233" s="963">
        <v>0</v>
      </c>
    </row>
    <row r="234" spans="1:3" x14ac:dyDescent="0.25">
      <c r="A234" s="960" t="s">
        <v>1628</v>
      </c>
      <c r="B234" s="960" t="s">
        <v>1440</v>
      </c>
      <c r="C234" s="963">
        <v>0</v>
      </c>
    </row>
    <row r="235" spans="1:3" x14ac:dyDescent="0.25">
      <c r="A235" s="960" t="s">
        <v>1629</v>
      </c>
      <c r="B235" s="960" t="s">
        <v>1630</v>
      </c>
      <c r="C235" s="963">
        <v>0</v>
      </c>
    </row>
    <row r="236" spans="1:3" x14ac:dyDescent="0.25">
      <c r="A236" s="960" t="s">
        <v>1631</v>
      </c>
      <c r="B236" s="960" t="s">
        <v>1632</v>
      </c>
      <c r="C236" s="960"/>
    </row>
    <row r="237" spans="1:3" ht="24" x14ac:dyDescent="0.25">
      <c r="A237" s="960" t="s">
        <v>1633</v>
      </c>
      <c r="B237" s="960" t="s">
        <v>1634</v>
      </c>
      <c r="C237" s="963">
        <v>0</v>
      </c>
    </row>
    <row r="238" spans="1:3" x14ac:dyDescent="0.25">
      <c r="A238" s="950"/>
      <c r="B238" s="950"/>
      <c r="C238" s="950"/>
    </row>
    <row r="239" spans="1:3" x14ac:dyDescent="0.25">
      <c r="A239" s="950" t="s">
        <v>1635</v>
      </c>
      <c r="B239" s="950" t="s">
        <v>1636</v>
      </c>
      <c r="C239" s="960"/>
    </row>
    <row r="240" spans="1:3" x14ac:dyDescent="0.25">
      <c r="A240" s="960" t="s">
        <v>1637</v>
      </c>
      <c r="B240" s="960" t="s">
        <v>1638</v>
      </c>
      <c r="C240" s="963">
        <v>0</v>
      </c>
    </row>
    <row r="241" spans="1:3" x14ac:dyDescent="0.25">
      <c r="A241" s="960" t="s">
        <v>1639</v>
      </c>
      <c r="B241" s="960" t="s">
        <v>1640</v>
      </c>
      <c r="C241" s="963">
        <v>0</v>
      </c>
    </row>
    <row r="242" spans="1:3" x14ac:dyDescent="0.25">
      <c r="A242" s="960" t="s">
        <v>1641</v>
      </c>
      <c r="B242" s="960" t="s">
        <v>1642</v>
      </c>
      <c r="C242" s="963">
        <v>0</v>
      </c>
    </row>
    <row r="243" spans="1:3" x14ac:dyDescent="0.25">
      <c r="A243" s="950"/>
      <c r="B243" s="950"/>
      <c r="C243" s="950"/>
    </row>
    <row r="244" spans="1:3" x14ac:dyDescent="0.25">
      <c r="A244" s="950" t="s">
        <v>1643</v>
      </c>
      <c r="B244" s="950" t="s">
        <v>1644</v>
      </c>
      <c r="C244" s="960"/>
    </row>
    <row r="245" spans="1:3" ht="24" x14ac:dyDescent="0.25">
      <c r="A245" s="960" t="s">
        <v>1645</v>
      </c>
      <c r="B245" s="960" t="s">
        <v>1646</v>
      </c>
      <c r="C245" s="960"/>
    </row>
    <row r="246" spans="1:3" x14ac:dyDescent="0.25">
      <c r="A246" s="960" t="s">
        <v>1647</v>
      </c>
      <c r="B246" s="960" t="s">
        <v>1648</v>
      </c>
      <c r="C246" s="963">
        <v>0</v>
      </c>
    </row>
    <row r="247" spans="1:3" x14ac:dyDescent="0.25">
      <c r="A247" s="960" t="s">
        <v>1649</v>
      </c>
      <c r="B247" s="960" t="s">
        <v>1650</v>
      </c>
      <c r="C247" s="960"/>
    </row>
    <row r="248" spans="1:3" x14ac:dyDescent="0.25">
      <c r="A248" s="960" t="s">
        <v>1651</v>
      </c>
      <c r="B248" s="960" t="s">
        <v>1652</v>
      </c>
      <c r="C248" s="960"/>
    </row>
    <row r="249" spans="1:3" x14ac:dyDescent="0.25">
      <c r="A249" s="960" t="s">
        <v>1653</v>
      </c>
      <c r="B249" s="960" t="s">
        <v>1654</v>
      </c>
      <c r="C249" s="960"/>
    </row>
    <row r="250" spans="1:3" x14ac:dyDescent="0.25">
      <c r="A250" s="960" t="s">
        <v>1655</v>
      </c>
      <c r="B250" s="960" t="s">
        <v>1656</v>
      </c>
      <c r="C250" s="960"/>
    </row>
    <row r="251" spans="1:3" ht="24" x14ac:dyDescent="0.25">
      <c r="A251" s="960" t="s">
        <v>1657</v>
      </c>
      <c r="B251" s="960" t="s">
        <v>1658</v>
      </c>
      <c r="C251" s="963">
        <v>0</v>
      </c>
    </row>
    <row r="252" spans="1:3" x14ac:dyDescent="0.25">
      <c r="A252" s="960" t="s">
        <v>1659</v>
      </c>
      <c r="B252" s="960" t="s">
        <v>1660</v>
      </c>
      <c r="C252" s="960"/>
    </row>
    <row r="253" spans="1:3" x14ac:dyDescent="0.25">
      <c r="A253" s="960" t="s">
        <v>1661</v>
      </c>
      <c r="B253" s="960" t="s">
        <v>1662</v>
      </c>
      <c r="C253" s="960"/>
    </row>
    <row r="254" spans="1:3" x14ac:dyDescent="0.25">
      <c r="A254" s="960" t="s">
        <v>1663</v>
      </c>
      <c r="B254" s="960" t="s">
        <v>1664</v>
      </c>
      <c r="C254" s="960"/>
    </row>
    <row r="255" spans="1:3" x14ac:dyDescent="0.25">
      <c r="A255" s="960" t="s">
        <v>1665</v>
      </c>
      <c r="B255" s="960" t="s">
        <v>1666</v>
      </c>
      <c r="C255" s="960"/>
    </row>
    <row r="256" spans="1:3" x14ac:dyDescent="0.25">
      <c r="A256" s="950"/>
      <c r="B256" s="950"/>
      <c r="C256" s="950"/>
    </row>
    <row r="257" spans="1:3" ht="24" x14ac:dyDescent="0.25">
      <c r="A257" s="950" t="s">
        <v>1667</v>
      </c>
      <c r="B257" s="950" t="s">
        <v>1668</v>
      </c>
      <c r="C257" s="950"/>
    </row>
    <row r="258" spans="1:3" x14ac:dyDescent="0.25">
      <c r="A258" s="960" t="s">
        <v>1669</v>
      </c>
      <c r="B258" s="960" t="s">
        <v>1536</v>
      </c>
      <c r="C258" s="960"/>
    </row>
    <row r="259" spans="1:3" x14ac:dyDescent="0.25">
      <c r="A259" s="960" t="s">
        <v>1670</v>
      </c>
      <c r="B259" s="960" t="s">
        <v>1538</v>
      </c>
      <c r="C259" s="963">
        <v>0</v>
      </c>
    </row>
    <row r="260" spans="1:3" x14ac:dyDescent="0.25">
      <c r="A260" s="960" t="s">
        <v>1671</v>
      </c>
      <c r="B260" s="960" t="s">
        <v>1542</v>
      </c>
      <c r="C260" s="963">
        <v>0</v>
      </c>
    </row>
    <row r="261" spans="1:3" x14ac:dyDescent="0.25">
      <c r="A261" s="960" t="s">
        <v>1672</v>
      </c>
      <c r="B261" s="960" t="s">
        <v>1544</v>
      </c>
      <c r="C261" s="963">
        <v>0</v>
      </c>
    </row>
    <row r="262" spans="1:3" x14ac:dyDescent="0.25">
      <c r="A262" s="960" t="s">
        <v>1673</v>
      </c>
      <c r="B262" s="960" t="s">
        <v>835</v>
      </c>
      <c r="C262" s="963">
        <v>0</v>
      </c>
    </row>
    <row r="263" spans="1:3" x14ac:dyDescent="0.25">
      <c r="A263" s="960" t="s">
        <v>1674</v>
      </c>
      <c r="B263" s="960" t="s">
        <v>1551</v>
      </c>
      <c r="C263" s="960"/>
    </row>
    <row r="264" spans="1:3" x14ac:dyDescent="0.25">
      <c r="A264" s="960" t="s">
        <v>1675</v>
      </c>
      <c r="B264" s="960" t="s">
        <v>1553</v>
      </c>
      <c r="C264" s="960"/>
    </row>
    <row r="265" spans="1:3" x14ac:dyDescent="0.25">
      <c r="A265" s="960" t="s">
        <v>1676</v>
      </c>
      <c r="B265" s="960" t="s">
        <v>1403</v>
      </c>
      <c r="C265" s="963">
        <v>0</v>
      </c>
    </row>
    <row r="266" spans="1:3" x14ac:dyDescent="0.25">
      <c r="A266" s="960" t="s">
        <v>1677</v>
      </c>
      <c r="B266" s="960" t="s">
        <v>1678</v>
      </c>
      <c r="C266" s="965">
        <f>+'ETCA-II-01'!F17</f>
        <v>13171728</v>
      </c>
    </row>
    <row r="267" spans="1:3" ht="24" x14ac:dyDescent="0.25">
      <c r="A267" s="960" t="s">
        <v>1679</v>
      </c>
      <c r="B267" s="960" t="s">
        <v>1680</v>
      </c>
      <c r="C267" s="963">
        <v>0</v>
      </c>
    </row>
    <row r="268" spans="1:3" x14ac:dyDescent="0.25">
      <c r="A268" s="960" t="s">
        <v>1681</v>
      </c>
      <c r="B268" s="960" t="s">
        <v>1560</v>
      </c>
      <c r="C268" s="960"/>
    </row>
    <row r="269" spans="1:3" x14ac:dyDescent="0.25">
      <c r="A269" s="960" t="s">
        <v>1682</v>
      </c>
      <c r="B269" s="960" t="s">
        <v>1562</v>
      </c>
      <c r="C269" s="960"/>
    </row>
    <row r="270" spans="1:3" x14ac:dyDescent="0.25">
      <c r="A270" s="960" t="s">
        <v>1683</v>
      </c>
      <c r="B270" s="960" t="s">
        <v>1564</v>
      </c>
      <c r="C270" s="960"/>
    </row>
    <row r="271" spans="1:3" x14ac:dyDescent="0.25">
      <c r="A271" s="960" t="s">
        <v>1684</v>
      </c>
      <c r="B271" s="960" t="s">
        <v>1566</v>
      </c>
      <c r="C271" s="963">
        <v>0</v>
      </c>
    </row>
    <row r="272" spans="1:3" x14ac:dyDescent="0.25">
      <c r="A272" s="960" t="s">
        <v>1685</v>
      </c>
      <c r="B272" s="960" t="s">
        <v>1568</v>
      </c>
      <c r="C272" s="963">
        <v>0</v>
      </c>
    </row>
    <row r="273" spans="1:3" x14ac:dyDescent="0.25">
      <c r="A273" s="960" t="s">
        <v>1686</v>
      </c>
      <c r="B273" s="960" t="s">
        <v>1570</v>
      </c>
      <c r="C273" s="963">
        <v>0</v>
      </c>
    </row>
    <row r="274" spans="1:3" x14ac:dyDescent="0.25">
      <c r="A274" s="950"/>
      <c r="B274" s="950"/>
      <c r="C274" s="950"/>
    </row>
    <row r="275" spans="1:3" ht="24" x14ac:dyDescent="0.25">
      <c r="A275" s="950" t="s">
        <v>1687</v>
      </c>
      <c r="B275" s="950" t="s">
        <v>1688</v>
      </c>
      <c r="C275" s="960"/>
    </row>
    <row r="276" spans="1:3" x14ac:dyDescent="0.25">
      <c r="A276" s="960" t="s">
        <v>1689</v>
      </c>
      <c r="B276" s="960" t="s">
        <v>549</v>
      </c>
      <c r="C276" s="960"/>
    </row>
    <row r="277" spans="1:3" x14ac:dyDescent="0.25">
      <c r="A277" s="960" t="s">
        <v>1690</v>
      </c>
      <c r="B277" s="960" t="s">
        <v>1691</v>
      </c>
      <c r="C277" s="960"/>
    </row>
    <row r="278" spans="1:3" x14ac:dyDescent="0.25">
      <c r="A278" s="960" t="s">
        <v>1692</v>
      </c>
      <c r="B278" s="960" t="s">
        <v>1693</v>
      </c>
      <c r="C278" s="963">
        <v>0</v>
      </c>
    </row>
    <row r="279" spans="1:3" x14ac:dyDescent="0.25">
      <c r="A279" s="960" t="s">
        <v>1694</v>
      </c>
      <c r="B279" s="960" t="s">
        <v>1695</v>
      </c>
      <c r="C279" s="963">
        <v>0</v>
      </c>
    </row>
    <row r="280" spans="1:3" x14ac:dyDescent="0.25">
      <c r="A280" s="960" t="s">
        <v>1696</v>
      </c>
      <c r="B280" s="960" t="s">
        <v>1697</v>
      </c>
      <c r="C280" s="963">
        <v>0</v>
      </c>
    </row>
    <row r="281" spans="1:3" ht="24" x14ac:dyDescent="0.25">
      <c r="A281" s="960" t="s">
        <v>1698</v>
      </c>
      <c r="B281" s="960" t="s">
        <v>1699</v>
      </c>
      <c r="C281" s="963">
        <v>0</v>
      </c>
    </row>
    <row r="282" spans="1:3" ht="24" x14ac:dyDescent="0.25">
      <c r="A282" s="960" t="s">
        <v>1700</v>
      </c>
      <c r="B282" s="960" t="s">
        <v>1701</v>
      </c>
      <c r="C282" s="960"/>
    </row>
    <row r="283" spans="1:3" x14ac:dyDescent="0.25">
      <c r="A283" s="960" t="s">
        <v>1702</v>
      </c>
      <c r="B283" s="960" t="s">
        <v>551</v>
      </c>
      <c r="C283" s="960"/>
    </row>
    <row r="284" spans="1:3" x14ac:dyDescent="0.25">
      <c r="A284" s="960" t="s">
        <v>1703</v>
      </c>
      <c r="B284" s="960" t="s">
        <v>1691</v>
      </c>
      <c r="C284" s="960"/>
    </row>
    <row r="285" spans="1:3" x14ac:dyDescent="0.25">
      <c r="A285" s="960" t="s">
        <v>1704</v>
      </c>
      <c r="B285" s="960" t="s">
        <v>1693</v>
      </c>
      <c r="C285" s="963">
        <v>0</v>
      </c>
    </row>
    <row r="286" spans="1:3" x14ac:dyDescent="0.25">
      <c r="A286" s="960" t="s">
        <v>1705</v>
      </c>
      <c r="B286" s="960" t="s">
        <v>1695</v>
      </c>
      <c r="C286" s="963">
        <v>0</v>
      </c>
    </row>
    <row r="287" spans="1:3" x14ac:dyDescent="0.25">
      <c r="A287" s="960" t="s">
        <v>1706</v>
      </c>
      <c r="B287" s="960" t="s">
        <v>1697</v>
      </c>
      <c r="C287" s="963">
        <v>0</v>
      </c>
    </row>
    <row r="288" spans="1:3" x14ac:dyDescent="0.25">
      <c r="A288" s="950"/>
      <c r="B288" s="950"/>
      <c r="C288" s="950"/>
    </row>
    <row r="289" spans="1:3" x14ac:dyDescent="0.25">
      <c r="A289" s="950"/>
      <c r="B289" s="950" t="s">
        <v>1707</v>
      </c>
      <c r="C289" s="969">
        <f>SUM(C143:C287)</f>
        <v>70471545</v>
      </c>
    </row>
    <row r="290" spans="1:3" x14ac:dyDescent="0.25">
      <c r="A290" s="950"/>
      <c r="B290" s="950"/>
      <c r="C290" s="950"/>
    </row>
    <row r="291" spans="1:3" x14ac:dyDescent="0.25">
      <c r="A291" s="950"/>
      <c r="B291" s="950"/>
      <c r="C291" s="960"/>
    </row>
    <row r="292" spans="1:3" x14ac:dyDescent="0.25">
      <c r="A292" s="950"/>
      <c r="B292" s="950"/>
      <c r="C292" s="950"/>
    </row>
    <row r="293" spans="1:3" x14ac:dyDescent="0.25">
      <c r="A293" s="950">
        <v>3</v>
      </c>
      <c r="B293" s="950" t="s">
        <v>1708</v>
      </c>
      <c r="C293" s="960"/>
    </row>
    <row r="294" spans="1:3" x14ac:dyDescent="0.25">
      <c r="A294" s="950"/>
      <c r="B294" s="950"/>
      <c r="C294" s="960"/>
    </row>
    <row r="295" spans="1:3" x14ac:dyDescent="0.25">
      <c r="A295" s="950">
        <v>3.1</v>
      </c>
      <c r="B295" s="950" t="s">
        <v>1709</v>
      </c>
      <c r="C295" s="960"/>
    </row>
    <row r="296" spans="1:3" x14ac:dyDescent="0.25">
      <c r="A296" s="950"/>
      <c r="B296" s="950"/>
      <c r="C296" s="950"/>
    </row>
    <row r="297" spans="1:3" x14ac:dyDescent="0.25">
      <c r="A297" s="950" t="s">
        <v>1710</v>
      </c>
      <c r="B297" s="950" t="s">
        <v>1711</v>
      </c>
      <c r="C297" s="960"/>
    </row>
    <row r="298" spans="1:3" ht="24" x14ac:dyDescent="0.25">
      <c r="A298" s="960" t="s">
        <v>1712</v>
      </c>
      <c r="B298" s="960" t="s">
        <v>1713</v>
      </c>
      <c r="C298" s="960"/>
    </row>
    <row r="299" spans="1:3" ht="42.75" customHeight="1" x14ac:dyDescent="0.25">
      <c r="A299" s="960" t="s">
        <v>1714</v>
      </c>
      <c r="B299" s="960" t="s">
        <v>1715</v>
      </c>
      <c r="C299" s="966" t="s">
        <v>2037</v>
      </c>
    </row>
    <row r="300" spans="1:3" x14ac:dyDescent="0.25">
      <c r="A300" s="960" t="s">
        <v>1716</v>
      </c>
      <c r="B300" s="960" t="s">
        <v>1717</v>
      </c>
      <c r="C300" s="961">
        <f>+'ETCA-I-02'!B9-'ETCA-I-02'!C9</f>
        <v>-5000</v>
      </c>
    </row>
    <row r="301" spans="1:3" x14ac:dyDescent="0.25">
      <c r="A301" s="960" t="s">
        <v>1718</v>
      </c>
      <c r="B301" s="960" t="s">
        <v>1719</v>
      </c>
      <c r="C301" s="967"/>
    </row>
    <row r="302" spans="1:3" x14ac:dyDescent="0.25">
      <c r="A302" s="960" t="s">
        <v>1720</v>
      </c>
      <c r="B302" s="960" t="s">
        <v>1721</v>
      </c>
      <c r="C302" s="961">
        <f>+'ETCA-I-02'!B11-'ETCA-I-02'!C11</f>
        <v>950076</v>
      </c>
    </row>
    <row r="303" spans="1:3" x14ac:dyDescent="0.25">
      <c r="A303" s="960" t="s">
        <v>1722</v>
      </c>
      <c r="B303" s="960" t="s">
        <v>1723</v>
      </c>
      <c r="C303" s="960"/>
    </row>
    <row r="304" spans="1:3" x14ac:dyDescent="0.25">
      <c r="A304" s="960" t="s">
        <v>1724</v>
      </c>
      <c r="B304" s="960" t="s">
        <v>1725</v>
      </c>
      <c r="C304" s="960"/>
    </row>
    <row r="305" spans="1:3" ht="24" x14ac:dyDescent="0.25">
      <c r="A305" s="960" t="s">
        <v>1726</v>
      </c>
      <c r="B305" s="960" t="s">
        <v>1727</v>
      </c>
      <c r="C305" s="960"/>
    </row>
    <row r="306" spans="1:3" x14ac:dyDescent="0.25">
      <c r="A306" s="960" t="s">
        <v>1728</v>
      </c>
      <c r="B306" s="960" t="s">
        <v>1729</v>
      </c>
      <c r="C306" s="960"/>
    </row>
    <row r="307" spans="1:3" x14ac:dyDescent="0.25">
      <c r="A307" s="1508" t="s">
        <v>1730</v>
      </c>
      <c r="B307" s="1508" t="s">
        <v>1731</v>
      </c>
      <c r="C307" s="953" t="s">
        <v>1732</v>
      </c>
    </row>
    <row r="308" spans="1:3" x14ac:dyDescent="0.25">
      <c r="A308" s="1508"/>
      <c r="B308" s="1508"/>
      <c r="C308" s="953" t="s">
        <v>1733</v>
      </c>
    </row>
    <row r="309" spans="1:3" x14ac:dyDescent="0.25">
      <c r="A309" s="960" t="s">
        <v>1734</v>
      </c>
      <c r="B309" s="960" t="s">
        <v>292</v>
      </c>
      <c r="C309" s="963">
        <v>0</v>
      </c>
    </row>
    <row r="310" spans="1:3" x14ac:dyDescent="0.25">
      <c r="A310" s="960" t="s">
        <v>1735</v>
      </c>
      <c r="B310" s="960" t="s">
        <v>1736</v>
      </c>
      <c r="C310" s="963">
        <v>0</v>
      </c>
    </row>
    <row r="311" spans="1:3" x14ac:dyDescent="0.25">
      <c r="A311" s="960" t="s">
        <v>1737</v>
      </c>
      <c r="B311" s="960" t="s">
        <v>553</v>
      </c>
      <c r="C311" s="963">
        <v>0</v>
      </c>
    </row>
    <row r="312" spans="1:3" x14ac:dyDescent="0.25">
      <c r="A312" s="1508" t="s">
        <v>1738</v>
      </c>
      <c r="B312" s="1508" t="s">
        <v>1739</v>
      </c>
      <c r="C312" s="953" t="s">
        <v>1740</v>
      </c>
    </row>
    <row r="313" spans="1:3" x14ac:dyDescent="0.25">
      <c r="A313" s="1508"/>
      <c r="B313" s="1508"/>
      <c r="C313" s="953" t="s">
        <v>1733</v>
      </c>
    </row>
    <row r="314" spans="1:3" x14ac:dyDescent="0.25">
      <c r="A314" s="960" t="s">
        <v>1741</v>
      </c>
      <c r="B314" s="960" t="s">
        <v>1742</v>
      </c>
      <c r="C314" s="961">
        <f>+'ETCA-I-02'!B18-'ETCA-I-02'!C18</f>
        <v>-527368</v>
      </c>
    </row>
    <row r="315" spans="1:3" x14ac:dyDescent="0.25">
      <c r="A315" s="960" t="s">
        <v>1743</v>
      </c>
      <c r="B315" s="960" t="s">
        <v>1744</v>
      </c>
      <c r="C315" s="961"/>
    </row>
    <row r="316" spans="1:3" x14ac:dyDescent="0.25">
      <c r="A316" s="960" t="s">
        <v>1745</v>
      </c>
      <c r="B316" s="960" t="s">
        <v>1746</v>
      </c>
      <c r="C316" s="963">
        <v>0</v>
      </c>
    </row>
    <row r="317" spans="1:3" x14ac:dyDescent="0.25">
      <c r="A317" s="960" t="s">
        <v>1747</v>
      </c>
      <c r="B317" s="960" t="s">
        <v>1748</v>
      </c>
      <c r="C317" s="963">
        <v>0</v>
      </c>
    </row>
    <row r="318" spans="1:3" x14ac:dyDescent="0.25">
      <c r="A318" s="1508" t="s">
        <v>1749</v>
      </c>
      <c r="B318" s="1508" t="s">
        <v>1750</v>
      </c>
      <c r="C318" s="953" t="s">
        <v>1732</v>
      </c>
    </row>
    <row r="319" spans="1:3" x14ac:dyDescent="0.25">
      <c r="A319" s="1508"/>
      <c r="B319" s="1508"/>
      <c r="C319" s="953" t="s">
        <v>1751</v>
      </c>
    </row>
    <row r="320" spans="1:3" ht="24" x14ac:dyDescent="0.25">
      <c r="A320" s="960" t="s">
        <v>1752</v>
      </c>
      <c r="B320" s="960" t="s">
        <v>1753</v>
      </c>
      <c r="C320" s="963">
        <v>0</v>
      </c>
    </row>
    <row r="321" spans="1:3" ht="24" x14ac:dyDescent="0.25">
      <c r="A321" s="960" t="s">
        <v>1754</v>
      </c>
      <c r="B321" s="960" t="s">
        <v>1755</v>
      </c>
      <c r="C321" s="960" t="s">
        <v>1756</v>
      </c>
    </row>
    <row r="322" spans="1:3" x14ac:dyDescent="0.25">
      <c r="A322" s="1508" t="s">
        <v>1757</v>
      </c>
      <c r="B322" s="1508" t="s">
        <v>1758</v>
      </c>
      <c r="C322" s="953" t="s">
        <v>1759</v>
      </c>
    </row>
    <row r="323" spans="1:3" x14ac:dyDescent="0.25">
      <c r="A323" s="1508"/>
      <c r="B323" s="1508"/>
      <c r="C323" s="953" t="s">
        <v>1760</v>
      </c>
    </row>
    <row r="324" spans="1:3" x14ac:dyDescent="0.25">
      <c r="A324" s="1508"/>
      <c r="B324" s="1508"/>
      <c r="C324" s="953" t="s">
        <v>1761</v>
      </c>
    </row>
    <row r="325" spans="1:3" ht="24" x14ac:dyDescent="0.25">
      <c r="A325" s="960" t="s">
        <v>1762</v>
      </c>
      <c r="B325" s="960" t="s">
        <v>1763</v>
      </c>
      <c r="C325" s="961">
        <f>+'ETCA-I-02'!B25-'ETCA-I-02'!C25</f>
        <v>-8156</v>
      </c>
    </row>
    <row r="326" spans="1:3" ht="24" x14ac:dyDescent="0.25">
      <c r="A326" s="960" t="s">
        <v>1764</v>
      </c>
      <c r="B326" s="960" t="s">
        <v>1765</v>
      </c>
      <c r="C326" s="963">
        <v>0</v>
      </c>
    </row>
    <row r="327" spans="1:3" ht="24" x14ac:dyDescent="0.25">
      <c r="A327" s="960" t="s">
        <v>1766</v>
      </c>
      <c r="B327" s="960" t="s">
        <v>1767</v>
      </c>
      <c r="C327" s="963">
        <v>0</v>
      </c>
    </row>
    <row r="328" spans="1:3" x14ac:dyDescent="0.25">
      <c r="A328" s="960" t="s">
        <v>1768</v>
      </c>
      <c r="B328" s="960" t="s">
        <v>1769</v>
      </c>
      <c r="C328" s="963">
        <v>0</v>
      </c>
    </row>
    <row r="329" spans="1:3" x14ac:dyDescent="0.25">
      <c r="A329" s="960" t="s">
        <v>1770</v>
      </c>
      <c r="B329" s="960" t="s">
        <v>1771</v>
      </c>
      <c r="C329" s="963">
        <v>0</v>
      </c>
    </row>
    <row r="330" spans="1:3" x14ac:dyDescent="0.25">
      <c r="A330" s="960" t="s">
        <v>1772</v>
      </c>
      <c r="B330" s="960" t="s">
        <v>1773</v>
      </c>
      <c r="C330" s="963">
        <v>0</v>
      </c>
    </row>
    <row r="331" spans="1:3" ht="24" x14ac:dyDescent="0.25">
      <c r="A331" s="960" t="s">
        <v>1774</v>
      </c>
      <c r="B331" s="960" t="s">
        <v>1775</v>
      </c>
      <c r="C331" s="960"/>
    </row>
    <row r="332" spans="1:3" ht="24" x14ac:dyDescent="0.25">
      <c r="A332" s="960" t="s">
        <v>1776</v>
      </c>
      <c r="B332" s="960" t="s">
        <v>1777</v>
      </c>
      <c r="C332" s="960"/>
    </row>
    <row r="333" spans="1:3" x14ac:dyDescent="0.25">
      <c r="A333" s="960" t="s">
        <v>1778</v>
      </c>
      <c r="B333" s="960" t="s">
        <v>1779</v>
      </c>
      <c r="C333" s="963">
        <v>0</v>
      </c>
    </row>
    <row r="334" spans="1:3" x14ac:dyDescent="0.25">
      <c r="A334" s="960" t="s">
        <v>1780</v>
      </c>
      <c r="B334" s="960" t="s">
        <v>1370</v>
      </c>
      <c r="C334" s="960"/>
    </row>
    <row r="335" spans="1:3" x14ac:dyDescent="0.25">
      <c r="A335" s="960" t="s">
        <v>1781</v>
      </c>
      <c r="B335" s="960" t="s">
        <v>1372</v>
      </c>
      <c r="C335" s="960"/>
    </row>
    <row r="336" spans="1:3" ht="24" x14ac:dyDescent="0.25">
      <c r="A336" s="960" t="s">
        <v>1782</v>
      </c>
      <c r="B336" s="960" t="s">
        <v>1783</v>
      </c>
      <c r="C336" s="963">
        <v>0</v>
      </c>
    </row>
    <row r="337" spans="1:3" x14ac:dyDescent="0.25">
      <c r="A337" s="960" t="s">
        <v>1784</v>
      </c>
      <c r="B337" s="960" t="s">
        <v>1785</v>
      </c>
      <c r="C337" s="963">
        <v>0</v>
      </c>
    </row>
    <row r="338" spans="1:3" x14ac:dyDescent="0.25">
      <c r="A338" s="960" t="s">
        <v>1786</v>
      </c>
      <c r="B338" s="960" t="s">
        <v>1787</v>
      </c>
      <c r="C338" s="960"/>
    </row>
    <row r="339" spans="1:3" x14ac:dyDescent="0.25">
      <c r="A339" s="960" t="s">
        <v>1788</v>
      </c>
      <c r="B339" s="960" t="s">
        <v>1370</v>
      </c>
      <c r="C339" s="963">
        <v>0</v>
      </c>
    </row>
    <row r="340" spans="1:3" x14ac:dyDescent="0.25">
      <c r="A340" s="960" t="s">
        <v>1789</v>
      </c>
      <c r="B340" s="960" t="s">
        <v>1372</v>
      </c>
      <c r="C340" s="963">
        <v>0</v>
      </c>
    </row>
    <row r="341" spans="1:3" x14ac:dyDescent="0.25">
      <c r="A341" s="1508" t="s">
        <v>1790</v>
      </c>
      <c r="B341" s="1508" t="s">
        <v>1791</v>
      </c>
      <c r="C341" s="953" t="s">
        <v>1792</v>
      </c>
    </row>
    <row r="342" spans="1:3" x14ac:dyDescent="0.25">
      <c r="A342" s="1508"/>
      <c r="B342" s="1508"/>
      <c r="C342" s="953" t="s">
        <v>1761</v>
      </c>
    </row>
    <row r="343" spans="1:3" x14ac:dyDescent="0.25">
      <c r="A343" s="960" t="s">
        <v>1793</v>
      </c>
      <c r="B343" s="960" t="s">
        <v>1794</v>
      </c>
      <c r="C343" s="963">
        <v>0</v>
      </c>
    </row>
    <row r="344" spans="1:3" x14ac:dyDescent="0.25">
      <c r="A344" s="960" t="s">
        <v>1795</v>
      </c>
      <c r="B344" s="960" t="s">
        <v>1796</v>
      </c>
      <c r="C344" s="963">
        <v>0</v>
      </c>
    </row>
    <row r="345" spans="1:3" ht="24" x14ac:dyDescent="0.25">
      <c r="A345" s="960" t="s">
        <v>1797</v>
      </c>
      <c r="B345" s="960" t="s">
        <v>1753</v>
      </c>
      <c r="C345" s="963">
        <v>0</v>
      </c>
    </row>
    <row r="346" spans="1:3" x14ac:dyDescent="0.25">
      <c r="A346" s="960" t="s">
        <v>1798</v>
      </c>
      <c r="B346" s="960" t="s">
        <v>58</v>
      </c>
      <c r="C346" s="961">
        <f>+'ETCA-I-01'!B25-'ETCA-I-01'!C25</f>
        <v>6139835</v>
      </c>
    </row>
    <row r="347" spans="1:3" x14ac:dyDescent="0.25">
      <c r="A347" s="960" t="s">
        <v>1799</v>
      </c>
      <c r="B347" s="960" t="s">
        <v>1800</v>
      </c>
      <c r="C347" s="963">
        <v>0</v>
      </c>
    </row>
    <row r="348" spans="1:3" x14ac:dyDescent="0.25">
      <c r="A348" s="960"/>
      <c r="B348" s="960"/>
      <c r="C348" s="960"/>
    </row>
    <row r="349" spans="1:3" x14ac:dyDescent="0.25">
      <c r="A349" s="950"/>
      <c r="B349" s="950"/>
      <c r="C349" s="960"/>
    </row>
    <row r="350" spans="1:3" x14ac:dyDescent="0.25">
      <c r="A350" s="950" t="s">
        <v>1801</v>
      </c>
      <c r="B350" s="950" t="s">
        <v>1802</v>
      </c>
      <c r="C350" s="960"/>
    </row>
    <row r="351" spans="1:3" x14ac:dyDescent="0.25">
      <c r="A351" s="960" t="s">
        <v>1803</v>
      </c>
      <c r="B351" s="960" t="s">
        <v>1804</v>
      </c>
      <c r="C351" s="960"/>
    </row>
    <row r="352" spans="1:3" x14ac:dyDescent="0.25">
      <c r="A352" s="1508" t="s">
        <v>1805</v>
      </c>
      <c r="B352" s="1508" t="s">
        <v>1806</v>
      </c>
      <c r="C352" s="953" t="s">
        <v>1792</v>
      </c>
    </row>
    <row r="353" spans="1:3" x14ac:dyDescent="0.25">
      <c r="A353" s="1508"/>
      <c r="B353" s="1508"/>
      <c r="C353" s="953" t="s">
        <v>1761</v>
      </c>
    </row>
    <row r="354" spans="1:3" x14ac:dyDescent="0.25">
      <c r="A354" s="960" t="s">
        <v>1807</v>
      </c>
      <c r="B354" s="960" t="s">
        <v>212</v>
      </c>
      <c r="C354" s="961">
        <f>5591801.74-5382547.1</f>
        <v>209254.6400000006</v>
      </c>
    </row>
    <row r="355" spans="1:3" x14ac:dyDescent="0.25">
      <c r="A355" s="960" t="s">
        <v>1808</v>
      </c>
      <c r="B355" s="960" t="s">
        <v>1809</v>
      </c>
      <c r="C355" s="961">
        <v>0</v>
      </c>
    </row>
    <row r="356" spans="1:3" x14ac:dyDescent="0.25">
      <c r="A356" s="960" t="s">
        <v>1810</v>
      </c>
      <c r="B356" s="960" t="s">
        <v>1811</v>
      </c>
      <c r="C356" s="963">
        <v>0</v>
      </c>
    </row>
    <row r="357" spans="1:3" x14ac:dyDescent="0.25">
      <c r="A357" s="960" t="s">
        <v>1812</v>
      </c>
      <c r="B357" s="960" t="s">
        <v>1813</v>
      </c>
      <c r="C357" s="963">
        <v>0</v>
      </c>
    </row>
    <row r="358" spans="1:3" x14ac:dyDescent="0.25">
      <c r="A358" s="960" t="s">
        <v>1814</v>
      </c>
      <c r="B358" s="960" t="s">
        <v>1815</v>
      </c>
      <c r="C358" s="963">
        <v>0</v>
      </c>
    </row>
    <row r="359" spans="1:3" x14ac:dyDescent="0.25">
      <c r="A359" s="960" t="s">
        <v>1816</v>
      </c>
      <c r="B359" s="960" t="s">
        <v>1817</v>
      </c>
      <c r="C359" s="963">
        <v>0</v>
      </c>
    </row>
    <row r="360" spans="1:3" x14ac:dyDescent="0.25">
      <c r="A360" s="960" t="s">
        <v>1818</v>
      </c>
      <c r="B360" s="960" t="s">
        <v>1819</v>
      </c>
      <c r="C360" s="961">
        <v>0</v>
      </c>
    </row>
    <row r="361" spans="1:3" x14ac:dyDescent="0.25">
      <c r="A361" s="960" t="s">
        <v>1820</v>
      </c>
      <c r="B361" s="960" t="s">
        <v>1821</v>
      </c>
      <c r="C361" s="963">
        <v>0</v>
      </c>
    </row>
    <row r="362" spans="1:3" x14ac:dyDescent="0.25">
      <c r="A362" s="960" t="s">
        <v>1822</v>
      </c>
      <c r="B362" s="960" t="s">
        <v>1823</v>
      </c>
      <c r="C362" s="961">
        <f>13461590.83-2565813.59</f>
        <v>10895777.24</v>
      </c>
    </row>
    <row r="363" spans="1:3" x14ac:dyDescent="0.25">
      <c r="A363" s="1508" t="s">
        <v>1824</v>
      </c>
      <c r="B363" s="1508" t="s">
        <v>1825</v>
      </c>
      <c r="C363" s="953" t="s">
        <v>1792</v>
      </c>
    </row>
    <row r="364" spans="1:3" x14ac:dyDescent="0.25">
      <c r="A364" s="1508"/>
      <c r="B364" s="1508"/>
      <c r="C364" s="953" t="s">
        <v>1761</v>
      </c>
    </row>
    <row r="365" spans="1:3" x14ac:dyDescent="0.25">
      <c r="A365" s="960" t="s">
        <v>1826</v>
      </c>
      <c r="B365" s="960" t="s">
        <v>1827</v>
      </c>
      <c r="C365" s="963">
        <v>0</v>
      </c>
    </row>
    <row r="366" spans="1:3" ht="24" x14ac:dyDescent="0.25">
      <c r="A366" s="960" t="s">
        <v>1828</v>
      </c>
      <c r="B366" s="960" t="s">
        <v>1829</v>
      </c>
      <c r="C366" s="963">
        <v>0</v>
      </c>
    </row>
    <row r="367" spans="1:3" x14ac:dyDescent="0.25">
      <c r="A367" s="960" t="s">
        <v>1830</v>
      </c>
      <c r="B367" s="960" t="s">
        <v>1831</v>
      </c>
      <c r="C367" s="963">
        <v>0</v>
      </c>
    </row>
    <row r="368" spans="1:3" x14ac:dyDescent="0.25">
      <c r="A368" s="960" t="s">
        <v>1832</v>
      </c>
      <c r="B368" s="960" t="s">
        <v>1833</v>
      </c>
      <c r="C368" s="963">
        <v>0</v>
      </c>
    </row>
    <row r="369" spans="1:3" x14ac:dyDescent="0.25">
      <c r="A369" s="960" t="s">
        <v>1834</v>
      </c>
      <c r="B369" s="960" t="s">
        <v>1835</v>
      </c>
      <c r="C369" s="963">
        <v>0</v>
      </c>
    </row>
    <row r="370" spans="1:3" ht="24" x14ac:dyDescent="0.25">
      <c r="A370" s="960" t="s">
        <v>1836</v>
      </c>
      <c r="B370" s="960" t="s">
        <v>1837</v>
      </c>
      <c r="C370" s="960"/>
    </row>
    <row r="371" spans="1:3" ht="24" x14ac:dyDescent="0.25">
      <c r="A371" s="960" t="s">
        <v>1838</v>
      </c>
      <c r="B371" s="960" t="s">
        <v>1839</v>
      </c>
      <c r="C371" s="960"/>
    </row>
    <row r="372" spans="1:3" ht="24" x14ac:dyDescent="0.25">
      <c r="A372" s="960" t="s">
        <v>1840</v>
      </c>
      <c r="B372" s="960" t="s">
        <v>1841</v>
      </c>
      <c r="C372" s="963">
        <v>0</v>
      </c>
    </row>
    <row r="373" spans="1:3" ht="24" x14ac:dyDescent="0.25">
      <c r="A373" s="960" t="s">
        <v>1842</v>
      </c>
      <c r="B373" s="960" t="s">
        <v>1843</v>
      </c>
      <c r="C373" s="963">
        <v>0</v>
      </c>
    </row>
    <row r="374" spans="1:3" ht="24" x14ac:dyDescent="0.25">
      <c r="A374" s="960" t="s">
        <v>1844</v>
      </c>
      <c r="B374" s="960" t="s">
        <v>1845</v>
      </c>
      <c r="C374" s="963">
        <v>0</v>
      </c>
    </row>
    <row r="375" spans="1:3" ht="24" x14ac:dyDescent="0.25">
      <c r="A375" s="960" t="s">
        <v>1846</v>
      </c>
      <c r="B375" s="960" t="s">
        <v>1847</v>
      </c>
      <c r="C375" s="963">
        <v>0</v>
      </c>
    </row>
    <row r="376" spans="1:3" ht="24" x14ac:dyDescent="0.25">
      <c r="A376" s="960" t="s">
        <v>1848</v>
      </c>
      <c r="B376" s="960" t="s">
        <v>1849</v>
      </c>
      <c r="C376" s="963">
        <v>0</v>
      </c>
    </row>
    <row r="377" spans="1:3" x14ac:dyDescent="0.25">
      <c r="A377" s="1508" t="s">
        <v>1850</v>
      </c>
      <c r="B377" s="1508" t="s">
        <v>1851</v>
      </c>
      <c r="C377" s="953" t="s">
        <v>1732</v>
      </c>
    </row>
    <row r="378" spans="1:3" x14ac:dyDescent="0.25">
      <c r="A378" s="1508"/>
      <c r="B378" s="1508"/>
      <c r="C378" s="953" t="s">
        <v>1761</v>
      </c>
    </row>
    <row r="379" spans="1:3" x14ac:dyDescent="0.25">
      <c r="A379" s="960" t="s">
        <v>1852</v>
      </c>
      <c r="B379" s="960" t="s">
        <v>1853</v>
      </c>
      <c r="C379" s="963">
        <v>0</v>
      </c>
    </row>
    <row r="380" spans="1:3" x14ac:dyDescent="0.25">
      <c r="A380" s="960" t="s">
        <v>1854</v>
      </c>
      <c r="B380" s="960" t="s">
        <v>1855</v>
      </c>
      <c r="C380" s="963">
        <v>0</v>
      </c>
    </row>
    <row r="381" spans="1:3" x14ac:dyDescent="0.25">
      <c r="A381" s="960" t="s">
        <v>1856</v>
      </c>
      <c r="B381" s="960" t="s">
        <v>300</v>
      </c>
      <c r="C381" s="963">
        <v>0</v>
      </c>
    </row>
    <row r="382" spans="1:3" x14ac:dyDescent="0.25">
      <c r="A382" s="960"/>
      <c r="B382" s="960"/>
      <c r="C382" s="960"/>
    </row>
    <row r="383" spans="1:3" x14ac:dyDescent="0.25">
      <c r="A383" s="960" t="s">
        <v>1857</v>
      </c>
      <c r="B383" s="960" t="s">
        <v>1858</v>
      </c>
      <c r="C383" s="960"/>
    </row>
    <row r="384" spans="1:3" x14ac:dyDescent="0.25">
      <c r="A384" s="960"/>
      <c r="B384" s="960"/>
      <c r="C384" s="954"/>
    </row>
    <row r="385" spans="1:3" x14ac:dyDescent="0.25">
      <c r="A385" s="1508" t="s">
        <v>1859</v>
      </c>
      <c r="B385" s="1508" t="s">
        <v>1860</v>
      </c>
      <c r="C385" s="953" t="s">
        <v>1732</v>
      </c>
    </row>
    <row r="386" spans="1:3" x14ac:dyDescent="0.25">
      <c r="A386" s="1508"/>
      <c r="B386" s="1508"/>
      <c r="C386" s="953" t="s">
        <v>1761</v>
      </c>
    </row>
    <row r="387" spans="1:3" x14ac:dyDescent="0.25">
      <c r="A387" s="960" t="s">
        <v>1861</v>
      </c>
      <c r="B387" s="960" t="s">
        <v>1862</v>
      </c>
      <c r="C387" s="963">
        <v>0</v>
      </c>
    </row>
    <row r="388" spans="1:3" x14ac:dyDescent="0.25">
      <c r="A388" s="960" t="s">
        <v>1863</v>
      </c>
      <c r="B388" s="960" t="s">
        <v>1811</v>
      </c>
      <c r="C388" s="963">
        <v>0</v>
      </c>
    </row>
    <row r="389" spans="1:3" x14ac:dyDescent="0.25">
      <c r="A389" s="1508" t="s">
        <v>1864</v>
      </c>
      <c r="B389" s="1508" t="s">
        <v>1865</v>
      </c>
      <c r="C389" s="953" t="s">
        <v>1792</v>
      </c>
    </row>
    <row r="390" spans="1:3" x14ac:dyDescent="0.25">
      <c r="A390" s="1508"/>
      <c r="B390" s="1508"/>
      <c r="C390" s="953" t="s">
        <v>1761</v>
      </c>
    </row>
    <row r="391" spans="1:3" x14ac:dyDescent="0.25">
      <c r="A391" s="960" t="s">
        <v>1866</v>
      </c>
      <c r="B391" s="960" t="s">
        <v>1827</v>
      </c>
      <c r="C391" s="963">
        <v>0</v>
      </c>
    </row>
    <row r="392" spans="1:3" ht="24" x14ac:dyDescent="0.25">
      <c r="A392" s="960" t="s">
        <v>1867</v>
      </c>
      <c r="B392" s="960" t="s">
        <v>1829</v>
      </c>
      <c r="C392" s="963">
        <v>0</v>
      </c>
    </row>
    <row r="393" spans="1:3" x14ac:dyDescent="0.25">
      <c r="A393" s="960" t="s">
        <v>1868</v>
      </c>
      <c r="B393" s="960" t="s">
        <v>1869</v>
      </c>
      <c r="C393" s="963">
        <v>0</v>
      </c>
    </row>
    <row r="394" spans="1:3" x14ac:dyDescent="0.25">
      <c r="A394" s="960"/>
      <c r="B394" s="960"/>
      <c r="C394" s="960"/>
    </row>
    <row r="395" spans="1:3" x14ac:dyDescent="0.25">
      <c r="A395" s="960" t="s">
        <v>1870</v>
      </c>
      <c r="B395" s="960" t="s">
        <v>1871</v>
      </c>
      <c r="C395" s="960"/>
    </row>
    <row r="396" spans="1:3" ht="24" x14ac:dyDescent="0.25">
      <c r="A396" s="960" t="s">
        <v>1872</v>
      </c>
      <c r="B396" s="960" t="s">
        <v>1873</v>
      </c>
      <c r="C396" s="963">
        <v>0</v>
      </c>
    </row>
    <row r="397" spans="1:3" ht="24" x14ac:dyDescent="0.25">
      <c r="A397" s="960" t="s">
        <v>1874</v>
      </c>
      <c r="B397" s="960" t="s">
        <v>1875</v>
      </c>
      <c r="C397" s="963">
        <v>0</v>
      </c>
    </row>
    <row r="398" spans="1:3" ht="24" x14ac:dyDescent="0.25">
      <c r="A398" s="960" t="s">
        <v>1876</v>
      </c>
      <c r="B398" s="960" t="s">
        <v>1877</v>
      </c>
      <c r="C398" s="960"/>
    </row>
    <row r="399" spans="1:3" x14ac:dyDescent="0.25">
      <c r="A399" s="960" t="s">
        <v>1878</v>
      </c>
      <c r="B399" s="960" t="s">
        <v>1879</v>
      </c>
      <c r="C399" s="963">
        <v>32500092</v>
      </c>
    </row>
    <row r="400" spans="1:3" x14ac:dyDescent="0.25">
      <c r="A400" s="960" t="s">
        <v>1880</v>
      </c>
      <c r="B400" s="960" t="s">
        <v>1881</v>
      </c>
      <c r="C400" s="960" t="s">
        <v>1882</v>
      </c>
    </row>
    <row r="401" spans="1:3" x14ac:dyDescent="0.25">
      <c r="A401" s="960"/>
      <c r="B401" s="960"/>
      <c r="C401" s="954"/>
    </row>
    <row r="402" spans="1:3" x14ac:dyDescent="0.25">
      <c r="A402" s="1508" t="s">
        <v>1883</v>
      </c>
      <c r="B402" s="1508" t="s">
        <v>1884</v>
      </c>
      <c r="C402" s="953" t="s">
        <v>1792</v>
      </c>
    </row>
    <row r="403" spans="1:3" x14ac:dyDescent="0.25">
      <c r="A403" s="1508"/>
      <c r="B403" s="1508"/>
      <c r="C403" s="953" t="s">
        <v>1761</v>
      </c>
    </row>
    <row r="404" spans="1:3" x14ac:dyDescent="0.25">
      <c r="A404" s="960" t="s">
        <v>1885</v>
      </c>
      <c r="B404" s="960" t="s">
        <v>1853</v>
      </c>
      <c r="C404" s="963">
        <v>0</v>
      </c>
    </row>
    <row r="405" spans="1:3" x14ac:dyDescent="0.25">
      <c r="A405" s="960" t="s">
        <v>1886</v>
      </c>
      <c r="B405" s="960" t="s">
        <v>1855</v>
      </c>
      <c r="C405" s="963">
        <v>0</v>
      </c>
    </row>
    <row r="406" spans="1:3" x14ac:dyDescent="0.25">
      <c r="A406" s="960" t="s">
        <v>1887</v>
      </c>
      <c r="B406" s="960" t="s">
        <v>300</v>
      </c>
      <c r="C406" s="963">
        <v>0</v>
      </c>
    </row>
    <row r="407" spans="1:3" x14ac:dyDescent="0.25">
      <c r="A407" s="960"/>
      <c r="B407" s="960"/>
      <c r="C407" s="960"/>
    </row>
    <row r="408" spans="1:3" x14ac:dyDescent="0.25">
      <c r="A408" s="950" t="s">
        <v>1888</v>
      </c>
      <c r="B408" s="950" t="s">
        <v>1889</v>
      </c>
      <c r="C408" s="950"/>
    </row>
    <row r="409" spans="1:3" x14ac:dyDescent="0.25">
      <c r="A409" s="960"/>
      <c r="B409" s="950"/>
      <c r="C409" s="960"/>
    </row>
    <row r="410" spans="1:3" x14ac:dyDescent="0.25">
      <c r="A410" s="960"/>
      <c r="B410" s="950" t="s">
        <v>1890</v>
      </c>
      <c r="C410" s="961">
        <f>SUM(C299:C408)</f>
        <v>50154510.880000003</v>
      </c>
    </row>
    <row r="411" spans="1:3" x14ac:dyDescent="0.25">
      <c r="A411" s="960"/>
      <c r="B411" s="960"/>
      <c r="C411" s="960"/>
    </row>
    <row r="412" spans="1:3" x14ac:dyDescent="0.25">
      <c r="A412" s="950"/>
      <c r="B412" s="950"/>
      <c r="C412" s="960"/>
    </row>
    <row r="413" spans="1:3" x14ac:dyDescent="0.25">
      <c r="A413" s="950">
        <v>3.2</v>
      </c>
      <c r="B413" s="950" t="s">
        <v>1891</v>
      </c>
      <c r="C413" s="960"/>
    </row>
    <row r="414" spans="1:3" x14ac:dyDescent="0.25">
      <c r="A414" s="950"/>
      <c r="B414" s="950"/>
      <c r="C414" s="950"/>
    </row>
    <row r="415" spans="1:3" x14ac:dyDescent="0.25">
      <c r="A415" s="950" t="s">
        <v>1892</v>
      </c>
      <c r="B415" s="950" t="s">
        <v>1893</v>
      </c>
      <c r="C415" s="950"/>
    </row>
    <row r="416" spans="1:3" ht="24" x14ac:dyDescent="0.25">
      <c r="A416" s="960" t="s">
        <v>1894</v>
      </c>
      <c r="B416" s="960" t="s">
        <v>1895</v>
      </c>
      <c r="C416" s="960"/>
    </row>
    <row r="417" spans="1:3" x14ac:dyDescent="0.25">
      <c r="A417" s="1508" t="s">
        <v>1896</v>
      </c>
      <c r="B417" s="1508" t="s">
        <v>1897</v>
      </c>
      <c r="C417" s="953" t="s">
        <v>1898</v>
      </c>
    </row>
    <row r="418" spans="1:3" x14ac:dyDescent="0.25">
      <c r="A418" s="1508"/>
      <c r="B418" s="1508"/>
      <c r="C418" s="953" t="s">
        <v>1761</v>
      </c>
    </row>
    <row r="419" spans="1:3" x14ac:dyDescent="0.25">
      <c r="A419" s="960" t="s">
        <v>1899</v>
      </c>
      <c r="B419" s="960" t="s">
        <v>1717</v>
      </c>
      <c r="C419" s="963">
        <v>0</v>
      </c>
    </row>
    <row r="420" spans="1:3" x14ac:dyDescent="0.25">
      <c r="A420" s="960" t="s">
        <v>1900</v>
      </c>
      <c r="B420" s="960" t="s">
        <v>1719</v>
      </c>
      <c r="C420" s="963">
        <v>0</v>
      </c>
    </row>
    <row r="421" spans="1:3" x14ac:dyDescent="0.25">
      <c r="A421" s="960" t="s">
        <v>1901</v>
      </c>
      <c r="B421" s="960" t="s">
        <v>1721</v>
      </c>
      <c r="C421" s="963">
        <v>0</v>
      </c>
    </row>
    <row r="422" spans="1:3" x14ac:dyDescent="0.25">
      <c r="A422" s="960" t="s">
        <v>1902</v>
      </c>
      <c r="B422" s="960" t="s">
        <v>1903</v>
      </c>
      <c r="C422" s="963">
        <v>0</v>
      </c>
    </row>
    <row r="423" spans="1:3" x14ac:dyDescent="0.25">
      <c r="A423" s="960" t="s">
        <v>1904</v>
      </c>
      <c r="B423" s="960" t="s">
        <v>1725</v>
      </c>
      <c r="C423" s="963">
        <v>0</v>
      </c>
    </row>
    <row r="424" spans="1:3" ht="24" x14ac:dyDescent="0.25">
      <c r="A424" s="960" t="s">
        <v>1905</v>
      </c>
      <c r="B424" s="960" t="s">
        <v>1906</v>
      </c>
      <c r="C424" s="963">
        <v>0</v>
      </c>
    </row>
    <row r="425" spans="1:3" x14ac:dyDescent="0.25">
      <c r="A425" s="960" t="s">
        <v>1907</v>
      </c>
      <c r="B425" s="960" t="s">
        <v>1729</v>
      </c>
      <c r="C425" s="963">
        <v>0</v>
      </c>
    </row>
    <row r="426" spans="1:3" x14ac:dyDescent="0.25">
      <c r="A426" s="1508" t="s">
        <v>1908</v>
      </c>
      <c r="B426" s="1508" t="s">
        <v>1909</v>
      </c>
      <c r="C426" s="963">
        <v>0</v>
      </c>
    </row>
    <row r="427" spans="1:3" x14ac:dyDescent="0.25">
      <c r="A427" s="1508"/>
      <c r="B427" s="1508"/>
      <c r="C427" s="953" t="s">
        <v>1761</v>
      </c>
    </row>
    <row r="428" spans="1:3" x14ac:dyDescent="0.25">
      <c r="A428" s="960" t="s">
        <v>1910</v>
      </c>
      <c r="B428" s="960" t="s">
        <v>292</v>
      </c>
      <c r="C428" s="963">
        <v>0</v>
      </c>
    </row>
    <row r="429" spans="1:3" x14ac:dyDescent="0.25">
      <c r="A429" s="960" t="s">
        <v>1911</v>
      </c>
      <c r="B429" s="960" t="s">
        <v>549</v>
      </c>
      <c r="C429" s="963">
        <v>0</v>
      </c>
    </row>
    <row r="430" spans="1:3" x14ac:dyDescent="0.25">
      <c r="A430" s="960" t="s">
        <v>1912</v>
      </c>
      <c r="B430" s="960" t="s">
        <v>553</v>
      </c>
      <c r="C430" s="963">
        <v>0</v>
      </c>
    </row>
    <row r="431" spans="1:3" x14ac:dyDescent="0.25">
      <c r="A431" s="1508" t="s">
        <v>1913</v>
      </c>
      <c r="B431" s="1508" t="s">
        <v>1914</v>
      </c>
      <c r="C431" s="963">
        <v>0</v>
      </c>
    </row>
    <row r="432" spans="1:3" x14ac:dyDescent="0.25">
      <c r="A432" s="1508"/>
      <c r="B432" s="1508"/>
      <c r="C432" s="953" t="s">
        <v>1761</v>
      </c>
    </row>
    <row r="433" spans="1:3" x14ac:dyDescent="0.25">
      <c r="A433" s="960" t="s">
        <v>1915</v>
      </c>
      <c r="B433" s="960" t="s">
        <v>1742</v>
      </c>
      <c r="C433" s="963">
        <v>0</v>
      </c>
    </row>
    <row r="434" spans="1:3" x14ac:dyDescent="0.25">
      <c r="A434" s="960" t="s">
        <v>1916</v>
      </c>
      <c r="B434" s="960" t="s">
        <v>1744</v>
      </c>
      <c r="C434" s="961">
        <f>9817.95-9784.62</f>
        <v>33.329999999999927</v>
      </c>
    </row>
    <row r="435" spans="1:3" x14ac:dyDescent="0.25">
      <c r="A435" s="960" t="s">
        <v>1917</v>
      </c>
      <c r="B435" s="960" t="s">
        <v>1746</v>
      </c>
      <c r="C435" s="963">
        <v>0</v>
      </c>
    </row>
    <row r="436" spans="1:3" x14ac:dyDescent="0.25">
      <c r="A436" s="960" t="s">
        <v>1918</v>
      </c>
      <c r="B436" s="960" t="s">
        <v>1919</v>
      </c>
      <c r="C436" s="963">
        <v>0</v>
      </c>
    </row>
    <row r="437" spans="1:3" x14ac:dyDescent="0.25">
      <c r="A437" s="1508" t="s">
        <v>1920</v>
      </c>
      <c r="B437" s="1508" t="s">
        <v>1921</v>
      </c>
      <c r="C437" s="953" t="s">
        <v>1792</v>
      </c>
    </row>
    <row r="438" spans="1:3" x14ac:dyDescent="0.25">
      <c r="A438" s="1508"/>
      <c r="B438" s="1508"/>
      <c r="C438" s="953" t="s">
        <v>1922</v>
      </c>
    </row>
    <row r="439" spans="1:3" ht="24" x14ac:dyDescent="0.25">
      <c r="A439" s="960" t="s">
        <v>1923</v>
      </c>
      <c r="B439" s="960" t="s">
        <v>1753</v>
      </c>
      <c r="C439" s="963">
        <f>1403.51</f>
        <v>1403.51</v>
      </c>
    </row>
    <row r="440" spans="1:3" x14ac:dyDescent="0.25">
      <c r="A440" s="960" t="s">
        <v>1924</v>
      </c>
      <c r="B440" s="960" t="s">
        <v>1925</v>
      </c>
      <c r="C440" s="963">
        <v>0</v>
      </c>
    </row>
    <row r="441" spans="1:3" x14ac:dyDescent="0.25">
      <c r="A441" s="1508" t="s">
        <v>1926</v>
      </c>
      <c r="B441" s="1508" t="s">
        <v>1927</v>
      </c>
      <c r="C441" s="953" t="s">
        <v>1792</v>
      </c>
    </row>
    <row r="442" spans="1:3" x14ac:dyDescent="0.25">
      <c r="A442" s="1508"/>
      <c r="B442" s="1508"/>
      <c r="C442" s="953" t="s">
        <v>1761</v>
      </c>
    </row>
    <row r="443" spans="1:3" ht="24" x14ac:dyDescent="0.25">
      <c r="A443" s="960" t="s">
        <v>1928</v>
      </c>
      <c r="B443" s="960" t="s">
        <v>1763</v>
      </c>
      <c r="C443" s="963">
        <v>0</v>
      </c>
    </row>
    <row r="444" spans="1:3" ht="24" x14ac:dyDescent="0.25">
      <c r="A444" s="960" t="s">
        <v>1929</v>
      </c>
      <c r="B444" s="960" t="s">
        <v>1765</v>
      </c>
      <c r="C444" s="963">
        <v>0</v>
      </c>
    </row>
    <row r="445" spans="1:3" ht="24" x14ac:dyDescent="0.25">
      <c r="A445" s="960" t="s">
        <v>1930</v>
      </c>
      <c r="B445" s="960" t="s">
        <v>1767</v>
      </c>
      <c r="C445" s="963">
        <v>0</v>
      </c>
    </row>
    <row r="446" spans="1:3" x14ac:dyDescent="0.25">
      <c r="A446" s="960" t="s">
        <v>1931</v>
      </c>
      <c r="B446" s="960" t="s">
        <v>1769</v>
      </c>
      <c r="C446" s="963">
        <v>0</v>
      </c>
    </row>
    <row r="447" spans="1:3" x14ac:dyDescent="0.25">
      <c r="A447" s="960" t="s">
        <v>1932</v>
      </c>
      <c r="B447" s="960" t="s">
        <v>1933</v>
      </c>
      <c r="C447" s="963">
        <v>0</v>
      </c>
    </row>
    <row r="448" spans="1:3" x14ac:dyDescent="0.25">
      <c r="A448" s="960" t="s">
        <v>1934</v>
      </c>
      <c r="B448" s="960" t="s">
        <v>39</v>
      </c>
      <c r="C448" s="963">
        <v>0</v>
      </c>
    </row>
    <row r="449" spans="1:3" ht="18" customHeight="1" x14ac:dyDescent="0.25">
      <c r="A449" s="960" t="s">
        <v>1935</v>
      </c>
      <c r="B449" s="960" t="s">
        <v>1936</v>
      </c>
      <c r="C449" s="960"/>
    </row>
    <row r="450" spans="1:3" ht="24" x14ac:dyDescent="0.25">
      <c r="A450" s="960" t="s">
        <v>1937</v>
      </c>
      <c r="B450" s="960" t="s">
        <v>1938</v>
      </c>
      <c r="C450" s="960"/>
    </row>
    <row r="451" spans="1:3" ht="24" x14ac:dyDescent="0.25">
      <c r="A451" s="960" t="s">
        <v>1939</v>
      </c>
      <c r="B451" s="960" t="s">
        <v>1940</v>
      </c>
      <c r="C451" s="960"/>
    </row>
    <row r="452" spans="1:3" x14ac:dyDescent="0.25">
      <c r="A452" s="960" t="s">
        <v>1941</v>
      </c>
      <c r="B452" s="960" t="s">
        <v>1370</v>
      </c>
      <c r="C452" s="963">
        <v>0</v>
      </c>
    </row>
    <row r="453" spans="1:3" x14ac:dyDescent="0.25">
      <c r="A453" s="960" t="s">
        <v>1942</v>
      </c>
      <c r="B453" s="960" t="s">
        <v>1372</v>
      </c>
      <c r="C453" s="963">
        <v>0</v>
      </c>
    </row>
    <row r="454" spans="1:3" ht="24" x14ac:dyDescent="0.25">
      <c r="A454" s="960" t="s">
        <v>1943</v>
      </c>
      <c r="B454" s="960" t="s">
        <v>1944</v>
      </c>
      <c r="C454" s="963">
        <v>0</v>
      </c>
    </row>
    <row r="455" spans="1:3" x14ac:dyDescent="0.25">
      <c r="A455" s="960" t="s">
        <v>1945</v>
      </c>
      <c r="B455" s="960" t="s">
        <v>1946</v>
      </c>
      <c r="C455" s="960"/>
    </row>
    <row r="456" spans="1:3" x14ac:dyDescent="0.25">
      <c r="A456" s="960" t="s">
        <v>1947</v>
      </c>
      <c r="B456" s="960" t="s">
        <v>551</v>
      </c>
      <c r="C456" s="960"/>
    </row>
    <row r="457" spans="1:3" x14ac:dyDescent="0.25">
      <c r="A457" s="960" t="s">
        <v>1948</v>
      </c>
      <c r="B457" s="960" t="s">
        <v>1370</v>
      </c>
      <c r="C457" s="963">
        <v>0</v>
      </c>
    </row>
    <row r="458" spans="1:3" x14ac:dyDescent="0.25">
      <c r="A458" s="960" t="s">
        <v>1949</v>
      </c>
      <c r="B458" s="960" t="s">
        <v>1372</v>
      </c>
      <c r="C458" s="963">
        <v>0</v>
      </c>
    </row>
    <row r="459" spans="1:3" x14ac:dyDescent="0.25">
      <c r="A459" s="1508" t="s">
        <v>1950</v>
      </c>
      <c r="B459" s="1508" t="s">
        <v>1951</v>
      </c>
      <c r="C459" s="953" t="s">
        <v>1732</v>
      </c>
    </row>
    <row r="460" spans="1:3" x14ac:dyDescent="0.25">
      <c r="A460" s="1508"/>
      <c r="B460" s="1508"/>
      <c r="C460" s="953" t="s">
        <v>1761</v>
      </c>
    </row>
    <row r="461" spans="1:3" x14ac:dyDescent="0.25">
      <c r="A461" s="960" t="s">
        <v>1952</v>
      </c>
      <c r="B461" s="960" t="s">
        <v>1794</v>
      </c>
      <c r="C461" s="963">
        <v>0</v>
      </c>
    </row>
    <row r="462" spans="1:3" x14ac:dyDescent="0.25">
      <c r="A462" s="960" t="s">
        <v>1953</v>
      </c>
      <c r="B462" s="960" t="s">
        <v>1796</v>
      </c>
      <c r="C462" s="963">
        <v>0</v>
      </c>
    </row>
    <row r="463" spans="1:3" ht="24" x14ac:dyDescent="0.25">
      <c r="A463" s="960" t="s">
        <v>1954</v>
      </c>
      <c r="B463" s="960" t="s">
        <v>1955</v>
      </c>
      <c r="C463" s="963">
        <v>0</v>
      </c>
    </row>
    <row r="464" spans="1:3" x14ac:dyDescent="0.25">
      <c r="A464" s="960" t="s">
        <v>1956</v>
      </c>
      <c r="B464" s="960" t="s">
        <v>58</v>
      </c>
      <c r="C464" s="963">
        <v>0</v>
      </c>
    </row>
    <row r="465" spans="1:3" x14ac:dyDescent="0.25">
      <c r="A465" s="960" t="s">
        <v>1957</v>
      </c>
      <c r="B465" s="960" t="s">
        <v>1800</v>
      </c>
      <c r="C465" s="963">
        <v>0</v>
      </c>
    </row>
    <row r="466" spans="1:3" x14ac:dyDescent="0.25">
      <c r="A466" s="960"/>
      <c r="B466" s="960"/>
      <c r="C466" s="960"/>
    </row>
    <row r="467" spans="1:3" x14ac:dyDescent="0.25">
      <c r="A467" s="950" t="s">
        <v>1958</v>
      </c>
      <c r="B467" s="950" t="s">
        <v>1959</v>
      </c>
      <c r="C467" s="960"/>
    </row>
    <row r="468" spans="1:3" x14ac:dyDescent="0.25">
      <c r="A468" s="960" t="s">
        <v>1960</v>
      </c>
      <c r="B468" s="960" t="s">
        <v>1961</v>
      </c>
      <c r="C468" s="960"/>
    </row>
    <row r="469" spans="1:3" x14ac:dyDescent="0.25">
      <c r="A469" s="1508" t="s">
        <v>1962</v>
      </c>
      <c r="B469" s="1508" t="s">
        <v>1963</v>
      </c>
      <c r="C469" s="953" t="s">
        <v>1792</v>
      </c>
    </row>
    <row r="470" spans="1:3" x14ac:dyDescent="0.25">
      <c r="A470" s="1508"/>
      <c r="B470" s="1508"/>
      <c r="C470" s="953" t="s">
        <v>1761</v>
      </c>
    </row>
    <row r="471" spans="1:3" x14ac:dyDescent="0.25">
      <c r="A471" s="960" t="s">
        <v>1964</v>
      </c>
      <c r="B471" s="960" t="s">
        <v>1965</v>
      </c>
      <c r="C471" s="963">
        <v>0</v>
      </c>
    </row>
    <row r="472" spans="1:3" x14ac:dyDescent="0.25">
      <c r="A472" s="960" t="s">
        <v>1966</v>
      </c>
      <c r="B472" s="960" t="s">
        <v>1809</v>
      </c>
      <c r="C472" s="963">
        <f>15147701.84-15393817.98</f>
        <v>-246116.1400000006</v>
      </c>
    </row>
    <row r="473" spans="1:3" x14ac:dyDescent="0.25">
      <c r="A473" s="960" t="s">
        <v>1967</v>
      </c>
      <c r="B473" s="960" t="s">
        <v>1811</v>
      </c>
      <c r="C473" s="963">
        <v>0</v>
      </c>
    </row>
    <row r="474" spans="1:3" x14ac:dyDescent="0.25">
      <c r="A474" s="960" t="s">
        <v>1968</v>
      </c>
      <c r="B474" s="960" t="s">
        <v>1813</v>
      </c>
      <c r="C474" s="963">
        <v>0</v>
      </c>
    </row>
    <row r="475" spans="1:3" x14ac:dyDescent="0.25">
      <c r="A475" s="960" t="s">
        <v>1969</v>
      </c>
      <c r="B475" s="960" t="s">
        <v>1815</v>
      </c>
      <c r="C475" s="963">
        <v>0</v>
      </c>
    </row>
    <row r="476" spans="1:3" ht="24" x14ac:dyDescent="0.25">
      <c r="A476" s="960" t="s">
        <v>1970</v>
      </c>
      <c r="B476" s="960" t="s">
        <v>1971</v>
      </c>
      <c r="C476" s="963">
        <v>0</v>
      </c>
    </row>
    <row r="477" spans="1:3" x14ac:dyDescent="0.25">
      <c r="A477" s="960" t="s">
        <v>1972</v>
      </c>
      <c r="B477" s="960" t="s">
        <v>1819</v>
      </c>
      <c r="C477" s="963">
        <f>22790374.64-34419855.77</f>
        <v>-11629481.130000003</v>
      </c>
    </row>
    <row r="478" spans="1:3" x14ac:dyDescent="0.25">
      <c r="A478" s="960" t="s">
        <v>1973</v>
      </c>
      <c r="B478" s="960" t="s">
        <v>1974</v>
      </c>
      <c r="C478" s="963">
        <v>0</v>
      </c>
    </row>
    <row r="479" spans="1:3" x14ac:dyDescent="0.25">
      <c r="A479" s="960" t="s">
        <v>1975</v>
      </c>
      <c r="B479" s="960" t="s">
        <v>1823</v>
      </c>
      <c r="C479" s="963">
        <f>+'ETCA-I-02'!F17-'ETCA-I-02'!G17</f>
        <v>49926160</v>
      </c>
    </row>
    <row r="480" spans="1:3" x14ac:dyDescent="0.25">
      <c r="A480" s="1508" t="s">
        <v>1976</v>
      </c>
      <c r="B480" s="1508" t="s">
        <v>1977</v>
      </c>
      <c r="C480" s="953" t="s">
        <v>1732</v>
      </c>
    </row>
    <row r="481" spans="1:3" x14ac:dyDescent="0.25">
      <c r="A481" s="1508"/>
      <c r="B481" s="1508"/>
      <c r="C481" s="953" t="s">
        <v>1733</v>
      </c>
    </row>
    <row r="482" spans="1:3" x14ac:dyDescent="0.25">
      <c r="A482" s="960" t="s">
        <v>1978</v>
      </c>
      <c r="B482" s="960" t="s">
        <v>1827</v>
      </c>
      <c r="C482" s="963">
        <v>0</v>
      </c>
    </row>
    <row r="483" spans="1:3" ht="24" x14ac:dyDescent="0.25">
      <c r="A483" s="960" t="s">
        <v>1979</v>
      </c>
      <c r="B483" s="960" t="s">
        <v>1829</v>
      </c>
      <c r="C483" s="963">
        <v>0</v>
      </c>
    </row>
    <row r="484" spans="1:3" x14ac:dyDescent="0.25">
      <c r="A484" s="960" t="s">
        <v>1980</v>
      </c>
      <c r="B484" s="960" t="s">
        <v>1831</v>
      </c>
      <c r="C484" s="963">
        <v>0</v>
      </c>
    </row>
    <row r="485" spans="1:3" x14ac:dyDescent="0.25">
      <c r="A485" s="960" t="s">
        <v>1981</v>
      </c>
      <c r="B485" s="960" t="s">
        <v>1833</v>
      </c>
      <c r="C485" s="963">
        <v>0</v>
      </c>
    </row>
    <row r="486" spans="1:3" x14ac:dyDescent="0.25">
      <c r="A486" s="960" t="s">
        <v>1982</v>
      </c>
      <c r="B486" s="960" t="s">
        <v>1835</v>
      </c>
      <c r="C486" s="963">
        <v>0</v>
      </c>
    </row>
    <row r="487" spans="1:3" ht="24" x14ac:dyDescent="0.25">
      <c r="A487" s="960" t="s">
        <v>1983</v>
      </c>
      <c r="B487" s="960" t="s">
        <v>1984</v>
      </c>
      <c r="C487" s="960"/>
    </row>
    <row r="488" spans="1:3" ht="24" x14ac:dyDescent="0.25">
      <c r="A488" s="960" t="s">
        <v>1985</v>
      </c>
      <c r="B488" s="960" t="s">
        <v>1986</v>
      </c>
      <c r="C488" s="960"/>
    </row>
    <row r="489" spans="1:3" ht="36" x14ac:dyDescent="0.25">
      <c r="A489" s="960" t="s">
        <v>1987</v>
      </c>
      <c r="B489" s="960" t="s">
        <v>1988</v>
      </c>
      <c r="C489" s="962">
        <v>0</v>
      </c>
    </row>
    <row r="490" spans="1:3" ht="24" x14ac:dyDescent="0.25">
      <c r="A490" s="960" t="s">
        <v>1989</v>
      </c>
      <c r="B490" s="960" t="s">
        <v>1990</v>
      </c>
      <c r="C490" s="963">
        <v>0</v>
      </c>
    </row>
    <row r="491" spans="1:3" ht="24" x14ac:dyDescent="0.25">
      <c r="A491" s="960" t="s">
        <v>1991</v>
      </c>
      <c r="B491" s="960" t="s">
        <v>1992</v>
      </c>
      <c r="C491" s="960"/>
    </row>
    <row r="492" spans="1:3" ht="24" x14ac:dyDescent="0.25">
      <c r="A492" s="960" t="s">
        <v>1993</v>
      </c>
      <c r="B492" s="960" t="s">
        <v>1994</v>
      </c>
      <c r="C492" s="963">
        <v>0</v>
      </c>
    </row>
    <row r="493" spans="1:3" ht="24" x14ac:dyDescent="0.25">
      <c r="A493" s="960" t="s">
        <v>1995</v>
      </c>
      <c r="B493" s="960" t="s">
        <v>1996</v>
      </c>
      <c r="C493" s="963">
        <v>0</v>
      </c>
    </row>
    <row r="494" spans="1:3" x14ac:dyDescent="0.25">
      <c r="A494" s="960" t="s">
        <v>1997</v>
      </c>
      <c r="B494" s="960" t="s">
        <v>1998</v>
      </c>
      <c r="C494" s="953" t="s">
        <v>1433</v>
      </c>
    </row>
    <row r="495" spans="1:3" x14ac:dyDescent="0.25">
      <c r="A495" s="960" t="s">
        <v>1999</v>
      </c>
      <c r="B495" s="960" t="s">
        <v>1853</v>
      </c>
      <c r="C495" s="963">
        <v>0</v>
      </c>
    </row>
    <row r="496" spans="1:3" ht="24" x14ac:dyDescent="0.25">
      <c r="A496" s="960" t="s">
        <v>2000</v>
      </c>
      <c r="B496" s="960" t="s">
        <v>2001</v>
      </c>
      <c r="C496" s="963">
        <v>0</v>
      </c>
    </row>
    <row r="497" spans="1:3" x14ac:dyDescent="0.25">
      <c r="A497" s="960" t="s">
        <v>2002</v>
      </c>
      <c r="B497" s="960" t="s">
        <v>300</v>
      </c>
      <c r="C497" s="963">
        <v>0</v>
      </c>
    </row>
    <row r="498" spans="1:3" ht="9.75" customHeight="1" x14ac:dyDescent="0.25">
      <c r="A498" s="960"/>
      <c r="B498" s="960"/>
      <c r="C498" s="960"/>
    </row>
    <row r="499" spans="1:3" x14ac:dyDescent="0.25">
      <c r="A499" s="960" t="s">
        <v>2003</v>
      </c>
      <c r="B499" s="960" t="s">
        <v>2004</v>
      </c>
      <c r="C499" s="960"/>
    </row>
    <row r="500" spans="1:3" ht="24" x14ac:dyDescent="0.25">
      <c r="A500" s="960" t="s">
        <v>2005</v>
      </c>
      <c r="B500" s="960" t="s">
        <v>2006</v>
      </c>
      <c r="C500" s="953" t="s">
        <v>1433</v>
      </c>
    </row>
    <row r="501" spans="1:3" x14ac:dyDescent="0.25">
      <c r="A501" s="960" t="s">
        <v>2007</v>
      </c>
      <c r="B501" s="960" t="s">
        <v>1809</v>
      </c>
      <c r="C501" s="963">
        <v>0</v>
      </c>
    </row>
    <row r="502" spans="1:3" x14ac:dyDescent="0.25">
      <c r="A502" s="960" t="s">
        <v>2008</v>
      </c>
      <c r="B502" s="960" t="s">
        <v>1811</v>
      </c>
      <c r="C502" s="963">
        <v>0</v>
      </c>
    </row>
    <row r="503" spans="1:3" ht="24" x14ac:dyDescent="0.25">
      <c r="A503" s="960" t="s">
        <v>2009</v>
      </c>
      <c r="B503" s="960" t="s">
        <v>2010</v>
      </c>
      <c r="C503" s="963">
        <v>0</v>
      </c>
    </row>
    <row r="504" spans="1:3" x14ac:dyDescent="0.25">
      <c r="A504" s="960" t="s">
        <v>2011</v>
      </c>
      <c r="B504" s="960" t="s">
        <v>1827</v>
      </c>
      <c r="C504" s="963">
        <v>0</v>
      </c>
    </row>
    <row r="505" spans="1:3" ht="24" x14ac:dyDescent="0.25">
      <c r="A505" s="960" t="s">
        <v>2012</v>
      </c>
      <c r="B505" s="960" t="s">
        <v>1829</v>
      </c>
      <c r="C505" s="963">
        <v>0</v>
      </c>
    </row>
    <row r="506" spans="1:3" x14ac:dyDescent="0.25">
      <c r="A506" s="960" t="s">
        <v>2013</v>
      </c>
      <c r="B506" s="960" t="s">
        <v>1831</v>
      </c>
      <c r="C506" s="963">
        <v>0</v>
      </c>
    </row>
    <row r="507" spans="1:3" ht="24" x14ac:dyDescent="0.25">
      <c r="A507" s="960" t="s">
        <v>2014</v>
      </c>
      <c r="B507" s="960" t="s">
        <v>2015</v>
      </c>
      <c r="C507" s="960"/>
    </row>
    <row r="508" spans="1:3" ht="24" x14ac:dyDescent="0.25">
      <c r="A508" s="960" t="s">
        <v>2016</v>
      </c>
      <c r="B508" s="960" t="s">
        <v>2017</v>
      </c>
      <c r="C508" s="960"/>
    </row>
    <row r="509" spans="1:3" ht="24" x14ac:dyDescent="0.25">
      <c r="A509" s="960" t="s">
        <v>2018</v>
      </c>
      <c r="B509" s="960" t="s">
        <v>2019</v>
      </c>
      <c r="C509" s="963">
        <v>0</v>
      </c>
    </row>
    <row r="510" spans="1:3" ht="24" x14ac:dyDescent="0.25">
      <c r="A510" s="960" t="s">
        <v>2020</v>
      </c>
      <c r="B510" s="960" t="s">
        <v>2021</v>
      </c>
      <c r="C510" s="963">
        <v>0</v>
      </c>
    </row>
    <row r="511" spans="1:3" ht="24" x14ac:dyDescent="0.25">
      <c r="A511" s="960" t="s">
        <v>2022</v>
      </c>
      <c r="B511" s="960" t="s">
        <v>1845</v>
      </c>
      <c r="C511" s="963">
        <v>0</v>
      </c>
    </row>
    <row r="512" spans="1:3" ht="24" x14ac:dyDescent="0.25">
      <c r="A512" s="960" t="s">
        <v>2023</v>
      </c>
      <c r="B512" s="960" t="s">
        <v>2024</v>
      </c>
      <c r="C512" s="962">
        <f>+'ETCA-I-02'!F23-'ETCA-I-02'!G23</f>
        <v>2499996</v>
      </c>
    </row>
    <row r="513" spans="1:3" ht="24" x14ac:dyDescent="0.25">
      <c r="A513" s="960" t="s">
        <v>2025</v>
      </c>
      <c r="B513" s="960" t="s">
        <v>2026</v>
      </c>
      <c r="C513" s="963">
        <v>0</v>
      </c>
    </row>
    <row r="514" spans="1:3" x14ac:dyDescent="0.25">
      <c r="A514" s="960" t="s">
        <v>2027</v>
      </c>
      <c r="B514" s="960" t="s">
        <v>2028</v>
      </c>
      <c r="C514" s="963">
        <v>0</v>
      </c>
    </row>
    <row r="515" spans="1:3" x14ac:dyDescent="0.25">
      <c r="A515" s="960" t="s">
        <v>2029</v>
      </c>
      <c r="B515" s="960" t="s">
        <v>1853</v>
      </c>
      <c r="C515" s="963">
        <v>0</v>
      </c>
    </row>
    <row r="516" spans="1:3" ht="24" x14ac:dyDescent="0.25">
      <c r="A516" s="960" t="s">
        <v>2030</v>
      </c>
      <c r="B516" s="960" t="s">
        <v>2001</v>
      </c>
      <c r="C516" s="963">
        <v>0</v>
      </c>
    </row>
    <row r="517" spans="1:3" x14ac:dyDescent="0.25">
      <c r="A517" s="960" t="s">
        <v>2031</v>
      </c>
      <c r="B517" s="960" t="s">
        <v>300</v>
      </c>
      <c r="C517" s="963">
        <v>0</v>
      </c>
    </row>
    <row r="518" spans="1:3" x14ac:dyDescent="0.25">
      <c r="A518" s="960"/>
      <c r="B518" s="960"/>
      <c r="C518" s="960"/>
    </row>
    <row r="519" spans="1:3" x14ac:dyDescent="0.25">
      <c r="A519" s="950" t="s">
        <v>2032</v>
      </c>
      <c r="B519" s="950" t="s">
        <v>2033</v>
      </c>
      <c r="C519" s="960"/>
    </row>
    <row r="520" spans="1:3" x14ac:dyDescent="0.25">
      <c r="A520" s="950"/>
      <c r="B520" s="950"/>
      <c r="C520" s="960"/>
    </row>
    <row r="521" spans="1:3" x14ac:dyDescent="0.25">
      <c r="A521" s="950"/>
      <c r="B521" s="950" t="s">
        <v>2034</v>
      </c>
      <c r="C521" s="968">
        <f>SUM(C413:C517)</f>
        <v>40551995.569999993</v>
      </c>
    </row>
    <row r="522" spans="1:3" ht="31.5" customHeight="1" x14ac:dyDescent="0.25">
      <c r="A522" s="1512" t="s">
        <v>2035</v>
      </c>
      <c r="B522" s="1512"/>
      <c r="C522" s="1513"/>
    </row>
    <row r="523" spans="1:3" ht="33.75" customHeight="1" x14ac:dyDescent="0.25">
      <c r="A523" s="1511" t="s">
        <v>2036</v>
      </c>
      <c r="B523" s="1511"/>
      <c r="C523" s="1511"/>
    </row>
  </sheetData>
  <mergeCells count="48">
    <mergeCell ref="A523:C523"/>
    <mergeCell ref="A437:A438"/>
    <mergeCell ref="B437:B438"/>
    <mergeCell ref="A441:A442"/>
    <mergeCell ref="B441:B442"/>
    <mergeCell ref="A459:A460"/>
    <mergeCell ref="B459:B460"/>
    <mergeCell ref="A469:A470"/>
    <mergeCell ref="B469:B470"/>
    <mergeCell ref="A480:A481"/>
    <mergeCell ref="B480:B481"/>
    <mergeCell ref="A522:C522"/>
    <mergeCell ref="A417:A418"/>
    <mergeCell ref="B417:B418"/>
    <mergeCell ref="A426:A427"/>
    <mergeCell ref="B426:B427"/>
    <mergeCell ref="A431:A432"/>
    <mergeCell ref="B431:B432"/>
    <mergeCell ref="A385:A386"/>
    <mergeCell ref="B385:B386"/>
    <mergeCell ref="A389:A390"/>
    <mergeCell ref="B389:B390"/>
    <mergeCell ref="A402:A403"/>
    <mergeCell ref="B402:B403"/>
    <mergeCell ref="A352:A353"/>
    <mergeCell ref="B352:B353"/>
    <mergeCell ref="A363:A364"/>
    <mergeCell ref="B363:B364"/>
    <mergeCell ref="A377:A378"/>
    <mergeCell ref="B377:B378"/>
    <mergeCell ref="A318:A319"/>
    <mergeCell ref="B318:B319"/>
    <mergeCell ref="A322:A324"/>
    <mergeCell ref="B322:B324"/>
    <mergeCell ref="A341:A342"/>
    <mergeCell ref="B341:B342"/>
    <mergeCell ref="A116:A117"/>
    <mergeCell ref="B116:B117"/>
    <mergeCell ref="A307:A308"/>
    <mergeCell ref="B307:B308"/>
    <mergeCell ref="A312:A313"/>
    <mergeCell ref="B312:B313"/>
    <mergeCell ref="A106:A107"/>
    <mergeCell ref="B106:B107"/>
    <mergeCell ref="A2:C2"/>
    <mergeCell ref="A3:C3"/>
    <mergeCell ref="A5:A6"/>
    <mergeCell ref="B5:B6"/>
  </mergeCells>
  <hyperlinks>
    <hyperlink ref="C76" location="_ftn2" display="_ftn2" xr:uid="{00000000-0004-0000-2500-000000000000}"/>
    <hyperlink ref="C116" location="_ftn1" display="_ftn1" xr:uid="{00000000-0004-0000-2500-000001000000}"/>
  </hyperlinks>
  <pageMargins left="0.70866141732283472" right="0.70866141732283472" top="0.74803149606299213" bottom="0.74803149606299213" header="0.31496062992125984" footer="0.31496062992125984"/>
  <pageSetup scale="7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46"/>
  <sheetViews>
    <sheetView view="pageBreakPreview" zoomScale="110" zoomScaleNormal="100" zoomScaleSheetLayoutView="110" workbookViewId="0">
      <selection activeCell="N37" sqref="N37"/>
    </sheetView>
  </sheetViews>
  <sheetFormatPr baseColWidth="10" defaultRowHeight="13.5" x14ac:dyDescent="0.25"/>
  <cols>
    <col min="1" max="1" width="7.140625" style="906" customWidth="1"/>
    <col min="2" max="2" width="31" style="904" customWidth="1"/>
    <col min="3" max="4" width="10.85546875" style="1003" customWidth="1"/>
    <col min="5" max="5" width="10.85546875" style="1027" customWidth="1"/>
    <col min="6" max="6" width="33.28515625" style="909" customWidth="1"/>
    <col min="7" max="16384" width="11.42578125" style="904"/>
  </cols>
  <sheetData>
    <row r="1" spans="1:6" ht="18" customHeight="1" x14ac:dyDescent="0.25">
      <c r="A1" s="1517" t="s">
        <v>1290</v>
      </c>
      <c r="B1" s="1515"/>
      <c r="C1" s="1515"/>
      <c r="D1" s="1515"/>
      <c r="E1" s="1515"/>
      <c r="F1" s="1518"/>
    </row>
    <row r="2" spans="1:6" ht="13.5" customHeight="1" x14ac:dyDescent="0.25">
      <c r="A2" s="956"/>
      <c r="B2" s="957"/>
      <c r="C2" s="1001" t="s">
        <v>1291</v>
      </c>
      <c r="D2" s="1001"/>
      <c r="E2" s="1001"/>
      <c r="F2" s="905" t="s">
        <v>2058</v>
      </c>
    </row>
    <row r="3" spans="1:6" ht="14.25" customHeight="1" x14ac:dyDescent="0.25">
      <c r="A3" s="1519" t="s">
        <v>2207</v>
      </c>
      <c r="B3" s="1520"/>
      <c r="C3" s="1520"/>
      <c r="D3" s="1520"/>
      <c r="E3" s="1520"/>
      <c r="F3" s="1521"/>
    </row>
    <row r="4" spans="1:6" s="906" customFormat="1" ht="51" x14ac:dyDescent="0.25">
      <c r="A4" s="958" t="s">
        <v>1292</v>
      </c>
      <c r="B4" s="958" t="s">
        <v>1293</v>
      </c>
      <c r="C4" s="1103" t="s">
        <v>1294</v>
      </c>
      <c r="D4" s="1104" t="s">
        <v>2211</v>
      </c>
      <c r="E4" s="1105" t="s">
        <v>1295</v>
      </c>
      <c r="F4" s="1106" t="s">
        <v>1296</v>
      </c>
    </row>
    <row r="5" spans="1:6" s="906" customFormat="1" ht="48" customHeight="1" x14ac:dyDescent="0.25">
      <c r="A5" s="958">
        <v>11301</v>
      </c>
      <c r="B5" s="959" t="s">
        <v>760</v>
      </c>
      <c r="C5" s="1103">
        <v>37389933.240000002</v>
      </c>
      <c r="D5" s="1104">
        <v>36458946</v>
      </c>
      <c r="E5" s="1107">
        <f t="shared" ref="E5:E35" si="0">+D5-C5</f>
        <v>-930987.24000000209</v>
      </c>
      <c r="F5" s="1108" t="s">
        <v>2212</v>
      </c>
    </row>
    <row r="6" spans="1:6" s="906" customFormat="1" ht="34.5" customHeight="1" x14ac:dyDescent="0.25">
      <c r="A6" s="1025">
        <v>12101</v>
      </c>
      <c r="B6" s="1026" t="s">
        <v>2135</v>
      </c>
      <c r="C6" s="1109">
        <v>985777.2</v>
      </c>
      <c r="D6" s="1110">
        <v>952755</v>
      </c>
      <c r="E6" s="1107">
        <f t="shared" si="0"/>
        <v>-33022.199999999953</v>
      </c>
      <c r="F6" s="1108" t="s">
        <v>2136</v>
      </c>
    </row>
    <row r="7" spans="1:6" s="906" customFormat="1" ht="51.75" customHeight="1" x14ac:dyDescent="0.25">
      <c r="A7" s="1025">
        <v>13301</v>
      </c>
      <c r="B7" s="1026" t="s">
        <v>1103</v>
      </c>
      <c r="C7" s="1109">
        <v>193832</v>
      </c>
      <c r="D7" s="1110">
        <v>196702</v>
      </c>
      <c r="E7" s="1107">
        <f t="shared" si="0"/>
        <v>2870</v>
      </c>
      <c r="F7" s="1108" t="s">
        <v>2213</v>
      </c>
    </row>
    <row r="8" spans="1:6" s="906" customFormat="1" ht="48" customHeight="1" x14ac:dyDescent="0.25">
      <c r="A8" s="1025">
        <v>15201</v>
      </c>
      <c r="B8" s="1026" t="s">
        <v>1110</v>
      </c>
      <c r="C8" s="1109">
        <v>0</v>
      </c>
      <c r="D8" s="1110">
        <v>148770.89000000001</v>
      </c>
      <c r="E8" s="1107">
        <f t="shared" si="0"/>
        <v>148770.89000000001</v>
      </c>
      <c r="F8" s="1108" t="s">
        <v>2137</v>
      </c>
    </row>
    <row r="9" spans="1:6" ht="51.75" customHeight="1" x14ac:dyDescent="0.25">
      <c r="A9" s="1025">
        <v>15303</v>
      </c>
      <c r="B9" s="1026" t="s">
        <v>2214</v>
      </c>
      <c r="C9" s="1109">
        <v>163800</v>
      </c>
      <c r="D9" s="1110">
        <v>179950</v>
      </c>
      <c r="E9" s="1107">
        <f t="shared" si="0"/>
        <v>16150</v>
      </c>
      <c r="F9" s="1108" t="s">
        <v>2215</v>
      </c>
    </row>
    <row r="10" spans="1:6" ht="48.75" customHeight="1" x14ac:dyDescent="0.25">
      <c r="A10" s="1025">
        <v>15404</v>
      </c>
      <c r="B10" s="1026" t="s">
        <v>2138</v>
      </c>
      <c r="C10" s="1109">
        <v>1258281.1200000001</v>
      </c>
      <c r="D10" s="1110">
        <v>1038587</v>
      </c>
      <c r="E10" s="1107">
        <f t="shared" si="0"/>
        <v>-219694.12000000011</v>
      </c>
      <c r="F10" s="1108" t="s">
        <v>2139</v>
      </c>
    </row>
    <row r="11" spans="1:6" ht="35.25" customHeight="1" x14ac:dyDescent="0.25">
      <c r="A11" s="1025">
        <v>15901</v>
      </c>
      <c r="B11" s="1002" t="s">
        <v>1114</v>
      </c>
      <c r="C11" s="1109">
        <v>1281233.28</v>
      </c>
      <c r="D11" s="1109">
        <v>1913675</v>
      </c>
      <c r="E11" s="1107">
        <f t="shared" si="0"/>
        <v>632441.72</v>
      </c>
      <c r="F11" s="1108" t="s">
        <v>2140</v>
      </c>
    </row>
    <row r="12" spans="1:6" ht="35.25" customHeight="1" x14ac:dyDescent="0.25">
      <c r="A12" s="1025">
        <v>17102</v>
      </c>
      <c r="B12" s="1002" t="s">
        <v>2141</v>
      </c>
      <c r="C12" s="1109">
        <v>1981034.76</v>
      </c>
      <c r="D12" s="1109">
        <v>2364506</v>
      </c>
      <c r="E12" s="1107">
        <f t="shared" si="0"/>
        <v>383471.24</v>
      </c>
      <c r="F12" s="1108" t="s">
        <v>2142</v>
      </c>
    </row>
    <row r="13" spans="1:6" ht="49.5" customHeight="1" x14ac:dyDescent="0.25">
      <c r="A13" s="1025">
        <v>21101</v>
      </c>
      <c r="B13" s="1002" t="s">
        <v>2216</v>
      </c>
      <c r="C13" s="1109">
        <v>233140</v>
      </c>
      <c r="D13" s="1109">
        <v>102925</v>
      </c>
      <c r="E13" s="1107">
        <f t="shared" si="0"/>
        <v>-130215</v>
      </c>
      <c r="F13" s="1108" t="s">
        <v>2217</v>
      </c>
    </row>
    <row r="14" spans="1:6" ht="48.75" customHeight="1" x14ac:dyDescent="0.25">
      <c r="A14" s="1025">
        <v>21601</v>
      </c>
      <c r="B14" s="1002" t="s">
        <v>2143</v>
      </c>
      <c r="C14" s="1109">
        <v>27001.919999999998</v>
      </c>
      <c r="D14" s="1109">
        <v>29979</v>
      </c>
      <c r="E14" s="1107">
        <f t="shared" si="0"/>
        <v>2977.0800000000017</v>
      </c>
      <c r="F14" s="1108" t="s">
        <v>2144</v>
      </c>
    </row>
    <row r="15" spans="1:6" ht="48.75" customHeight="1" x14ac:dyDescent="0.25">
      <c r="A15" s="1025">
        <v>22101</v>
      </c>
      <c r="B15" s="1002" t="s">
        <v>2145</v>
      </c>
      <c r="C15" s="1109">
        <v>90362.880000000005</v>
      </c>
      <c r="D15" s="1109">
        <v>91831.81</v>
      </c>
      <c r="E15" s="1107">
        <f t="shared" si="0"/>
        <v>1468.929999999993</v>
      </c>
      <c r="F15" s="1108" t="s">
        <v>2146</v>
      </c>
    </row>
    <row r="16" spans="1:6" ht="48.75" customHeight="1" x14ac:dyDescent="0.25">
      <c r="A16" s="1025">
        <v>26101</v>
      </c>
      <c r="B16" s="1002" t="s">
        <v>1146</v>
      </c>
      <c r="C16" s="1109">
        <v>548978</v>
      </c>
      <c r="D16" s="1109">
        <v>545512</v>
      </c>
      <c r="E16" s="1107">
        <f t="shared" si="0"/>
        <v>-3466</v>
      </c>
      <c r="F16" s="1108" t="s">
        <v>2218</v>
      </c>
    </row>
    <row r="17" spans="1:6" ht="48" customHeight="1" x14ac:dyDescent="0.25">
      <c r="A17" s="1025">
        <v>27101</v>
      </c>
      <c r="B17" s="1002" t="s">
        <v>1150</v>
      </c>
      <c r="C17" s="1109">
        <v>13966</v>
      </c>
      <c r="D17" s="1109">
        <v>72000</v>
      </c>
      <c r="E17" s="1107">
        <f t="shared" si="0"/>
        <v>58034</v>
      </c>
      <c r="F17" s="1108" t="s">
        <v>2219</v>
      </c>
    </row>
    <row r="18" spans="1:6" ht="36.75" customHeight="1" x14ac:dyDescent="0.25">
      <c r="A18" s="958">
        <v>29601</v>
      </c>
      <c r="B18" s="1028" t="s">
        <v>2220</v>
      </c>
      <c r="C18" s="1103">
        <v>22278</v>
      </c>
      <c r="D18" s="1103">
        <v>93479</v>
      </c>
      <c r="E18" s="1105">
        <f t="shared" si="0"/>
        <v>71201</v>
      </c>
      <c r="F18" s="1108" t="s">
        <v>2218</v>
      </c>
    </row>
    <row r="19" spans="1:6" ht="36.75" customHeight="1" x14ac:dyDescent="0.25">
      <c r="A19" s="1025">
        <v>31701</v>
      </c>
      <c r="B19" s="1002" t="s">
        <v>2147</v>
      </c>
      <c r="C19" s="1109">
        <v>436904.16</v>
      </c>
      <c r="D19" s="1109">
        <v>434904.16</v>
      </c>
      <c r="E19" s="1107">
        <f t="shared" si="0"/>
        <v>-2000</v>
      </c>
      <c r="F19" s="1108" t="s">
        <v>2148</v>
      </c>
    </row>
    <row r="20" spans="1:6" ht="36.75" customHeight="1" x14ac:dyDescent="0.25">
      <c r="A20" s="1025">
        <v>31801</v>
      </c>
      <c r="B20" s="1002" t="s">
        <v>2048</v>
      </c>
      <c r="C20" s="1109">
        <v>4902.72</v>
      </c>
      <c r="D20" s="1109">
        <v>4340</v>
      </c>
      <c r="E20" s="1107">
        <f t="shared" si="0"/>
        <v>-562.72000000000025</v>
      </c>
      <c r="F20" s="1108" t="s">
        <v>2148</v>
      </c>
    </row>
    <row r="21" spans="1:6" ht="36.75" customHeight="1" x14ac:dyDescent="0.25">
      <c r="A21" s="1025">
        <v>32101</v>
      </c>
      <c r="B21" s="1002" t="s">
        <v>2149</v>
      </c>
      <c r="C21" s="1109">
        <v>99624</v>
      </c>
      <c r="D21" s="1109">
        <v>92469</v>
      </c>
      <c r="E21" s="1107">
        <f t="shared" si="0"/>
        <v>-7155</v>
      </c>
      <c r="F21" s="1108" t="s">
        <v>2148</v>
      </c>
    </row>
    <row r="22" spans="1:6" ht="36.75" customHeight="1" x14ac:dyDescent="0.25">
      <c r="A22" s="1025">
        <v>32201</v>
      </c>
      <c r="B22" s="1002" t="s">
        <v>2049</v>
      </c>
      <c r="C22" s="1109">
        <v>0</v>
      </c>
      <c r="D22" s="1109">
        <v>32198</v>
      </c>
      <c r="E22" s="1107">
        <f t="shared" si="0"/>
        <v>32198</v>
      </c>
      <c r="F22" s="1108" t="s">
        <v>2050</v>
      </c>
    </row>
    <row r="23" spans="1:6" ht="44.25" customHeight="1" x14ac:dyDescent="0.25">
      <c r="A23" s="1025">
        <v>33101</v>
      </c>
      <c r="B23" s="1002" t="s">
        <v>2150</v>
      </c>
      <c r="C23" s="1109">
        <v>3504019.32</v>
      </c>
      <c r="D23" s="1109">
        <v>3415433</v>
      </c>
      <c r="E23" s="1111">
        <f t="shared" si="0"/>
        <v>-88586.319999999832</v>
      </c>
      <c r="F23" s="1108" t="s">
        <v>2051</v>
      </c>
    </row>
    <row r="24" spans="1:6" ht="36" customHeight="1" x14ac:dyDescent="0.25">
      <c r="A24" s="1025">
        <v>34501</v>
      </c>
      <c r="B24" s="1002" t="s">
        <v>2221</v>
      </c>
      <c r="C24" s="1109">
        <v>543004</v>
      </c>
      <c r="D24" s="1109">
        <v>540500</v>
      </c>
      <c r="E24" s="1111">
        <f t="shared" si="0"/>
        <v>-2504</v>
      </c>
      <c r="F24" s="1108" t="s">
        <v>2051</v>
      </c>
    </row>
    <row r="25" spans="1:6" ht="36" customHeight="1" x14ac:dyDescent="0.25">
      <c r="A25" s="1025">
        <v>34701</v>
      </c>
      <c r="B25" s="1002" t="s">
        <v>2052</v>
      </c>
      <c r="C25" s="1109">
        <v>0</v>
      </c>
      <c r="D25" s="1109">
        <v>900</v>
      </c>
      <c r="E25" s="1111">
        <f t="shared" si="0"/>
        <v>900</v>
      </c>
      <c r="F25" s="1108" t="s">
        <v>2053</v>
      </c>
    </row>
    <row r="26" spans="1:6" ht="48.75" customHeight="1" x14ac:dyDescent="0.25">
      <c r="A26" s="1025">
        <v>35101</v>
      </c>
      <c r="B26" s="1002" t="s">
        <v>2151</v>
      </c>
      <c r="C26" s="1109">
        <v>172573.2</v>
      </c>
      <c r="D26" s="1109">
        <v>194799</v>
      </c>
      <c r="E26" s="1111">
        <f t="shared" si="0"/>
        <v>22225.799999999988</v>
      </c>
      <c r="F26" s="1108" t="s">
        <v>2148</v>
      </c>
    </row>
    <row r="27" spans="1:6" ht="38.25" customHeight="1" x14ac:dyDescent="0.25">
      <c r="A27" s="1025">
        <v>35201</v>
      </c>
      <c r="B27" s="1002" t="s">
        <v>2152</v>
      </c>
      <c r="C27" s="1109">
        <v>28455</v>
      </c>
      <c r="D27" s="1109">
        <v>95545</v>
      </c>
      <c r="E27" s="1111">
        <f t="shared" si="0"/>
        <v>67090</v>
      </c>
      <c r="F27" s="1112" t="s">
        <v>2153</v>
      </c>
    </row>
    <row r="28" spans="1:6" ht="51" x14ac:dyDescent="0.25">
      <c r="A28" s="1025">
        <v>35302</v>
      </c>
      <c r="B28" s="1002" t="s">
        <v>2054</v>
      </c>
      <c r="C28" s="1109">
        <v>451110</v>
      </c>
      <c r="D28" s="1109">
        <v>364236</v>
      </c>
      <c r="E28" s="1111">
        <f t="shared" si="0"/>
        <v>-86874</v>
      </c>
      <c r="F28" s="1108" t="s">
        <v>2148</v>
      </c>
    </row>
    <row r="29" spans="1:6" ht="78.75" customHeight="1" x14ac:dyDescent="0.25">
      <c r="A29" s="1025">
        <v>35501</v>
      </c>
      <c r="B29" s="1002" t="s">
        <v>2154</v>
      </c>
      <c r="C29" s="1109">
        <v>183577.92</v>
      </c>
      <c r="D29" s="1109">
        <v>187276</v>
      </c>
      <c r="E29" s="1111">
        <f t="shared" si="0"/>
        <v>3698.0799999999872</v>
      </c>
      <c r="F29" s="1112" t="s">
        <v>2155</v>
      </c>
    </row>
    <row r="30" spans="1:6" ht="51" x14ac:dyDescent="0.25">
      <c r="A30" s="1025">
        <v>35801</v>
      </c>
      <c r="B30" s="1002" t="s">
        <v>2055</v>
      </c>
      <c r="C30" s="1109">
        <v>450596.52</v>
      </c>
      <c r="D30" s="1109">
        <v>443705.02</v>
      </c>
      <c r="E30" s="1111">
        <f t="shared" si="0"/>
        <v>-6891.5</v>
      </c>
      <c r="F30" s="1108" t="s">
        <v>2148</v>
      </c>
    </row>
    <row r="31" spans="1:6" ht="38.25" x14ac:dyDescent="0.25">
      <c r="A31" s="1025">
        <v>36201</v>
      </c>
      <c r="B31" s="1002" t="s">
        <v>2156</v>
      </c>
      <c r="C31" s="1109">
        <v>0</v>
      </c>
      <c r="D31" s="1109">
        <v>6891.5</v>
      </c>
      <c r="E31" s="1111">
        <f t="shared" si="0"/>
        <v>6891.5</v>
      </c>
      <c r="F31" s="1112" t="s">
        <v>2056</v>
      </c>
    </row>
    <row r="32" spans="1:6" ht="51" x14ac:dyDescent="0.25">
      <c r="A32" s="958">
        <v>36301</v>
      </c>
      <c r="B32" s="1028" t="s">
        <v>2157</v>
      </c>
      <c r="C32" s="1103">
        <v>232470</v>
      </c>
      <c r="D32" s="1103">
        <v>198294</v>
      </c>
      <c r="E32" s="1105">
        <f t="shared" si="0"/>
        <v>-34176</v>
      </c>
      <c r="F32" s="1112" t="s">
        <v>2158</v>
      </c>
    </row>
    <row r="33" spans="1:6" ht="51" x14ac:dyDescent="0.25">
      <c r="A33" s="1025">
        <v>37501</v>
      </c>
      <c r="B33" s="1002" t="s">
        <v>1234</v>
      </c>
      <c r="C33" s="1109">
        <v>112697.64</v>
      </c>
      <c r="D33" s="1109">
        <v>134983</v>
      </c>
      <c r="E33" s="1111">
        <f t="shared" si="0"/>
        <v>22285.360000000001</v>
      </c>
      <c r="F33" s="1112" t="s">
        <v>2159</v>
      </c>
    </row>
    <row r="34" spans="1:6" ht="38.25" x14ac:dyDescent="0.25">
      <c r="A34" s="1025">
        <v>38201</v>
      </c>
      <c r="B34" s="1002" t="s">
        <v>2057</v>
      </c>
      <c r="C34" s="1109">
        <v>118167.96</v>
      </c>
      <c r="D34" s="1109">
        <v>173330.82</v>
      </c>
      <c r="E34" s="1111">
        <f t="shared" si="0"/>
        <v>55162.86</v>
      </c>
      <c r="F34" s="1112" t="s">
        <v>2222</v>
      </c>
    </row>
    <row r="35" spans="1:6" ht="38.25" x14ac:dyDescent="0.25">
      <c r="A35" s="1025">
        <v>39201</v>
      </c>
      <c r="B35" s="1002" t="s">
        <v>1245</v>
      </c>
      <c r="C35" s="1109">
        <v>116086</v>
      </c>
      <c r="D35" s="1109">
        <v>134384</v>
      </c>
      <c r="E35" s="1111">
        <f t="shared" si="0"/>
        <v>18298</v>
      </c>
      <c r="F35" s="1112" t="s">
        <v>2223</v>
      </c>
    </row>
    <row r="36" spans="1:6" x14ac:dyDescent="0.25">
      <c r="A36" s="958"/>
      <c r="B36" s="907"/>
      <c r="C36" s="1103">
        <f>SUM(C5:C35)</f>
        <v>50643806.840000011</v>
      </c>
      <c r="D36" s="1103">
        <f>SUM(D5:D35)</f>
        <v>50643807.200000003</v>
      </c>
      <c r="E36" s="1103">
        <f>SUM(E5:E35)</f>
        <v>0.35999999796331394</v>
      </c>
      <c r="F36" s="1113"/>
    </row>
    <row r="37" spans="1:6" ht="96" customHeight="1" x14ac:dyDescent="0.25">
      <c r="A37" s="958" t="s">
        <v>1297</v>
      </c>
      <c r="B37" s="1514" t="s">
        <v>2224</v>
      </c>
      <c r="C37" s="1514"/>
      <c r="D37" s="1514"/>
      <c r="E37" s="1514"/>
      <c r="F37" s="1514"/>
    </row>
    <row r="38" spans="1:6" x14ac:dyDescent="0.25">
      <c r="C38" s="1114"/>
      <c r="D38" s="1114"/>
      <c r="E38" s="1115"/>
      <c r="F38" s="1116"/>
    </row>
    <row r="39" spans="1:6" x14ac:dyDescent="0.25">
      <c r="C39" s="1114"/>
      <c r="D39" s="1114"/>
      <c r="E39" s="1115"/>
      <c r="F39" s="1116"/>
    </row>
    <row r="40" spans="1:6" x14ac:dyDescent="0.25">
      <c r="B40" s="908"/>
      <c r="C40" s="1117"/>
      <c r="D40" s="1121"/>
      <c r="E40" s="1115"/>
      <c r="F40" s="1118"/>
    </row>
    <row r="41" spans="1:6" x14ac:dyDescent="0.25">
      <c r="B41" s="1515" t="s">
        <v>2208</v>
      </c>
      <c r="C41" s="1515"/>
      <c r="D41" s="1120"/>
      <c r="E41" s="1115"/>
      <c r="F41" s="1119" t="s">
        <v>2133</v>
      </c>
    </row>
    <row r="42" spans="1:6" x14ac:dyDescent="0.25">
      <c r="B42" s="1516" t="s">
        <v>2210</v>
      </c>
      <c r="C42" s="1516"/>
      <c r="D42" s="1120"/>
      <c r="E42" s="1115"/>
      <c r="F42" s="1119" t="s">
        <v>1268</v>
      </c>
    </row>
    <row r="43" spans="1:6" x14ac:dyDescent="0.25">
      <c r="C43" s="1114"/>
      <c r="D43" s="1114"/>
      <c r="E43" s="1115"/>
      <c r="F43" s="1116"/>
    </row>
    <row r="44" spans="1:6" x14ac:dyDescent="0.25">
      <c r="C44" s="1114"/>
      <c r="D44" s="1114"/>
      <c r="E44" s="1115"/>
      <c r="F44" s="1116"/>
    </row>
    <row r="45" spans="1:6" x14ac:dyDescent="0.25">
      <c r="C45" s="1114"/>
      <c r="D45" s="1114"/>
      <c r="E45" s="1115"/>
      <c r="F45" s="1116"/>
    </row>
    <row r="46" spans="1:6" x14ac:dyDescent="0.25">
      <c r="C46" s="1114"/>
      <c r="D46" s="1114"/>
      <c r="E46" s="1115"/>
      <c r="F46" s="1116"/>
    </row>
  </sheetData>
  <mergeCells count="5">
    <mergeCell ref="B37:F37"/>
    <mergeCell ref="B41:C41"/>
    <mergeCell ref="B42:C42"/>
    <mergeCell ref="A1:F1"/>
    <mergeCell ref="A3:F3"/>
  </mergeCells>
  <printOptions horizontalCentered="1"/>
  <pageMargins left="0.11811023622047245" right="0.11811023622047245" top="0.74803149606299213" bottom="0.74803149606299213" header="0.31496062992125984" footer="0.31496062992125984"/>
  <pageSetup scale="95" orientation="portrait" r:id="rId1"/>
  <headerFooter>
    <oddFooter>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FFFF00"/>
    <pageSetUpPr fitToPage="1"/>
  </sheetPr>
  <dimension ref="A1:G70"/>
  <sheetViews>
    <sheetView view="pageBreakPreview" topLeftCell="A46" zoomScale="110" zoomScaleNormal="100" zoomScaleSheetLayoutView="110" workbookViewId="0">
      <selection activeCell="C18" sqref="C18"/>
    </sheetView>
  </sheetViews>
  <sheetFormatPr baseColWidth="10" defaultColWidth="11.28515625" defaultRowHeight="16.5" x14ac:dyDescent="0.3"/>
  <cols>
    <col min="1" max="1" width="1.7109375" style="102" customWidth="1"/>
    <col min="2" max="2" width="73.85546875" style="102" customWidth="1"/>
    <col min="3" max="3" width="18.28515625" style="102" customWidth="1"/>
    <col min="4" max="4" width="18" style="408" customWidth="1"/>
    <col min="5" max="5" width="59.28515625" style="101" customWidth="1"/>
    <col min="6" max="6" width="22.7109375" style="101" customWidth="1"/>
    <col min="7" max="16384" width="11.28515625" style="101"/>
  </cols>
  <sheetData>
    <row r="1" spans="1:7" s="100" customFormat="1" ht="20.25" x14ac:dyDescent="0.3">
      <c r="A1" s="1146" t="str">
        <f>'ETCA-I-01'!A1</f>
        <v>TELEVISORA DE HERMOSILLO, S.A. DE C.V.</v>
      </c>
      <c r="B1" s="1146"/>
      <c r="C1" s="1146"/>
      <c r="D1" s="1146"/>
      <c r="E1" s="396"/>
      <c r="G1" s="49"/>
    </row>
    <row r="2" spans="1:7" ht="15.75" x14ac:dyDescent="0.25">
      <c r="A2" s="1144" t="s">
        <v>1</v>
      </c>
      <c r="B2" s="1144"/>
      <c r="C2" s="1144"/>
      <c r="D2" s="1144"/>
    </row>
    <row r="3" spans="1:7" x14ac:dyDescent="0.25">
      <c r="A3" s="1145" t="s">
        <v>2206</v>
      </c>
      <c r="B3" s="1145"/>
      <c r="C3" s="1145"/>
      <c r="D3" s="1145"/>
    </row>
    <row r="4" spans="1:7" s="102" customFormat="1" ht="17.25" thickBot="1" x14ac:dyDescent="0.35">
      <c r="A4" s="1149" t="s">
        <v>1027</v>
      </c>
      <c r="B4" s="1149"/>
      <c r="C4" s="49"/>
      <c r="D4" s="404"/>
    </row>
    <row r="5" spans="1:7" ht="27.75" customHeight="1" thickBot="1" x14ac:dyDescent="0.3">
      <c r="A5" s="1152"/>
      <c r="B5" s="1153"/>
      <c r="C5" s="789">
        <v>2021</v>
      </c>
      <c r="D5" s="789">
        <v>2020</v>
      </c>
    </row>
    <row r="6" spans="1:7" ht="17.25" thickTop="1" x14ac:dyDescent="0.25">
      <c r="A6" s="103" t="s">
        <v>197</v>
      </c>
      <c r="B6" s="104"/>
      <c r="C6" s="105"/>
      <c r="D6" s="561"/>
    </row>
    <row r="7" spans="1:7" x14ac:dyDescent="0.25">
      <c r="A7" s="106" t="s">
        <v>966</v>
      </c>
      <c r="B7" s="107"/>
      <c r="C7" s="507">
        <f>SUM(C8:C14)</f>
        <v>4931776</v>
      </c>
      <c r="D7" s="508">
        <f>SUM(D8:D14)</f>
        <v>42742012</v>
      </c>
    </row>
    <row r="8" spans="1:7" x14ac:dyDescent="0.25">
      <c r="A8" s="108"/>
      <c r="B8" s="109" t="s">
        <v>198</v>
      </c>
      <c r="C8" s="509">
        <v>0</v>
      </c>
      <c r="D8" s="510">
        <v>0</v>
      </c>
    </row>
    <row r="9" spans="1:7" x14ac:dyDescent="0.25">
      <c r="A9" s="108"/>
      <c r="B9" s="109" t="s">
        <v>199</v>
      </c>
      <c r="C9" s="509">
        <v>0</v>
      </c>
      <c r="D9" s="510">
        <v>0</v>
      </c>
    </row>
    <row r="10" spans="1:7" x14ac:dyDescent="0.25">
      <c r="A10" s="108"/>
      <c r="B10" s="109" t="s">
        <v>200</v>
      </c>
      <c r="C10" s="509">
        <v>0</v>
      </c>
      <c r="D10" s="510">
        <v>0</v>
      </c>
    </row>
    <row r="11" spans="1:7" x14ac:dyDescent="0.25">
      <c r="A11" s="108"/>
      <c r="B11" s="109" t="s">
        <v>201</v>
      </c>
      <c r="C11" s="509">
        <v>0</v>
      </c>
      <c r="D11" s="510">
        <v>0</v>
      </c>
    </row>
    <row r="12" spans="1:7" x14ac:dyDescent="0.25">
      <c r="A12" s="108"/>
      <c r="B12" s="109" t="s">
        <v>950</v>
      </c>
      <c r="C12" s="509">
        <v>984</v>
      </c>
      <c r="D12" s="510">
        <v>7163</v>
      </c>
    </row>
    <row r="13" spans="1:7" x14ac:dyDescent="0.25">
      <c r="A13" s="108"/>
      <c r="B13" s="109" t="s">
        <v>951</v>
      </c>
      <c r="C13" s="509">
        <v>0</v>
      </c>
      <c r="D13" s="510">
        <v>0</v>
      </c>
    </row>
    <row r="14" spans="1:7" x14ac:dyDescent="0.25">
      <c r="A14" s="108"/>
      <c r="B14" s="109" t="s">
        <v>967</v>
      </c>
      <c r="C14" s="509">
        <v>4930792</v>
      </c>
      <c r="D14" s="510">
        <v>42734849</v>
      </c>
    </row>
    <row r="15" spans="1:7" ht="33" customHeight="1" x14ac:dyDescent="0.25">
      <c r="A15" s="1150" t="s">
        <v>952</v>
      </c>
      <c r="B15" s="1151"/>
      <c r="C15" s="507">
        <f>SUM(C16:C17)</f>
        <v>13171729</v>
      </c>
      <c r="D15" s="508">
        <f>SUM(D16:D17)</f>
        <v>10683187</v>
      </c>
    </row>
    <row r="16" spans="1:7" x14ac:dyDescent="0.25">
      <c r="A16" s="108"/>
      <c r="B16" s="109" t="s">
        <v>969</v>
      </c>
      <c r="C16" s="509">
        <v>0</v>
      </c>
      <c r="D16" s="510">
        <v>0</v>
      </c>
    </row>
    <row r="17" spans="1:4" x14ac:dyDescent="0.25">
      <c r="A17" s="108"/>
      <c r="B17" s="109" t="s">
        <v>968</v>
      </c>
      <c r="C17" s="509">
        <v>13171729</v>
      </c>
      <c r="D17" s="510">
        <v>10683187</v>
      </c>
    </row>
    <row r="18" spans="1:4" x14ac:dyDescent="0.25">
      <c r="A18" s="106" t="s">
        <v>203</v>
      </c>
      <c r="B18" s="107"/>
      <c r="C18" s="507">
        <f>SUM(C19:C23)</f>
        <v>132706</v>
      </c>
      <c r="D18" s="508">
        <f>SUM(D19:D23)</f>
        <v>74147</v>
      </c>
    </row>
    <row r="19" spans="1:4" x14ac:dyDescent="0.25">
      <c r="A19" s="108"/>
      <c r="B19" s="109" t="s">
        <v>204</v>
      </c>
      <c r="C19" s="509">
        <v>0</v>
      </c>
      <c r="D19" s="510">
        <v>0</v>
      </c>
    </row>
    <row r="20" spans="1:4" x14ac:dyDescent="0.25">
      <c r="A20" s="108"/>
      <c r="B20" s="109" t="s">
        <v>205</v>
      </c>
      <c r="C20" s="509">
        <v>0</v>
      </c>
      <c r="D20" s="510">
        <v>0</v>
      </c>
    </row>
    <row r="21" spans="1:4" x14ac:dyDescent="0.25">
      <c r="A21" s="108"/>
      <c r="B21" s="109" t="s">
        <v>206</v>
      </c>
      <c r="C21" s="509">
        <v>0</v>
      </c>
      <c r="D21" s="510">
        <v>0</v>
      </c>
    </row>
    <row r="22" spans="1:4" x14ac:dyDescent="0.25">
      <c r="A22" s="108"/>
      <c r="B22" s="109" t="s">
        <v>207</v>
      </c>
      <c r="C22" s="509">
        <v>0</v>
      </c>
      <c r="D22" s="510">
        <v>0</v>
      </c>
    </row>
    <row r="23" spans="1:4" x14ac:dyDescent="0.25">
      <c r="A23" s="108"/>
      <c r="B23" s="109" t="s">
        <v>208</v>
      </c>
      <c r="C23" s="509">
        <v>132706</v>
      </c>
      <c r="D23" s="510">
        <v>74147</v>
      </c>
    </row>
    <row r="24" spans="1:4" x14ac:dyDescent="0.25">
      <c r="A24" s="110" t="s">
        <v>209</v>
      </c>
      <c r="B24" s="111"/>
      <c r="C24" s="511">
        <f>C18+C15+C7</f>
        <v>18236211</v>
      </c>
      <c r="D24" s="512">
        <f>D18+D15+D7</f>
        <v>53499346</v>
      </c>
    </row>
    <row r="25" spans="1:4" x14ac:dyDescent="0.25">
      <c r="A25" s="108"/>
      <c r="B25" s="105"/>
      <c r="C25" s="509"/>
      <c r="D25" s="510"/>
    </row>
    <row r="26" spans="1:4" x14ac:dyDescent="0.25">
      <c r="A26" s="103" t="s">
        <v>210</v>
      </c>
      <c r="B26" s="104"/>
      <c r="C26" s="509"/>
      <c r="D26" s="510"/>
    </row>
    <row r="27" spans="1:4" x14ac:dyDescent="0.25">
      <c r="A27" s="106" t="s">
        <v>211</v>
      </c>
      <c r="B27" s="107"/>
      <c r="C27" s="507">
        <f>SUM(C28:C30)</f>
        <v>59414697</v>
      </c>
      <c r="D27" s="508">
        <f>SUM(D28:D30)</f>
        <v>66207889</v>
      </c>
    </row>
    <row r="28" spans="1:4" x14ac:dyDescent="0.25">
      <c r="A28" s="108"/>
      <c r="B28" s="109" t="s">
        <v>212</v>
      </c>
      <c r="C28" s="509">
        <v>50644779</v>
      </c>
      <c r="D28" s="510">
        <v>57519216</v>
      </c>
    </row>
    <row r="29" spans="1:4" x14ac:dyDescent="0.25">
      <c r="A29" s="108"/>
      <c r="B29" s="109" t="s">
        <v>213</v>
      </c>
      <c r="C29" s="509">
        <v>682153</v>
      </c>
      <c r="D29" s="510">
        <v>719697</v>
      </c>
    </row>
    <row r="30" spans="1:4" x14ac:dyDescent="0.25">
      <c r="A30" s="108"/>
      <c r="B30" s="109" t="s">
        <v>214</v>
      </c>
      <c r="C30" s="509">
        <v>8087765</v>
      </c>
      <c r="D30" s="510">
        <v>7968976</v>
      </c>
    </row>
    <row r="31" spans="1:4" x14ac:dyDescent="0.25">
      <c r="A31" s="106" t="s">
        <v>424</v>
      </c>
      <c r="B31" s="107"/>
      <c r="C31" s="507">
        <f>SUM(C32:C40)</f>
        <v>0</v>
      </c>
      <c r="D31" s="508">
        <f>SUM(D32:D40)</f>
        <v>0</v>
      </c>
    </row>
    <row r="32" spans="1:4" x14ac:dyDescent="0.25">
      <c r="A32" s="108"/>
      <c r="B32" s="109" t="s">
        <v>215</v>
      </c>
      <c r="C32" s="509">
        <v>0</v>
      </c>
      <c r="D32" s="510">
        <v>0</v>
      </c>
    </row>
    <row r="33" spans="1:4" x14ac:dyDescent="0.25">
      <c r="A33" s="108"/>
      <c r="B33" s="109" t="s">
        <v>216</v>
      </c>
      <c r="C33" s="509">
        <v>0</v>
      </c>
      <c r="D33" s="510">
        <v>0</v>
      </c>
    </row>
    <row r="34" spans="1:4" x14ac:dyDescent="0.25">
      <c r="A34" s="108"/>
      <c r="B34" s="109" t="s">
        <v>217</v>
      </c>
      <c r="C34" s="509">
        <v>0</v>
      </c>
      <c r="D34" s="510">
        <v>0</v>
      </c>
    </row>
    <row r="35" spans="1:4" x14ac:dyDescent="0.25">
      <c r="A35" s="108"/>
      <c r="B35" s="109" t="s">
        <v>218</v>
      </c>
      <c r="C35" s="509">
        <v>0</v>
      </c>
      <c r="D35" s="510">
        <v>0</v>
      </c>
    </row>
    <row r="36" spans="1:4" x14ac:dyDescent="0.25">
      <c r="A36" s="108"/>
      <c r="B36" s="109" t="s">
        <v>219</v>
      </c>
      <c r="C36" s="509">
        <v>0</v>
      </c>
      <c r="D36" s="510">
        <v>0</v>
      </c>
    </row>
    <row r="37" spans="1:4" x14ac:dyDescent="0.25">
      <c r="A37" s="108"/>
      <c r="B37" s="109" t="s">
        <v>220</v>
      </c>
      <c r="C37" s="509">
        <v>0</v>
      </c>
      <c r="D37" s="510">
        <v>0</v>
      </c>
    </row>
    <row r="38" spans="1:4" x14ac:dyDescent="0.25">
      <c r="A38" s="108"/>
      <c r="B38" s="109" t="s">
        <v>221</v>
      </c>
      <c r="C38" s="509">
        <v>0</v>
      </c>
      <c r="D38" s="510">
        <v>0</v>
      </c>
    </row>
    <row r="39" spans="1:4" x14ac:dyDescent="0.25">
      <c r="A39" s="108"/>
      <c r="B39" s="109" t="s">
        <v>222</v>
      </c>
      <c r="C39" s="509">
        <v>0</v>
      </c>
      <c r="D39" s="510">
        <v>0</v>
      </c>
    </row>
    <row r="40" spans="1:4" x14ac:dyDescent="0.25">
      <c r="A40" s="108"/>
      <c r="B40" s="109" t="s">
        <v>223</v>
      </c>
      <c r="C40" s="509">
        <v>0</v>
      </c>
      <c r="D40" s="510">
        <v>0</v>
      </c>
    </row>
    <row r="41" spans="1:4" x14ac:dyDescent="0.25">
      <c r="A41" s="106" t="s">
        <v>224</v>
      </c>
      <c r="B41" s="107"/>
      <c r="C41" s="507">
        <f>SUM(C42:C44)</f>
        <v>0</v>
      </c>
      <c r="D41" s="508">
        <f>SUM(D42:D44)</f>
        <v>0</v>
      </c>
    </row>
    <row r="42" spans="1:4" x14ac:dyDescent="0.25">
      <c r="A42" s="108"/>
      <c r="B42" s="109" t="s">
        <v>225</v>
      </c>
      <c r="C42" s="509">
        <v>0</v>
      </c>
      <c r="D42" s="510">
        <v>0</v>
      </c>
    </row>
    <row r="43" spans="1:4" x14ac:dyDescent="0.25">
      <c r="A43" s="108"/>
      <c r="B43" s="109" t="s">
        <v>67</v>
      </c>
      <c r="C43" s="509">
        <v>0</v>
      </c>
      <c r="D43" s="510">
        <v>0</v>
      </c>
    </row>
    <row r="44" spans="1:4" x14ac:dyDescent="0.25">
      <c r="A44" s="108"/>
      <c r="B44" s="109" t="s">
        <v>226</v>
      </c>
      <c r="C44" s="509">
        <v>0</v>
      </c>
      <c r="D44" s="510">
        <v>0</v>
      </c>
    </row>
    <row r="45" spans="1:4" x14ac:dyDescent="0.25">
      <c r="A45" s="106" t="s">
        <v>227</v>
      </c>
      <c r="B45" s="107"/>
      <c r="C45" s="507">
        <f>SUM(C46:C50)</f>
        <v>1999205</v>
      </c>
      <c r="D45" s="508">
        <f>SUM(D46:D50)</f>
        <v>2744137</v>
      </c>
    </row>
    <row r="46" spans="1:4" x14ac:dyDescent="0.25">
      <c r="A46" s="108"/>
      <c r="B46" s="109" t="s">
        <v>228</v>
      </c>
      <c r="C46" s="509">
        <v>1999205</v>
      </c>
      <c r="D46" s="510">
        <v>2744137</v>
      </c>
    </row>
    <row r="47" spans="1:4" x14ac:dyDescent="0.25">
      <c r="A47" s="108"/>
      <c r="B47" s="109" t="s">
        <v>229</v>
      </c>
      <c r="C47" s="509">
        <v>0</v>
      </c>
      <c r="D47" s="510">
        <v>0</v>
      </c>
    </row>
    <row r="48" spans="1:4" x14ac:dyDescent="0.25">
      <c r="A48" s="108"/>
      <c r="B48" s="109" t="s">
        <v>230</v>
      </c>
      <c r="C48" s="509">
        <v>0</v>
      </c>
      <c r="D48" s="510">
        <v>0</v>
      </c>
    </row>
    <row r="49" spans="1:5" x14ac:dyDescent="0.25">
      <c r="A49" s="108"/>
      <c r="B49" s="109" t="s">
        <v>231</v>
      </c>
      <c r="C49" s="509">
        <v>0</v>
      </c>
      <c r="D49" s="510">
        <v>0</v>
      </c>
    </row>
    <row r="50" spans="1:5" x14ac:dyDescent="0.25">
      <c r="A50" s="108"/>
      <c r="B50" s="109" t="s">
        <v>232</v>
      </c>
      <c r="C50" s="509">
        <v>0</v>
      </c>
      <c r="D50" s="510">
        <v>0</v>
      </c>
    </row>
    <row r="51" spans="1:5" x14ac:dyDescent="0.25">
      <c r="A51" s="106" t="s">
        <v>233</v>
      </c>
      <c r="B51" s="107"/>
      <c r="C51" s="511">
        <f>SUM(C52:C57)</f>
        <v>9035269</v>
      </c>
      <c r="D51" s="512">
        <f>SUM(D52:D57)</f>
        <v>11968801</v>
      </c>
    </row>
    <row r="52" spans="1:5" x14ac:dyDescent="0.25">
      <c r="A52" s="108"/>
      <c r="B52" s="109" t="s">
        <v>234</v>
      </c>
      <c r="C52" s="509">
        <v>9035150</v>
      </c>
      <c r="D52" s="510">
        <v>10963753</v>
      </c>
    </row>
    <row r="53" spans="1:5" x14ac:dyDescent="0.25">
      <c r="A53" s="108"/>
      <c r="B53" s="109" t="s">
        <v>235</v>
      </c>
      <c r="C53" s="509">
        <v>0</v>
      </c>
      <c r="D53" s="510">
        <v>0</v>
      </c>
    </row>
    <row r="54" spans="1:5" x14ac:dyDescent="0.25">
      <c r="A54" s="108"/>
      <c r="B54" s="109" t="s">
        <v>236</v>
      </c>
      <c r="C54" s="509">
        <v>0</v>
      </c>
      <c r="D54" s="510">
        <v>0</v>
      </c>
    </row>
    <row r="55" spans="1:5" x14ac:dyDescent="0.25">
      <c r="A55" s="108"/>
      <c r="B55" s="109" t="s">
        <v>970</v>
      </c>
      <c r="C55" s="509">
        <v>0</v>
      </c>
      <c r="D55" s="510">
        <v>0</v>
      </c>
    </row>
    <row r="56" spans="1:5" x14ac:dyDescent="0.25">
      <c r="A56" s="108"/>
      <c r="B56" s="109" t="s">
        <v>237</v>
      </c>
      <c r="C56" s="509">
        <v>0</v>
      </c>
      <c r="D56" s="510">
        <v>0</v>
      </c>
    </row>
    <row r="57" spans="1:5" x14ac:dyDescent="0.25">
      <c r="A57" s="108"/>
      <c r="B57" s="109" t="s">
        <v>238</v>
      </c>
      <c r="C57" s="509">
        <v>119</v>
      </c>
      <c r="D57" s="510">
        <v>1005048</v>
      </c>
    </row>
    <row r="58" spans="1:5" x14ac:dyDescent="0.25">
      <c r="A58" s="106" t="s">
        <v>239</v>
      </c>
      <c r="B58" s="107"/>
      <c r="C58" s="511">
        <f>C59</f>
        <v>0</v>
      </c>
      <c r="D58" s="512">
        <f>D59</f>
        <v>0</v>
      </c>
    </row>
    <row r="59" spans="1:5" x14ac:dyDescent="0.25">
      <c r="A59" s="108"/>
      <c r="B59" s="109" t="s">
        <v>240</v>
      </c>
      <c r="C59" s="509">
        <v>0</v>
      </c>
      <c r="D59" s="510">
        <v>0</v>
      </c>
    </row>
    <row r="60" spans="1:5" x14ac:dyDescent="0.25">
      <c r="A60" s="108"/>
      <c r="B60" s="112"/>
      <c r="C60" s="509"/>
      <c r="D60" s="510"/>
    </row>
    <row r="61" spans="1:5" x14ac:dyDescent="0.25">
      <c r="A61" s="106" t="s">
        <v>241</v>
      </c>
      <c r="B61" s="107"/>
      <c r="C61" s="511">
        <f>C58+C51+C45+C31+C27+C41</f>
        <v>70449171</v>
      </c>
      <c r="D61" s="512">
        <f>D58+D51+D45+D31+D27+D41+1</f>
        <v>80920828</v>
      </c>
    </row>
    <row r="62" spans="1:5" x14ac:dyDescent="0.25">
      <c r="A62" s="108"/>
      <c r="B62" s="112"/>
      <c r="C62" s="509"/>
      <c r="D62" s="510"/>
    </row>
    <row r="63" spans="1:5" ht="20.25" x14ac:dyDescent="0.3">
      <c r="A63" s="106" t="s">
        <v>242</v>
      </c>
      <c r="B63" s="107"/>
      <c r="C63" s="511">
        <f>C24-C61</f>
        <v>-52212960</v>
      </c>
      <c r="D63" s="512">
        <f>D24-D61</f>
        <v>-27421482</v>
      </c>
      <c r="E63" s="409" t="str">
        <f>IF((C63-'ETCA-I-01'!F39)&gt;0.9,"ERROR!!!, NO COINCIDEN LOS MONTOS CON LO REPORTADO EN EL FORMATO ETCA-I-01","")</f>
        <v/>
      </c>
    </row>
    <row r="64" spans="1:5" ht="21" thickBot="1" x14ac:dyDescent="0.35">
      <c r="A64" s="113"/>
      <c r="B64" s="114"/>
      <c r="C64" s="114"/>
      <c r="D64" s="405"/>
      <c r="E64" s="409"/>
    </row>
    <row r="65" spans="1:4" s="398" customFormat="1" ht="16.5" customHeight="1" x14ac:dyDescent="0.25">
      <c r="A65" s="112"/>
      <c r="B65" s="464" t="s">
        <v>243</v>
      </c>
      <c r="C65" s="112"/>
      <c r="D65" s="465"/>
    </row>
    <row r="66" spans="1:4" s="398" customFormat="1" ht="16.5" customHeight="1" x14ac:dyDescent="0.25">
      <c r="A66" s="112"/>
      <c r="B66" s="112"/>
      <c r="C66" s="112" t="s">
        <v>244</v>
      </c>
      <c r="D66" s="465"/>
    </row>
    <row r="67" spans="1:4" s="398" customFormat="1" ht="16.5" customHeight="1" x14ac:dyDescent="0.25">
      <c r="A67" s="112"/>
      <c r="B67" s="112" t="s">
        <v>244</v>
      </c>
      <c r="C67" s="112" t="s">
        <v>244</v>
      </c>
      <c r="D67" s="465"/>
    </row>
    <row r="68" spans="1:4" s="398" customFormat="1" ht="16.5" customHeight="1" x14ac:dyDescent="0.25">
      <c r="A68" s="112"/>
      <c r="B68" s="112"/>
      <c r="C68" s="112"/>
      <c r="D68" s="465"/>
    </row>
    <row r="69" spans="1:4" s="398" customFormat="1" ht="16.5" customHeight="1" x14ac:dyDescent="0.3">
      <c r="A69" s="397"/>
      <c r="B69" s="48" t="s">
        <v>244</v>
      </c>
      <c r="C69" s="397"/>
      <c r="D69" s="406"/>
    </row>
    <row r="70" spans="1:4" x14ac:dyDescent="0.3">
      <c r="C70" s="94"/>
      <c r="D70" s="407" t="s">
        <v>82</v>
      </c>
    </row>
  </sheetData>
  <sheetProtection formatColumns="0" formatRows="0" insertHyperlinks="0"/>
  <mergeCells count="6">
    <mergeCell ref="A1:D1"/>
    <mergeCell ref="A4:B4"/>
    <mergeCell ref="A15:B15"/>
    <mergeCell ref="A5:B5"/>
    <mergeCell ref="A2:D2"/>
    <mergeCell ref="A3:D3"/>
  </mergeCells>
  <printOptions horizontalCentered="1"/>
  <pageMargins left="0.47244094488188981" right="0.19685039370078741" top="0.39370078740157483" bottom="0.19685039370078741" header="0.31496062992125984" footer="0.19685039370078741"/>
  <pageSetup scale="62"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F80"/>
  <sheetViews>
    <sheetView view="pageBreakPreview" topLeftCell="B1" zoomScaleNormal="100" zoomScaleSheetLayoutView="100" workbookViewId="0">
      <selection activeCell="D29" sqref="D29"/>
    </sheetView>
  </sheetViews>
  <sheetFormatPr baseColWidth="10" defaultColWidth="11.28515625" defaultRowHeight="16.5" x14ac:dyDescent="0.3"/>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x14ac:dyDescent="0.3">
      <c r="A1" s="1500" t="str">
        <f>'ETCA-I-01'!A1:G1</f>
        <v>TELEVISORA DE HERMOSILLO, S.A. DE C.V.</v>
      </c>
      <c r="B1" s="1500"/>
      <c r="C1" s="1500"/>
      <c r="D1" s="1500"/>
      <c r="E1" s="1500"/>
    </row>
    <row r="2" spans="1:5" x14ac:dyDescent="0.3">
      <c r="A2" s="1403" t="s">
        <v>1015</v>
      </c>
      <c r="B2" s="1403"/>
      <c r="C2" s="1403"/>
      <c r="D2" s="1403"/>
      <c r="E2" s="1403"/>
    </row>
    <row r="3" spans="1:5" x14ac:dyDescent="0.3">
      <c r="A3" s="1501"/>
      <c r="B3" s="1501"/>
      <c r="C3" s="1501"/>
      <c r="D3" s="1501"/>
      <c r="E3" s="1501"/>
    </row>
    <row r="4" spans="1:5" x14ac:dyDescent="0.3">
      <c r="A4" s="37"/>
      <c r="B4" s="1524" t="s">
        <v>910</v>
      </c>
      <c r="C4" s="1524"/>
      <c r="D4" s="1524"/>
      <c r="E4" s="45"/>
    </row>
    <row r="5" spans="1:5" x14ac:dyDescent="0.3">
      <c r="A5" s="37"/>
      <c r="B5" s="864"/>
      <c r="C5" s="864"/>
      <c r="D5" s="864"/>
      <c r="E5" s="45"/>
    </row>
    <row r="6" spans="1:5" ht="33" customHeight="1" x14ac:dyDescent="0.3">
      <c r="A6" s="1525" t="s">
        <v>1016</v>
      </c>
      <c r="B6" s="1526"/>
      <c r="C6" s="1526"/>
      <c r="D6" s="1526"/>
      <c r="E6" s="1527"/>
    </row>
    <row r="7" spans="1:5" ht="32.25" customHeight="1" x14ac:dyDescent="0.3">
      <c r="A7" s="1522" t="s">
        <v>912</v>
      </c>
      <c r="B7" s="1522"/>
      <c r="C7" s="1522"/>
      <c r="D7" s="1522"/>
      <c r="E7" s="1523" t="s">
        <v>1014</v>
      </c>
    </row>
    <row r="8" spans="1:5" x14ac:dyDescent="0.3">
      <c r="A8" s="860"/>
      <c r="B8" s="859" t="s">
        <v>913</v>
      </c>
      <c r="C8" s="859" t="s">
        <v>914</v>
      </c>
      <c r="D8" s="859" t="s">
        <v>304</v>
      </c>
      <c r="E8" s="1523"/>
    </row>
    <row r="9" spans="1:5" s="31" customFormat="1" ht="31.5" customHeight="1" x14ac:dyDescent="0.25">
      <c r="A9" s="34">
        <v>1</v>
      </c>
      <c r="B9" s="327" t="s">
        <v>1093</v>
      </c>
      <c r="C9" s="926" t="s">
        <v>1094</v>
      </c>
      <c r="D9" s="925">
        <v>19140</v>
      </c>
      <c r="E9" s="327" t="s">
        <v>1099</v>
      </c>
    </row>
    <row r="10" spans="1:5" s="31" customFormat="1" ht="31.5" customHeight="1" x14ac:dyDescent="0.25">
      <c r="A10" s="34">
        <v>2</v>
      </c>
      <c r="B10" s="327" t="s">
        <v>1095</v>
      </c>
      <c r="C10" s="327">
        <v>45409949</v>
      </c>
      <c r="D10" s="925">
        <v>408799</v>
      </c>
      <c r="E10" s="327" t="s">
        <v>1099</v>
      </c>
    </row>
    <row r="11" spans="1:5" s="31" customFormat="1" ht="31.5" customHeight="1" x14ac:dyDescent="0.25">
      <c r="A11" s="34">
        <v>3</v>
      </c>
      <c r="B11" s="327" t="s">
        <v>1096</v>
      </c>
      <c r="C11" s="327" t="s">
        <v>1097</v>
      </c>
      <c r="D11" s="925">
        <v>1823529</v>
      </c>
      <c r="E11" s="327" t="s">
        <v>1099</v>
      </c>
    </row>
    <row r="12" spans="1:5" s="31" customFormat="1" ht="31.5" customHeight="1" x14ac:dyDescent="0.25">
      <c r="A12" s="34">
        <v>4</v>
      </c>
      <c r="B12" s="327" t="s">
        <v>1096</v>
      </c>
      <c r="C12" s="327" t="s">
        <v>1098</v>
      </c>
      <c r="D12" s="925">
        <v>84352</v>
      </c>
      <c r="E12" s="327" t="s">
        <v>1099</v>
      </c>
    </row>
    <row r="13" spans="1:5" s="31" customFormat="1" ht="31.5" customHeight="1" x14ac:dyDescent="0.25">
      <c r="A13" s="34">
        <v>5</v>
      </c>
      <c r="B13" s="327" t="s">
        <v>1096</v>
      </c>
      <c r="C13" s="327">
        <v>51500593097</v>
      </c>
      <c r="D13" s="925">
        <v>8711</v>
      </c>
      <c r="E13" s="327" t="s">
        <v>1099</v>
      </c>
    </row>
    <row r="14" spans="1:5" s="31" customFormat="1" ht="31.5" customHeight="1" x14ac:dyDescent="0.25">
      <c r="A14" s="34">
        <v>6</v>
      </c>
      <c r="B14" s="327" t="s">
        <v>1100</v>
      </c>
      <c r="C14" s="327">
        <v>1022983302</v>
      </c>
      <c r="D14" s="925">
        <v>1800000</v>
      </c>
      <c r="E14" s="327" t="s">
        <v>1099</v>
      </c>
    </row>
    <row r="15" spans="1:5" s="31" customFormat="1" ht="31.5" customHeight="1" x14ac:dyDescent="0.25">
      <c r="A15" s="34">
        <v>7</v>
      </c>
      <c r="B15" s="327"/>
      <c r="C15" s="327"/>
      <c r="D15" s="327"/>
      <c r="E15" s="327"/>
    </row>
    <row r="16" spans="1:5" s="31" customFormat="1" ht="31.5" customHeight="1" x14ac:dyDescent="0.25">
      <c r="A16" s="34">
        <v>8</v>
      </c>
      <c r="B16" s="327"/>
      <c r="C16" s="327"/>
      <c r="D16" s="327"/>
      <c r="E16" s="327"/>
    </row>
    <row r="17" spans="1:6" s="31" customFormat="1" ht="31.5" customHeight="1" x14ac:dyDescent="0.25">
      <c r="A17" s="34">
        <v>9</v>
      </c>
      <c r="B17" s="327"/>
      <c r="C17" s="327"/>
      <c r="D17" s="327"/>
      <c r="E17" s="327"/>
    </row>
    <row r="18" spans="1:6" s="31" customFormat="1" ht="31.5" customHeight="1" x14ac:dyDescent="0.25">
      <c r="A18" s="34">
        <v>10</v>
      </c>
      <c r="B18" s="327"/>
      <c r="C18" s="327"/>
      <c r="D18" s="327"/>
      <c r="E18" s="327"/>
    </row>
    <row r="19" spans="1:6" s="31" customFormat="1" ht="31.5" customHeight="1" x14ac:dyDescent="0.25">
      <c r="A19" s="34">
        <v>11</v>
      </c>
      <c r="B19" s="327"/>
      <c r="C19" s="327"/>
      <c r="D19" s="327"/>
      <c r="E19" s="327"/>
    </row>
    <row r="20" spans="1:6" s="31" customFormat="1" ht="31.5" customHeight="1" x14ac:dyDescent="0.25">
      <c r="A20" s="34">
        <v>12</v>
      </c>
      <c r="B20" s="327"/>
      <c r="C20" s="327"/>
      <c r="D20" s="327"/>
      <c r="E20" s="327"/>
    </row>
    <row r="21" spans="1:6" s="31" customFormat="1" ht="31.5" customHeight="1" x14ac:dyDescent="0.25">
      <c r="A21" s="34">
        <v>13</v>
      </c>
      <c r="B21" s="327"/>
      <c r="C21" s="327"/>
      <c r="D21" s="327"/>
      <c r="E21" s="327"/>
    </row>
    <row r="22" spans="1:6" s="31" customFormat="1" ht="31.5" customHeight="1" x14ac:dyDescent="0.25">
      <c r="A22" s="34">
        <v>14</v>
      </c>
      <c r="B22" s="327"/>
      <c r="C22" s="327"/>
      <c r="D22" s="327"/>
      <c r="E22" s="327"/>
    </row>
    <row r="23" spans="1:6" s="31" customFormat="1" ht="31.5" customHeight="1" x14ac:dyDescent="0.25">
      <c r="A23" s="34">
        <v>15</v>
      </c>
      <c r="B23" s="327"/>
      <c r="C23" s="327"/>
      <c r="D23" s="327"/>
      <c r="E23" s="327"/>
    </row>
    <row r="24" spans="1:6" s="31" customFormat="1" ht="31.5" customHeight="1" x14ac:dyDescent="0.25">
      <c r="A24" s="34">
        <v>16</v>
      </c>
      <c r="B24" s="327"/>
      <c r="C24" s="327"/>
      <c r="D24" s="327"/>
      <c r="E24" s="327"/>
    </row>
    <row r="25" spans="1:6" s="31" customFormat="1" ht="31.5" customHeight="1" x14ac:dyDescent="0.25">
      <c r="A25" s="34">
        <v>17</v>
      </c>
      <c r="B25" s="327"/>
      <c r="C25" s="327"/>
      <c r="D25" s="327"/>
      <c r="E25" s="327"/>
    </row>
    <row r="26" spans="1:6" s="31" customFormat="1" ht="31.5" customHeight="1" x14ac:dyDescent="0.25">
      <c r="A26" s="34">
        <v>18</v>
      </c>
      <c r="B26" s="327"/>
      <c r="C26" s="327"/>
      <c r="D26" s="327"/>
      <c r="E26" s="327"/>
    </row>
    <row r="27" spans="1:6" s="31" customFormat="1" ht="31.5" customHeight="1" x14ac:dyDescent="0.25">
      <c r="A27" s="34">
        <v>19</v>
      </c>
      <c r="B27" s="327"/>
      <c r="C27" s="327"/>
      <c r="D27" s="327"/>
      <c r="E27" s="327"/>
    </row>
    <row r="28" spans="1:6" s="31" customFormat="1" ht="31.5" customHeight="1" x14ac:dyDescent="0.25">
      <c r="A28" s="34">
        <v>20</v>
      </c>
      <c r="B28" s="327"/>
      <c r="C28" s="327"/>
      <c r="D28" s="327"/>
      <c r="E28" s="327"/>
    </row>
    <row r="29" spans="1:6" s="31" customFormat="1" ht="18.75" customHeight="1" x14ac:dyDescent="0.25">
      <c r="A29" s="861"/>
      <c r="B29" s="862"/>
      <c r="C29" s="867" t="s">
        <v>809</v>
      </c>
      <c r="D29" s="879">
        <f>SUM(D9:D28)</f>
        <v>4144531</v>
      </c>
      <c r="E29" s="863"/>
      <c r="F29" s="866" t="s">
        <v>244</v>
      </c>
    </row>
    <row r="30" spans="1:6" s="414" customFormat="1" ht="15" customHeight="1" x14ac:dyDescent="0.2">
      <c r="A30" s="868" t="s">
        <v>81</v>
      </c>
    </row>
    <row r="31" spans="1:6" x14ac:dyDescent="0.3">
      <c r="A31" s="868" t="s">
        <v>1021</v>
      </c>
    </row>
    <row r="32" spans="1:6" s="414" customFormat="1" ht="12.75" x14ac:dyDescent="0.2">
      <c r="A32" s="868" t="s">
        <v>1020</v>
      </c>
    </row>
    <row r="33" spans="1:6" x14ac:dyDescent="0.3">
      <c r="A33" s="3"/>
      <c r="B33" s="3"/>
    </row>
    <row r="34" spans="1:6" ht="33" customHeight="1" x14ac:dyDescent="0.3">
      <c r="A34" s="1525" t="s">
        <v>1017</v>
      </c>
      <c r="B34" s="1526"/>
      <c r="C34" s="1526"/>
      <c r="D34" s="1526"/>
      <c r="E34" s="1527"/>
    </row>
    <row r="35" spans="1:6" ht="18" x14ac:dyDescent="0.3">
      <c r="A35" s="1522" t="s">
        <v>912</v>
      </c>
      <c r="B35" s="1522"/>
      <c r="C35" s="1522"/>
      <c r="D35" s="1522"/>
      <c r="E35" s="1523" t="s">
        <v>1014</v>
      </c>
    </row>
    <row r="36" spans="1:6" x14ac:dyDescent="0.3">
      <c r="A36" s="860"/>
      <c r="B36" s="859" t="s">
        <v>913</v>
      </c>
      <c r="C36" s="859" t="s">
        <v>914</v>
      </c>
      <c r="D36" s="859" t="s">
        <v>304</v>
      </c>
      <c r="E36" s="1523"/>
    </row>
    <row r="37" spans="1:6" x14ac:dyDescent="0.3">
      <c r="A37" s="34">
        <v>1</v>
      </c>
      <c r="B37" s="327"/>
      <c r="C37" s="327"/>
      <c r="D37" s="327"/>
      <c r="E37" s="327"/>
    </row>
    <row r="38" spans="1:6" x14ac:dyDescent="0.3">
      <c r="A38" s="34">
        <v>2</v>
      </c>
      <c r="B38" s="327"/>
      <c r="C38" s="327"/>
      <c r="D38" s="327"/>
      <c r="E38" s="327"/>
    </row>
    <row r="39" spans="1:6" x14ac:dyDescent="0.3">
      <c r="A39" s="34">
        <v>3</v>
      </c>
      <c r="B39" s="327"/>
      <c r="C39" s="327"/>
      <c r="D39" s="327"/>
      <c r="E39" s="327"/>
    </row>
    <row r="40" spans="1:6" x14ac:dyDescent="0.3">
      <c r="A40" s="34">
        <v>4</v>
      </c>
      <c r="B40" s="327"/>
      <c r="C40" s="327"/>
      <c r="D40" s="327"/>
      <c r="E40" s="327"/>
    </row>
    <row r="41" spans="1:6" x14ac:dyDescent="0.3">
      <c r="A41" s="34">
        <v>5</v>
      </c>
      <c r="B41" s="327"/>
      <c r="C41" s="327"/>
      <c r="D41" s="327"/>
      <c r="E41" s="327"/>
    </row>
    <row r="42" spans="1:6" x14ac:dyDescent="0.3">
      <c r="A42" s="34">
        <v>6</v>
      </c>
      <c r="B42" s="327"/>
      <c r="C42" s="327"/>
      <c r="D42" s="327"/>
      <c r="E42" s="327"/>
    </row>
    <row r="43" spans="1:6" x14ac:dyDescent="0.3">
      <c r="A43" s="34">
        <v>7</v>
      </c>
      <c r="B43" s="327"/>
      <c r="C43" s="327"/>
      <c r="D43" s="327"/>
      <c r="E43" s="327"/>
    </row>
    <row r="44" spans="1:6" x14ac:dyDescent="0.3">
      <c r="A44" s="34">
        <v>8</v>
      </c>
      <c r="B44" s="327"/>
      <c r="C44" s="327"/>
      <c r="D44" s="327"/>
      <c r="E44" s="327"/>
    </row>
    <row r="45" spans="1:6" x14ac:dyDescent="0.3">
      <c r="A45" s="34">
        <v>9</v>
      </c>
      <c r="B45" s="327"/>
      <c r="C45" s="327"/>
      <c r="D45" s="327"/>
      <c r="E45" s="327"/>
    </row>
    <row r="46" spans="1:6" ht="18.75" x14ac:dyDescent="0.3">
      <c r="A46" s="861"/>
      <c r="B46" s="862"/>
      <c r="C46" s="867" t="s">
        <v>809</v>
      </c>
      <c r="D46" s="862">
        <f>SUM(D37:D45)</f>
        <v>0</v>
      </c>
      <c r="E46" s="863"/>
      <c r="F46" s="866" t="str">
        <f>IF(D46='ETCA-I-02'!$B$12,"","VALOR INCORRECTO, DEBE SER IGUAL A LO REPORTADO EN ETCA-I-02 EN LA CUENTA a4) INVERSIONES TEMPORALES (HASTA 3 MESES)")</f>
        <v/>
      </c>
    </row>
    <row r="48" spans="1:6" ht="33.75" customHeight="1" x14ac:dyDescent="0.3">
      <c r="A48" s="1525" t="s">
        <v>1018</v>
      </c>
      <c r="B48" s="1526"/>
      <c r="C48" s="1526"/>
      <c r="D48" s="1526"/>
      <c r="E48" s="1527"/>
    </row>
    <row r="49" spans="1:6" ht="18" customHeight="1" x14ac:dyDescent="0.3">
      <c r="A49" s="1522" t="s">
        <v>912</v>
      </c>
      <c r="B49" s="1522"/>
      <c r="C49" s="1522"/>
      <c r="D49" s="1522"/>
      <c r="E49" s="1523" t="s">
        <v>1014</v>
      </c>
    </row>
    <row r="50" spans="1:6" x14ac:dyDescent="0.3">
      <c r="A50" s="860"/>
      <c r="B50" s="859" t="s">
        <v>913</v>
      </c>
      <c r="C50" s="859" t="s">
        <v>914</v>
      </c>
      <c r="D50" s="859" t="s">
        <v>304</v>
      </c>
      <c r="E50" s="1523"/>
    </row>
    <row r="51" spans="1:6" x14ac:dyDescent="0.3">
      <c r="A51" s="34">
        <v>1</v>
      </c>
      <c r="B51" s="327"/>
      <c r="C51" s="327"/>
      <c r="D51" s="327"/>
      <c r="E51" s="327"/>
    </row>
    <row r="52" spans="1:6" x14ac:dyDescent="0.3">
      <c r="A52" s="34">
        <v>2</v>
      </c>
      <c r="B52" s="327"/>
      <c r="C52" s="327"/>
      <c r="D52" s="327"/>
      <c r="E52" s="327"/>
    </row>
    <row r="53" spans="1:6" x14ac:dyDescent="0.3">
      <c r="A53" s="34">
        <v>3</v>
      </c>
      <c r="B53" s="327"/>
      <c r="C53" s="327"/>
      <c r="D53" s="327"/>
      <c r="E53" s="327"/>
    </row>
    <row r="54" spans="1:6" x14ac:dyDescent="0.3">
      <c r="A54" s="34">
        <v>4</v>
      </c>
      <c r="B54" s="327"/>
      <c r="C54" s="327"/>
      <c r="D54" s="327"/>
      <c r="E54" s="327"/>
    </row>
    <row r="55" spans="1:6" x14ac:dyDescent="0.3">
      <c r="A55" s="34">
        <v>5</v>
      </c>
      <c r="B55" s="327"/>
      <c r="C55" s="327"/>
      <c r="D55" s="327"/>
      <c r="E55" s="327"/>
    </row>
    <row r="56" spans="1:6" x14ac:dyDescent="0.3">
      <c r="A56" s="34">
        <v>6</v>
      </c>
      <c r="B56" s="327"/>
      <c r="C56" s="327"/>
      <c r="D56" s="327"/>
      <c r="E56" s="327"/>
    </row>
    <row r="57" spans="1:6" x14ac:dyDescent="0.3">
      <c r="A57" s="34">
        <v>7</v>
      </c>
      <c r="B57" s="327"/>
      <c r="C57" s="327"/>
      <c r="D57" s="327"/>
      <c r="E57" s="327"/>
    </row>
    <row r="58" spans="1:6" x14ac:dyDescent="0.3">
      <c r="A58" s="34">
        <v>8</v>
      </c>
      <c r="B58" s="327"/>
      <c r="C58" s="327"/>
      <c r="D58" s="327"/>
      <c r="E58" s="327"/>
    </row>
    <row r="59" spans="1:6" x14ac:dyDescent="0.3">
      <c r="A59" s="34">
        <v>9</v>
      </c>
      <c r="B59" s="327"/>
      <c r="C59" s="327"/>
      <c r="D59" s="327"/>
      <c r="E59" s="327"/>
    </row>
    <row r="60" spans="1:6" ht="18.75" x14ac:dyDescent="0.3">
      <c r="A60" s="861"/>
      <c r="B60" s="862"/>
      <c r="C60" s="867" t="s">
        <v>809</v>
      </c>
      <c r="D60" s="862">
        <f>SUM(D51:D59)</f>
        <v>0</v>
      </c>
      <c r="E60" s="863"/>
      <c r="F60" s="866" t="str">
        <f>IF(D60='ETCA-I-02'!$B$17,"","VALOR INCORRECTO, DEBE SER IGUAL A LO REPORTADO EN ETCA-I-02 EN LA CUENTA b1) INVERSIONES FINANCIERAS DE CORTO PLAZO")</f>
        <v/>
      </c>
    </row>
    <row r="62" spans="1:6" ht="33.75" customHeight="1" x14ac:dyDescent="0.3">
      <c r="A62" s="1525" t="s">
        <v>1019</v>
      </c>
      <c r="B62" s="1526"/>
      <c r="C62" s="1526"/>
      <c r="D62" s="1526"/>
      <c r="E62" s="1527"/>
    </row>
    <row r="63" spans="1:6" ht="18" x14ac:dyDescent="0.3">
      <c r="A63" s="1522" t="s">
        <v>912</v>
      </c>
      <c r="B63" s="1522"/>
      <c r="C63" s="1522"/>
      <c r="D63" s="1522"/>
      <c r="E63" s="1523" t="s">
        <v>1014</v>
      </c>
    </row>
    <row r="64" spans="1:6" x14ac:dyDescent="0.3">
      <c r="A64" s="860"/>
      <c r="B64" s="859" t="s">
        <v>913</v>
      </c>
      <c r="C64" s="859" t="s">
        <v>914</v>
      </c>
      <c r="D64" s="859" t="s">
        <v>304</v>
      </c>
      <c r="E64" s="1523"/>
    </row>
    <row r="65" spans="1:6" x14ac:dyDescent="0.3">
      <c r="A65" s="34">
        <v>1</v>
      </c>
      <c r="B65" s="327"/>
      <c r="C65" s="327"/>
      <c r="D65" s="327"/>
      <c r="E65" s="327"/>
    </row>
    <row r="66" spans="1:6" x14ac:dyDescent="0.3">
      <c r="A66" s="34">
        <v>2</v>
      </c>
      <c r="B66" s="327"/>
      <c r="C66" s="327"/>
      <c r="D66" s="327"/>
      <c r="E66" s="327"/>
    </row>
    <row r="67" spans="1:6" x14ac:dyDescent="0.3">
      <c r="A67" s="34">
        <v>3</v>
      </c>
      <c r="B67" s="327"/>
      <c r="C67" s="327"/>
      <c r="D67" s="327"/>
      <c r="E67" s="327"/>
    </row>
    <row r="68" spans="1:6" x14ac:dyDescent="0.3">
      <c r="A68" s="34">
        <v>4</v>
      </c>
      <c r="B68" s="327"/>
      <c r="C68" s="327"/>
      <c r="D68" s="327"/>
      <c r="E68" s="327"/>
    </row>
    <row r="69" spans="1:6" x14ac:dyDescent="0.3">
      <c r="A69" s="34">
        <v>5</v>
      </c>
      <c r="B69" s="327"/>
      <c r="C69" s="327"/>
      <c r="D69" s="327"/>
      <c r="E69" s="327"/>
    </row>
    <row r="70" spans="1:6" x14ac:dyDescent="0.3">
      <c r="A70" s="34">
        <v>6</v>
      </c>
      <c r="B70" s="327"/>
      <c r="C70" s="327"/>
      <c r="D70" s="327"/>
      <c r="E70" s="327"/>
    </row>
    <row r="71" spans="1:6" x14ac:dyDescent="0.3">
      <c r="A71" s="34">
        <v>7</v>
      </c>
      <c r="B71" s="327"/>
      <c r="C71" s="327"/>
      <c r="D71" s="327"/>
      <c r="E71" s="327"/>
    </row>
    <row r="72" spans="1:6" x14ac:dyDescent="0.3">
      <c r="A72" s="34">
        <v>8</v>
      </c>
      <c r="B72" s="327"/>
      <c r="C72" s="327"/>
      <c r="D72" s="327"/>
      <c r="E72" s="327"/>
    </row>
    <row r="73" spans="1:6" x14ac:dyDescent="0.3">
      <c r="A73" s="34">
        <v>9</v>
      </c>
      <c r="B73" s="327"/>
      <c r="C73" s="327"/>
      <c r="D73" s="327"/>
      <c r="E73" s="327"/>
    </row>
    <row r="74" spans="1:6" ht="18.75" x14ac:dyDescent="0.3">
      <c r="A74" s="861"/>
      <c r="B74" s="862"/>
      <c r="C74" s="867" t="s">
        <v>809</v>
      </c>
      <c r="D74" s="862">
        <f>SUM(D65:D73)</f>
        <v>0</v>
      </c>
      <c r="E74" s="863"/>
      <c r="F74" s="866" t="str">
        <f>IF(D74='ETCA-I-02'!$B$47,"","VALOR INCORRECTO, DEBE SER IGUAL A LO REPORTADO EN ETCA-I-02 EN LA CUENTA a) INVERSIONES FINANCIERAS A LARGO PLAZO")</f>
        <v/>
      </c>
    </row>
    <row r="75" spans="1:6" x14ac:dyDescent="0.3">
      <c r="A75" s="868" t="s">
        <v>81</v>
      </c>
      <c r="B75" s="414"/>
      <c r="C75" s="44"/>
    </row>
    <row r="76" spans="1:6" x14ac:dyDescent="0.3">
      <c r="A76" s="868" t="s">
        <v>1021</v>
      </c>
      <c r="B76" s="414"/>
      <c r="C76" s="44"/>
    </row>
    <row r="77" spans="1:6" x14ac:dyDescent="0.3">
      <c r="A77" s="868" t="s">
        <v>1020</v>
      </c>
      <c r="B77" s="414"/>
      <c r="C77" s="414"/>
      <c r="D77" s="414"/>
      <c r="E77" s="414"/>
    </row>
    <row r="78" spans="1:6" x14ac:dyDescent="0.3">
      <c r="A78" s="414"/>
      <c r="B78" s="414"/>
      <c r="C78" s="414"/>
      <c r="D78" s="414"/>
      <c r="E78" s="414"/>
    </row>
    <row r="79" spans="1:6" ht="39" customHeight="1" x14ac:dyDescent="0.3">
      <c r="A79" s="865"/>
      <c r="B79" s="865"/>
      <c r="C79" s="865"/>
      <c r="D79" s="865"/>
      <c r="E79" s="865"/>
    </row>
    <row r="80" spans="1:6" ht="15.75" customHeight="1" x14ac:dyDescent="0.3">
      <c r="A80" s="865"/>
      <c r="B80" s="865"/>
      <c r="C80" s="865"/>
      <c r="D80" s="865"/>
      <c r="E80" s="865"/>
    </row>
  </sheetData>
  <mergeCells count="16">
    <mergeCell ref="A49:D49"/>
    <mergeCell ref="E49:E50"/>
    <mergeCell ref="A62:E62"/>
    <mergeCell ref="A63:D63"/>
    <mergeCell ref="E63:E64"/>
    <mergeCell ref="A35:D35"/>
    <mergeCell ref="A6:E6"/>
    <mergeCell ref="A34:E34"/>
    <mergeCell ref="E35:E36"/>
    <mergeCell ref="A48:E48"/>
    <mergeCell ref="A1:E1"/>
    <mergeCell ref="A2:E2"/>
    <mergeCell ref="A3:E3"/>
    <mergeCell ref="A7:D7"/>
    <mergeCell ref="E7:E8"/>
    <mergeCell ref="B4:D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V278"/>
  <sheetViews>
    <sheetView zoomScale="110" zoomScaleNormal="110" workbookViewId="0">
      <pane ySplit="3" topLeftCell="A4" activePane="bottomLeft" state="frozen"/>
      <selection pane="bottomLeft" activeCell="H20" sqref="H20"/>
    </sheetView>
  </sheetViews>
  <sheetFormatPr baseColWidth="10" defaultRowHeight="15" x14ac:dyDescent="0.2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16" width="15" style="1024" customWidth="1"/>
    <col min="17" max="17" width="13.7109375" style="1024" customWidth="1"/>
    <col min="18" max="18" width="14.7109375" style="1024" customWidth="1"/>
    <col min="19" max="19" width="14.42578125" style="1024" customWidth="1"/>
    <col min="20" max="22" width="16.28515625" style="1024" customWidth="1"/>
  </cols>
  <sheetData>
    <row r="1" spans="1:22" ht="24.75" customHeight="1" x14ac:dyDescent="0.25">
      <c r="A1" s="1006" t="s">
        <v>1013</v>
      </c>
      <c r="B1" s="1533" t="s">
        <v>1012</v>
      </c>
      <c r="C1" s="1534"/>
      <c r="D1" s="1534"/>
      <c r="E1" s="1534"/>
      <c r="F1" s="1534"/>
      <c r="G1" s="1534"/>
      <c r="H1" s="1535"/>
      <c r="I1" s="1536" t="s">
        <v>1011</v>
      </c>
      <c r="J1" s="1537"/>
      <c r="K1" s="1533" t="s">
        <v>1010</v>
      </c>
      <c r="L1" s="1534"/>
      <c r="M1" s="1534"/>
      <c r="N1" s="1534"/>
      <c r="O1" s="1535"/>
      <c r="P1" s="1530" t="s">
        <v>1009</v>
      </c>
      <c r="Q1" s="1531"/>
      <c r="R1" s="1531"/>
      <c r="S1" s="1531"/>
      <c r="T1" s="1531"/>
      <c r="U1" s="1531"/>
      <c r="V1" s="1532"/>
    </row>
    <row r="2" spans="1:22" ht="168" customHeight="1" thickBot="1" x14ac:dyDescent="0.3">
      <c r="A2" s="858" t="s">
        <v>1008</v>
      </c>
      <c r="B2" s="857" t="s">
        <v>1007</v>
      </c>
      <c r="C2" s="856" t="s">
        <v>1006</v>
      </c>
      <c r="D2" s="856" t="s">
        <v>1005</v>
      </c>
      <c r="E2" s="855" t="s">
        <v>1004</v>
      </c>
      <c r="F2" s="854" t="s">
        <v>1003</v>
      </c>
      <c r="G2" s="854" t="s">
        <v>1002</v>
      </c>
      <c r="H2" s="854" t="s">
        <v>1001</v>
      </c>
      <c r="I2" s="853" t="s">
        <v>1000</v>
      </c>
      <c r="J2" s="852" t="s">
        <v>999</v>
      </c>
      <c r="K2" s="851" t="s">
        <v>998</v>
      </c>
      <c r="L2" s="850" t="s">
        <v>997</v>
      </c>
      <c r="M2" s="850" t="s">
        <v>996</v>
      </c>
      <c r="N2" s="850" t="s">
        <v>995</v>
      </c>
      <c r="O2" s="849" t="s">
        <v>994</v>
      </c>
      <c r="P2" s="1016" t="s">
        <v>993</v>
      </c>
      <c r="Q2" s="1017" t="s">
        <v>992</v>
      </c>
      <c r="R2" s="1017" t="s">
        <v>991</v>
      </c>
      <c r="S2" s="1018" t="s">
        <v>990</v>
      </c>
      <c r="T2" s="1018" t="s">
        <v>989</v>
      </c>
      <c r="U2" s="1018" t="s">
        <v>988</v>
      </c>
      <c r="V2" s="1019" t="s">
        <v>987</v>
      </c>
    </row>
    <row r="3" spans="1:22" ht="15.75" thickBot="1" x14ac:dyDescent="0.3">
      <c r="A3" s="848">
        <v>10</v>
      </c>
      <c r="B3" s="848">
        <v>1</v>
      </c>
      <c r="C3" s="848">
        <v>1</v>
      </c>
      <c r="D3" s="848">
        <v>2</v>
      </c>
      <c r="E3" s="848">
        <v>7</v>
      </c>
      <c r="F3" s="848">
        <v>3</v>
      </c>
      <c r="G3" s="848">
        <v>1</v>
      </c>
      <c r="H3" s="848">
        <v>1</v>
      </c>
      <c r="I3" s="848">
        <v>5</v>
      </c>
      <c r="J3" s="848">
        <v>1</v>
      </c>
      <c r="K3" s="848">
        <v>2</v>
      </c>
      <c r="L3" s="848">
        <v>1</v>
      </c>
      <c r="M3" s="847">
        <v>1</v>
      </c>
      <c r="N3" s="847">
        <v>2</v>
      </c>
      <c r="O3" s="847">
        <v>2</v>
      </c>
      <c r="P3" s="1020"/>
      <c r="Q3" s="1020"/>
      <c r="R3" s="1020"/>
      <c r="S3" s="1020"/>
      <c r="T3" s="1020"/>
      <c r="U3" s="1020"/>
      <c r="V3" s="1020"/>
    </row>
    <row r="4" spans="1:22" x14ac:dyDescent="0.25">
      <c r="A4" s="1088">
        <v>4089100100</v>
      </c>
      <c r="B4" s="903">
        <v>2</v>
      </c>
      <c r="C4" s="903">
        <v>4</v>
      </c>
      <c r="D4" s="903">
        <v>3</v>
      </c>
      <c r="E4" s="903" t="s">
        <v>1269</v>
      </c>
      <c r="F4" s="1127" t="s">
        <v>2225</v>
      </c>
      <c r="G4" s="903" t="s">
        <v>802</v>
      </c>
      <c r="H4" s="903">
        <v>0</v>
      </c>
      <c r="I4" s="1132" t="s">
        <v>1270</v>
      </c>
      <c r="J4" s="903">
        <v>1</v>
      </c>
      <c r="K4" s="903">
        <v>21</v>
      </c>
      <c r="L4" s="903">
        <v>1</v>
      </c>
      <c r="M4" s="903">
        <v>4</v>
      </c>
      <c r="N4" s="903" t="s">
        <v>1271</v>
      </c>
      <c r="O4" s="903">
        <v>13</v>
      </c>
      <c r="P4" s="1021">
        <v>3455587.44</v>
      </c>
      <c r="Q4" s="1021">
        <v>0</v>
      </c>
      <c r="R4" s="1021">
        <v>3455587.44</v>
      </c>
      <c r="S4" s="1021">
        <v>3455587.44</v>
      </c>
      <c r="T4" s="1021">
        <v>2022874.08</v>
      </c>
      <c r="U4" s="1021">
        <v>2022874.08</v>
      </c>
      <c r="V4" s="1021">
        <v>2022874.08</v>
      </c>
    </row>
    <row r="5" spans="1:22" x14ac:dyDescent="0.25">
      <c r="A5" s="1088">
        <v>4089100100</v>
      </c>
      <c r="B5" s="903">
        <v>2</v>
      </c>
      <c r="C5" s="903">
        <v>4</v>
      </c>
      <c r="D5" s="903">
        <v>3</v>
      </c>
      <c r="E5" s="903" t="s">
        <v>1269</v>
      </c>
      <c r="F5" s="1127" t="s">
        <v>2225</v>
      </c>
      <c r="G5" s="903" t="s">
        <v>802</v>
      </c>
      <c r="H5" s="903">
        <v>0</v>
      </c>
      <c r="I5" s="1132" t="s">
        <v>1272</v>
      </c>
      <c r="J5" s="903">
        <v>1</v>
      </c>
      <c r="K5" s="903">
        <v>21</v>
      </c>
      <c r="L5" s="903">
        <v>1</v>
      </c>
      <c r="M5" s="903">
        <v>4</v>
      </c>
      <c r="N5" s="903" t="s">
        <v>1271</v>
      </c>
      <c r="O5" s="903">
        <v>13</v>
      </c>
      <c r="P5" s="1021">
        <v>225286.56</v>
      </c>
      <c r="Q5" s="1021">
        <v>0</v>
      </c>
      <c r="R5" s="1021">
        <v>225286.56</v>
      </c>
      <c r="S5" s="1021">
        <v>225286.56</v>
      </c>
      <c r="T5" s="1021">
        <v>103923.38</v>
      </c>
      <c r="U5" s="1021">
        <v>103923.38</v>
      </c>
      <c r="V5" s="1021">
        <v>103923.38</v>
      </c>
    </row>
    <row r="6" spans="1:22" x14ac:dyDescent="0.25">
      <c r="A6" s="1088">
        <v>4089100100</v>
      </c>
      <c r="B6" s="903">
        <v>2</v>
      </c>
      <c r="C6" s="903">
        <v>4</v>
      </c>
      <c r="D6" s="903">
        <v>3</v>
      </c>
      <c r="E6" s="903" t="s">
        <v>1269</v>
      </c>
      <c r="F6" s="1127" t="s">
        <v>2225</v>
      </c>
      <c r="G6" s="903" t="s">
        <v>802</v>
      </c>
      <c r="H6" s="903">
        <v>0</v>
      </c>
      <c r="I6" s="1132" t="s">
        <v>1273</v>
      </c>
      <c r="J6" s="903">
        <v>1</v>
      </c>
      <c r="K6" s="903">
        <v>21</v>
      </c>
      <c r="L6" s="903">
        <v>1</v>
      </c>
      <c r="M6" s="903">
        <v>4</v>
      </c>
      <c r="N6" s="903" t="s">
        <v>1271</v>
      </c>
      <c r="O6" s="903">
        <v>13</v>
      </c>
      <c r="P6" s="1021">
        <v>77461.08</v>
      </c>
      <c r="Q6" s="1021">
        <v>0</v>
      </c>
      <c r="R6" s="1021">
        <v>77461.08</v>
      </c>
      <c r="S6" s="1021">
        <v>77461.08</v>
      </c>
      <c r="T6" s="1021">
        <v>53850</v>
      </c>
      <c r="U6" s="1021">
        <v>53850</v>
      </c>
      <c r="V6" s="1021">
        <v>53850</v>
      </c>
    </row>
    <row r="7" spans="1:22" x14ac:dyDescent="0.25">
      <c r="A7" s="1088">
        <v>4089100100</v>
      </c>
      <c r="B7" s="903">
        <v>2</v>
      </c>
      <c r="C7" s="903">
        <v>4</v>
      </c>
      <c r="D7" s="903">
        <v>3</v>
      </c>
      <c r="E7" s="903" t="s">
        <v>1269</v>
      </c>
      <c r="F7" s="1127" t="s">
        <v>2225</v>
      </c>
      <c r="G7" s="903" t="s">
        <v>802</v>
      </c>
      <c r="H7" s="903">
        <v>0</v>
      </c>
      <c r="I7" s="1132" t="s">
        <v>1274</v>
      </c>
      <c r="J7" s="903">
        <v>1</v>
      </c>
      <c r="K7" s="903">
        <v>21</v>
      </c>
      <c r="L7" s="903">
        <v>1</v>
      </c>
      <c r="M7" s="903">
        <v>4</v>
      </c>
      <c r="N7" s="903" t="s">
        <v>1271</v>
      </c>
      <c r="O7" s="903">
        <v>13</v>
      </c>
      <c r="P7" s="1021">
        <v>66444</v>
      </c>
      <c r="Q7" s="1021">
        <v>-35296.910000000003</v>
      </c>
      <c r="R7" s="1021">
        <v>31147.09</v>
      </c>
      <c r="S7" s="1021">
        <v>31147.09</v>
      </c>
      <c r="T7" s="1021">
        <v>0</v>
      </c>
      <c r="U7" s="1021">
        <v>0</v>
      </c>
      <c r="V7" s="1021">
        <v>0</v>
      </c>
    </row>
    <row r="8" spans="1:22" x14ac:dyDescent="0.25">
      <c r="A8" s="1088">
        <v>4089100100</v>
      </c>
      <c r="B8" s="903">
        <v>2</v>
      </c>
      <c r="C8" s="903">
        <v>4</v>
      </c>
      <c r="D8" s="903">
        <v>3</v>
      </c>
      <c r="E8" s="903" t="s">
        <v>1269</v>
      </c>
      <c r="F8" s="1127" t="s">
        <v>2225</v>
      </c>
      <c r="G8" s="903" t="s">
        <v>802</v>
      </c>
      <c r="H8" s="903">
        <v>0</v>
      </c>
      <c r="I8" s="1132" t="s">
        <v>1275</v>
      </c>
      <c r="J8" s="903">
        <v>1</v>
      </c>
      <c r="K8" s="903">
        <v>21</v>
      </c>
      <c r="L8" s="903">
        <v>1</v>
      </c>
      <c r="M8" s="903">
        <v>4</v>
      </c>
      <c r="N8" s="903" t="s">
        <v>1271</v>
      </c>
      <c r="O8" s="903">
        <v>13</v>
      </c>
      <c r="P8" s="1021">
        <v>237303</v>
      </c>
      <c r="Q8" s="1021">
        <v>0</v>
      </c>
      <c r="R8" s="1021">
        <v>237303</v>
      </c>
      <c r="S8" s="1021">
        <v>237303</v>
      </c>
      <c r="T8" s="1021">
        <v>32397.06</v>
      </c>
      <c r="U8" s="1021">
        <v>32397.06</v>
      </c>
      <c r="V8" s="1021">
        <v>32397.06</v>
      </c>
    </row>
    <row r="9" spans="1:22" x14ac:dyDescent="0.25">
      <c r="A9" s="1088">
        <v>4089100100</v>
      </c>
      <c r="B9" s="903">
        <v>2</v>
      </c>
      <c r="C9" s="903">
        <v>4</v>
      </c>
      <c r="D9" s="903">
        <v>3</v>
      </c>
      <c r="E9" s="903" t="s">
        <v>1269</v>
      </c>
      <c r="F9" s="1127" t="s">
        <v>2225</v>
      </c>
      <c r="G9" s="903" t="s">
        <v>802</v>
      </c>
      <c r="H9" s="903">
        <v>0</v>
      </c>
      <c r="I9" s="1132" t="s">
        <v>1276</v>
      </c>
      <c r="J9" s="903">
        <v>1</v>
      </c>
      <c r="K9" s="903">
        <v>21</v>
      </c>
      <c r="L9" s="903">
        <v>1</v>
      </c>
      <c r="M9" s="903">
        <v>4</v>
      </c>
      <c r="N9" s="903" t="s">
        <v>1271</v>
      </c>
      <c r="O9" s="903">
        <v>13</v>
      </c>
      <c r="P9" s="1021">
        <v>857572.92</v>
      </c>
      <c r="Q9" s="1021">
        <v>0</v>
      </c>
      <c r="R9" s="1021">
        <v>857572.92</v>
      </c>
      <c r="S9" s="1021">
        <v>857572.92</v>
      </c>
      <c r="T9" s="1021">
        <v>339487.18</v>
      </c>
      <c r="U9" s="1021">
        <v>0</v>
      </c>
      <c r="V9" s="1021">
        <v>0</v>
      </c>
    </row>
    <row r="10" spans="1:22" x14ac:dyDescent="0.25">
      <c r="A10" s="1088">
        <v>4089100100</v>
      </c>
      <c r="B10" s="903">
        <v>2</v>
      </c>
      <c r="C10" s="903">
        <v>4</v>
      </c>
      <c r="D10" s="903">
        <v>3</v>
      </c>
      <c r="E10" s="903" t="s">
        <v>1269</v>
      </c>
      <c r="F10" s="1127" t="s">
        <v>2225</v>
      </c>
      <c r="G10" s="903" t="s">
        <v>802</v>
      </c>
      <c r="H10" s="903">
        <v>0</v>
      </c>
      <c r="I10" s="1132" t="s">
        <v>1277</v>
      </c>
      <c r="J10" s="903">
        <v>1</v>
      </c>
      <c r="K10" s="903">
        <v>21</v>
      </c>
      <c r="L10" s="903">
        <v>1</v>
      </c>
      <c r="M10" s="903">
        <v>4</v>
      </c>
      <c r="N10" s="903" t="s">
        <v>1271</v>
      </c>
      <c r="O10" s="903">
        <v>13</v>
      </c>
      <c r="P10" s="1021">
        <v>312865.08</v>
      </c>
      <c r="Q10" s="1021">
        <v>0</v>
      </c>
      <c r="R10" s="1021">
        <v>312865.08</v>
      </c>
      <c r="S10" s="1021">
        <v>312865.08</v>
      </c>
      <c r="T10" s="1021">
        <v>181927.82</v>
      </c>
      <c r="U10" s="1021">
        <v>159635.98000000001</v>
      </c>
      <c r="V10" s="1021">
        <v>159635.98000000001</v>
      </c>
    </row>
    <row r="11" spans="1:22" x14ac:dyDescent="0.25">
      <c r="A11" s="1088">
        <v>4089100100</v>
      </c>
      <c r="B11" s="903">
        <v>2</v>
      </c>
      <c r="C11" s="903">
        <v>4</v>
      </c>
      <c r="D11" s="903">
        <v>3</v>
      </c>
      <c r="E11" s="903" t="s">
        <v>1269</v>
      </c>
      <c r="F11" s="1127" t="s">
        <v>2225</v>
      </c>
      <c r="G11" s="903" t="s">
        <v>802</v>
      </c>
      <c r="H11" s="903">
        <v>0</v>
      </c>
      <c r="I11" s="1132" t="s">
        <v>1278</v>
      </c>
      <c r="J11" s="903">
        <v>1</v>
      </c>
      <c r="K11" s="903">
        <v>21</v>
      </c>
      <c r="L11" s="903">
        <v>1</v>
      </c>
      <c r="M11" s="903">
        <v>4</v>
      </c>
      <c r="N11" s="903" t="s">
        <v>1271</v>
      </c>
      <c r="O11" s="903">
        <v>13</v>
      </c>
      <c r="P11" s="1021">
        <v>157505.28</v>
      </c>
      <c r="Q11" s="1021">
        <v>0</v>
      </c>
      <c r="R11" s="1021">
        <v>157505.28</v>
      </c>
      <c r="S11" s="1021">
        <v>157505.28</v>
      </c>
      <c r="T11" s="1021">
        <v>78733.77</v>
      </c>
      <c r="U11" s="1021">
        <v>70191.929999999993</v>
      </c>
      <c r="V11" s="1021">
        <v>70191.929999999993</v>
      </c>
    </row>
    <row r="12" spans="1:22" x14ac:dyDescent="0.25">
      <c r="A12" s="1088">
        <v>4089100100</v>
      </c>
      <c r="B12" s="903">
        <v>2</v>
      </c>
      <c r="C12" s="903">
        <v>4</v>
      </c>
      <c r="D12" s="903">
        <v>3</v>
      </c>
      <c r="E12" s="903" t="s">
        <v>1269</v>
      </c>
      <c r="F12" s="1127" t="s">
        <v>2225</v>
      </c>
      <c r="G12" s="903" t="s">
        <v>802</v>
      </c>
      <c r="H12" s="903">
        <v>0</v>
      </c>
      <c r="I12" s="1132" t="s">
        <v>1279</v>
      </c>
      <c r="J12" s="903">
        <v>1</v>
      </c>
      <c r="K12" s="903">
        <v>21</v>
      </c>
      <c r="L12" s="903">
        <v>1</v>
      </c>
      <c r="M12" s="903">
        <v>4</v>
      </c>
      <c r="N12" s="903" t="s">
        <v>1271</v>
      </c>
      <c r="O12" s="903">
        <v>13</v>
      </c>
      <c r="P12" s="1021">
        <v>197649.36</v>
      </c>
      <c r="Q12" s="1021">
        <v>0</v>
      </c>
      <c r="R12" s="1021">
        <v>197649.36</v>
      </c>
      <c r="S12" s="1021">
        <v>197649.36</v>
      </c>
      <c r="T12" s="1021">
        <v>98810.84</v>
      </c>
      <c r="U12" s="1021">
        <v>88090.84</v>
      </c>
      <c r="V12" s="1021">
        <v>88090.84</v>
      </c>
    </row>
    <row r="13" spans="1:22" x14ac:dyDescent="0.25">
      <c r="A13" s="1088">
        <v>4089100100</v>
      </c>
      <c r="B13" s="903">
        <v>2</v>
      </c>
      <c r="C13" s="903">
        <v>4</v>
      </c>
      <c r="D13" s="903">
        <v>3</v>
      </c>
      <c r="E13" s="903" t="s">
        <v>1269</v>
      </c>
      <c r="F13" s="1127" t="s">
        <v>2225</v>
      </c>
      <c r="G13" s="903" t="s">
        <v>802</v>
      </c>
      <c r="H13" s="903">
        <v>0</v>
      </c>
      <c r="I13" s="1132" t="s">
        <v>1280</v>
      </c>
      <c r="J13" s="903">
        <v>1</v>
      </c>
      <c r="K13" s="903">
        <v>21</v>
      </c>
      <c r="L13" s="903">
        <v>1</v>
      </c>
      <c r="M13" s="903">
        <v>4</v>
      </c>
      <c r="N13" s="903" t="s">
        <v>1271</v>
      </c>
      <c r="O13" s="903">
        <v>13</v>
      </c>
      <c r="P13" s="1021">
        <v>219725.76</v>
      </c>
      <c r="Q13" s="1021">
        <v>0</v>
      </c>
      <c r="R13" s="1021">
        <v>219725.76</v>
      </c>
      <c r="S13" s="1021">
        <v>219725.76</v>
      </c>
      <c r="T13" s="1021">
        <v>105379.99</v>
      </c>
      <c r="U13" s="1021">
        <v>0</v>
      </c>
      <c r="V13" s="1021">
        <v>0</v>
      </c>
    </row>
    <row r="14" spans="1:22" x14ac:dyDescent="0.25">
      <c r="A14" s="1088">
        <v>4089100100</v>
      </c>
      <c r="B14" s="903">
        <v>2</v>
      </c>
      <c r="C14" s="903">
        <v>4</v>
      </c>
      <c r="D14" s="903">
        <v>3</v>
      </c>
      <c r="E14" s="903" t="s">
        <v>1269</v>
      </c>
      <c r="F14" s="1127" t="s">
        <v>2225</v>
      </c>
      <c r="G14" s="903" t="s">
        <v>802</v>
      </c>
      <c r="H14" s="903">
        <v>0</v>
      </c>
      <c r="I14" s="1132" t="s">
        <v>1281</v>
      </c>
      <c r="J14" s="903">
        <v>1</v>
      </c>
      <c r="K14" s="903">
        <v>21</v>
      </c>
      <c r="L14" s="903">
        <v>1</v>
      </c>
      <c r="M14" s="903">
        <v>4</v>
      </c>
      <c r="N14" s="903" t="s">
        <v>1271</v>
      </c>
      <c r="O14" s="903">
        <v>13</v>
      </c>
      <c r="P14" s="1021">
        <v>72270.720000000001</v>
      </c>
      <c r="Q14" s="1021">
        <v>-2635.75</v>
      </c>
      <c r="R14" s="1021">
        <v>69634.97</v>
      </c>
      <c r="S14" s="1021">
        <v>69634.97</v>
      </c>
      <c r="T14" s="1021">
        <v>0</v>
      </c>
      <c r="U14" s="1021">
        <v>0</v>
      </c>
      <c r="V14" s="1021">
        <v>0</v>
      </c>
    </row>
    <row r="15" spans="1:22" x14ac:dyDescent="0.25">
      <c r="A15" s="1088">
        <v>4089100100</v>
      </c>
      <c r="B15" s="903">
        <v>2</v>
      </c>
      <c r="C15" s="903">
        <v>4</v>
      </c>
      <c r="D15" s="903">
        <v>3</v>
      </c>
      <c r="E15" s="903" t="s">
        <v>1269</v>
      </c>
      <c r="F15" s="1127" t="s">
        <v>2225</v>
      </c>
      <c r="G15" s="903" t="s">
        <v>802</v>
      </c>
      <c r="H15" s="903">
        <v>0</v>
      </c>
      <c r="I15" s="1132" t="s">
        <v>1282</v>
      </c>
      <c r="J15" s="903">
        <v>1</v>
      </c>
      <c r="K15" s="903">
        <v>21</v>
      </c>
      <c r="L15" s="903">
        <v>1</v>
      </c>
      <c r="M15" s="903">
        <v>4</v>
      </c>
      <c r="N15" s="903" t="s">
        <v>1271</v>
      </c>
      <c r="O15" s="903">
        <v>13</v>
      </c>
      <c r="P15" s="1021">
        <v>14043.12</v>
      </c>
      <c r="Q15" s="1021">
        <v>169125.7</v>
      </c>
      <c r="R15" s="1021">
        <v>183168.82</v>
      </c>
      <c r="S15" s="1021">
        <v>183168.82</v>
      </c>
      <c r="T15" s="1021">
        <v>183168.82</v>
      </c>
      <c r="U15" s="1021">
        <v>183168.82</v>
      </c>
      <c r="V15" s="1021">
        <v>183168.82</v>
      </c>
    </row>
    <row r="16" spans="1:22" x14ac:dyDescent="0.25">
      <c r="A16" s="1088">
        <v>4089100100</v>
      </c>
      <c r="B16" s="903">
        <v>2</v>
      </c>
      <c r="C16" s="903">
        <v>4</v>
      </c>
      <c r="D16" s="903">
        <v>3</v>
      </c>
      <c r="E16" s="903" t="s">
        <v>1269</v>
      </c>
      <c r="F16" s="1127" t="s">
        <v>2225</v>
      </c>
      <c r="G16" s="903" t="s">
        <v>802</v>
      </c>
      <c r="H16" s="903">
        <v>0</v>
      </c>
      <c r="I16" s="1132" t="s">
        <v>1121</v>
      </c>
      <c r="J16" s="903">
        <v>1</v>
      </c>
      <c r="K16" s="903">
        <v>21</v>
      </c>
      <c r="L16" s="903">
        <v>1</v>
      </c>
      <c r="M16" s="903">
        <v>4</v>
      </c>
      <c r="N16" s="903" t="s">
        <v>1271</v>
      </c>
      <c r="O16" s="903">
        <v>13</v>
      </c>
      <c r="P16" s="1021">
        <v>40735.800000000003</v>
      </c>
      <c r="Q16" s="1021">
        <v>0</v>
      </c>
      <c r="R16" s="1021">
        <v>40735.800000000003</v>
      </c>
      <c r="S16" s="1021">
        <v>15959.74</v>
      </c>
      <c r="T16" s="1021">
        <v>15959.74</v>
      </c>
      <c r="U16" s="1021">
        <v>15959.74</v>
      </c>
      <c r="V16" s="1021">
        <v>15959.74</v>
      </c>
    </row>
    <row r="17" spans="1:22" x14ac:dyDescent="0.25">
      <c r="A17" s="1088">
        <v>4089100100</v>
      </c>
      <c r="B17" s="903">
        <v>2</v>
      </c>
      <c r="C17" s="903">
        <v>4</v>
      </c>
      <c r="D17" s="903">
        <v>3</v>
      </c>
      <c r="E17" s="903" t="s">
        <v>1269</v>
      </c>
      <c r="F17" s="1127" t="s">
        <v>2225</v>
      </c>
      <c r="G17" s="903" t="s">
        <v>802</v>
      </c>
      <c r="H17" s="903">
        <v>0</v>
      </c>
      <c r="I17" s="1132" t="s">
        <v>1127</v>
      </c>
      <c r="J17" s="903">
        <v>1</v>
      </c>
      <c r="K17" s="903">
        <v>21</v>
      </c>
      <c r="L17" s="903">
        <v>1</v>
      </c>
      <c r="M17" s="903">
        <v>4</v>
      </c>
      <c r="N17" s="903" t="s">
        <v>1271</v>
      </c>
      <c r="O17" s="903">
        <v>13</v>
      </c>
      <c r="P17" s="1021">
        <v>4940.3999999999996</v>
      </c>
      <c r="Q17" s="1021">
        <v>0</v>
      </c>
      <c r="R17" s="1021">
        <v>4940.3999999999996</v>
      </c>
      <c r="S17" s="1021">
        <v>100</v>
      </c>
      <c r="T17" s="1021">
        <v>100</v>
      </c>
      <c r="U17" s="1021">
        <v>100</v>
      </c>
      <c r="V17" s="1021">
        <v>100</v>
      </c>
    </row>
    <row r="18" spans="1:22" x14ac:dyDescent="0.25">
      <c r="A18" s="1088">
        <v>4089100100</v>
      </c>
      <c r="B18" s="903">
        <v>2</v>
      </c>
      <c r="C18" s="903">
        <v>4</v>
      </c>
      <c r="D18" s="903">
        <v>3</v>
      </c>
      <c r="E18" s="903" t="s">
        <v>1269</v>
      </c>
      <c r="F18" s="1127" t="s">
        <v>2225</v>
      </c>
      <c r="G18" s="903" t="s">
        <v>802</v>
      </c>
      <c r="H18" s="903">
        <v>0</v>
      </c>
      <c r="I18" s="1132" t="s">
        <v>1131</v>
      </c>
      <c r="J18" s="903">
        <v>1</v>
      </c>
      <c r="K18" s="903">
        <v>21</v>
      </c>
      <c r="L18" s="903">
        <v>1</v>
      </c>
      <c r="M18" s="903">
        <v>4</v>
      </c>
      <c r="N18" s="903" t="s">
        <v>1271</v>
      </c>
      <c r="O18" s="903">
        <v>13</v>
      </c>
      <c r="P18" s="1021">
        <v>50500.800000000003</v>
      </c>
      <c r="Q18" s="1021">
        <v>0</v>
      </c>
      <c r="R18" s="1021">
        <v>50500.800000000003</v>
      </c>
      <c r="S18" s="1021">
        <v>28379.84</v>
      </c>
      <c r="T18" s="1021">
        <v>28379.84</v>
      </c>
      <c r="U18" s="1021">
        <v>28379.84</v>
      </c>
      <c r="V18" s="1021">
        <v>28379.84</v>
      </c>
    </row>
    <row r="19" spans="1:22" x14ac:dyDescent="0.25">
      <c r="A19" s="1088">
        <v>4089100100</v>
      </c>
      <c r="B19" s="903">
        <v>2</v>
      </c>
      <c r="C19" s="903">
        <v>4</v>
      </c>
      <c r="D19" s="903">
        <v>3</v>
      </c>
      <c r="E19" s="903" t="s">
        <v>1269</v>
      </c>
      <c r="F19" s="1127" t="s">
        <v>2225</v>
      </c>
      <c r="G19" s="903" t="s">
        <v>802</v>
      </c>
      <c r="H19" s="903">
        <v>0</v>
      </c>
      <c r="I19" s="1132" t="s">
        <v>1135</v>
      </c>
      <c r="J19" s="903">
        <v>1</v>
      </c>
      <c r="K19" s="903">
        <v>21</v>
      </c>
      <c r="L19" s="903">
        <v>1</v>
      </c>
      <c r="M19" s="903">
        <v>4</v>
      </c>
      <c r="N19" s="903" t="s">
        <v>1271</v>
      </c>
      <c r="O19" s="903">
        <v>13</v>
      </c>
      <c r="P19" s="1021">
        <v>270.60000000000002</v>
      </c>
      <c r="Q19" s="1021">
        <v>0</v>
      </c>
      <c r="R19" s="1021">
        <v>270.60000000000002</v>
      </c>
      <c r="S19" s="1021">
        <v>0</v>
      </c>
      <c r="T19" s="1021">
        <v>0</v>
      </c>
      <c r="U19" s="1021">
        <v>0</v>
      </c>
      <c r="V19" s="1021">
        <v>0</v>
      </c>
    </row>
    <row r="20" spans="1:22" x14ac:dyDescent="0.25">
      <c r="A20" s="1088">
        <v>4089100100</v>
      </c>
      <c r="B20" s="903">
        <v>2</v>
      </c>
      <c r="C20" s="903">
        <v>4</v>
      </c>
      <c r="D20" s="903">
        <v>3</v>
      </c>
      <c r="E20" s="903" t="s">
        <v>1269</v>
      </c>
      <c r="F20" s="1127" t="s">
        <v>2225</v>
      </c>
      <c r="G20" s="903" t="s">
        <v>802</v>
      </c>
      <c r="H20" s="903">
        <v>0</v>
      </c>
      <c r="I20" s="1132" t="s">
        <v>1141</v>
      </c>
      <c r="J20" s="903">
        <v>1</v>
      </c>
      <c r="K20" s="903">
        <v>21</v>
      </c>
      <c r="L20" s="903">
        <v>1</v>
      </c>
      <c r="M20" s="903">
        <v>4</v>
      </c>
      <c r="N20" s="903" t="s">
        <v>1271</v>
      </c>
      <c r="O20" s="903">
        <v>13</v>
      </c>
      <c r="P20" s="1021">
        <v>90.36</v>
      </c>
      <c r="Q20" s="1021">
        <v>0</v>
      </c>
      <c r="R20" s="1021">
        <v>90.36</v>
      </c>
      <c r="S20" s="1021">
        <v>0</v>
      </c>
      <c r="T20" s="1021">
        <v>0</v>
      </c>
      <c r="U20" s="1021">
        <v>0</v>
      </c>
      <c r="V20" s="1021">
        <v>0</v>
      </c>
    </row>
    <row r="21" spans="1:22" x14ac:dyDescent="0.25">
      <c r="A21" s="1088">
        <v>4089100100</v>
      </c>
      <c r="B21" s="903">
        <v>2</v>
      </c>
      <c r="C21" s="903">
        <v>4</v>
      </c>
      <c r="D21" s="903">
        <v>3</v>
      </c>
      <c r="E21" s="903" t="s">
        <v>1269</v>
      </c>
      <c r="F21" s="1127" t="s">
        <v>2225</v>
      </c>
      <c r="G21" s="903" t="s">
        <v>802</v>
      </c>
      <c r="H21" s="903">
        <v>0</v>
      </c>
      <c r="I21" s="1132" t="s">
        <v>1145</v>
      </c>
      <c r="J21" s="903">
        <v>1</v>
      </c>
      <c r="K21" s="903">
        <v>21</v>
      </c>
      <c r="L21" s="903">
        <v>1</v>
      </c>
      <c r="M21" s="903">
        <v>4</v>
      </c>
      <c r="N21" s="903" t="s">
        <v>1271</v>
      </c>
      <c r="O21" s="903">
        <v>13</v>
      </c>
      <c r="P21" s="1021">
        <v>22965.96</v>
      </c>
      <c r="Q21" s="1021">
        <v>0</v>
      </c>
      <c r="R21" s="1021">
        <v>22965.96</v>
      </c>
      <c r="S21" s="1021">
        <v>15714.78</v>
      </c>
      <c r="T21" s="1021">
        <v>15714.78</v>
      </c>
      <c r="U21" s="1021">
        <v>15714.78</v>
      </c>
      <c r="V21" s="1021">
        <v>15714.78</v>
      </c>
    </row>
    <row r="22" spans="1:22" x14ac:dyDescent="0.25">
      <c r="A22" s="1088">
        <v>4089100100</v>
      </c>
      <c r="B22" s="903">
        <v>2</v>
      </c>
      <c r="C22" s="903">
        <v>4</v>
      </c>
      <c r="D22" s="903">
        <v>3</v>
      </c>
      <c r="E22" s="903" t="s">
        <v>1269</v>
      </c>
      <c r="F22" s="1127" t="s">
        <v>2225</v>
      </c>
      <c r="G22" s="903" t="s">
        <v>802</v>
      </c>
      <c r="H22" s="903">
        <v>0</v>
      </c>
      <c r="I22" s="1132" t="s">
        <v>1149</v>
      </c>
      <c r="J22" s="903">
        <v>1</v>
      </c>
      <c r="K22" s="903">
        <v>21</v>
      </c>
      <c r="L22" s="903">
        <v>1</v>
      </c>
      <c r="M22" s="903">
        <v>4</v>
      </c>
      <c r="N22" s="903" t="s">
        <v>1271</v>
      </c>
      <c r="O22" s="903">
        <v>13</v>
      </c>
      <c r="P22" s="1021">
        <v>1430.16</v>
      </c>
      <c r="Q22" s="1021">
        <v>-1430.16</v>
      </c>
      <c r="R22" s="1021">
        <v>0</v>
      </c>
      <c r="S22" s="1021">
        <v>0</v>
      </c>
      <c r="T22" s="1021">
        <v>0</v>
      </c>
      <c r="U22" s="1021">
        <v>0</v>
      </c>
      <c r="V22" s="1021">
        <v>0</v>
      </c>
    </row>
    <row r="23" spans="1:22" x14ac:dyDescent="0.25">
      <c r="A23" s="1088">
        <v>4089100100</v>
      </c>
      <c r="B23" s="903">
        <v>2</v>
      </c>
      <c r="C23" s="903">
        <v>4</v>
      </c>
      <c r="D23" s="903">
        <v>3</v>
      </c>
      <c r="E23" s="903" t="s">
        <v>1269</v>
      </c>
      <c r="F23" s="1127" t="s">
        <v>2225</v>
      </c>
      <c r="G23" s="903" t="s">
        <v>802</v>
      </c>
      <c r="H23" s="903">
        <v>0</v>
      </c>
      <c r="I23" s="1132" t="s">
        <v>1153</v>
      </c>
      <c r="J23" s="903">
        <v>1</v>
      </c>
      <c r="K23" s="903">
        <v>21</v>
      </c>
      <c r="L23" s="903">
        <v>1</v>
      </c>
      <c r="M23" s="903">
        <v>4</v>
      </c>
      <c r="N23" s="903" t="s">
        <v>1271</v>
      </c>
      <c r="O23" s="903">
        <v>13</v>
      </c>
      <c r="P23" s="1021">
        <v>5555.76</v>
      </c>
      <c r="Q23" s="1021">
        <v>0</v>
      </c>
      <c r="R23" s="1021">
        <v>5555.76</v>
      </c>
      <c r="S23" s="1021">
        <v>0</v>
      </c>
      <c r="T23" s="1021">
        <v>0</v>
      </c>
      <c r="U23" s="1021">
        <v>0</v>
      </c>
      <c r="V23" s="1021">
        <v>0</v>
      </c>
    </row>
    <row r="24" spans="1:22" x14ac:dyDescent="0.25">
      <c r="A24" s="1088">
        <v>4089100100</v>
      </c>
      <c r="B24" s="903">
        <v>2</v>
      </c>
      <c r="C24" s="903">
        <v>4</v>
      </c>
      <c r="D24" s="903">
        <v>3</v>
      </c>
      <c r="E24" s="903" t="s">
        <v>1269</v>
      </c>
      <c r="F24" s="1127" t="s">
        <v>2225</v>
      </c>
      <c r="G24" s="903" t="s">
        <v>802</v>
      </c>
      <c r="H24" s="903">
        <v>0</v>
      </c>
      <c r="I24" s="1132" t="s">
        <v>1155</v>
      </c>
      <c r="J24" s="903">
        <v>1</v>
      </c>
      <c r="K24" s="903">
        <v>21</v>
      </c>
      <c r="L24" s="903">
        <v>1</v>
      </c>
      <c r="M24" s="903">
        <v>4</v>
      </c>
      <c r="N24" s="903" t="s">
        <v>1271</v>
      </c>
      <c r="O24" s="903">
        <v>13</v>
      </c>
      <c r="P24" s="1021">
        <v>927.6</v>
      </c>
      <c r="Q24" s="1021">
        <v>0</v>
      </c>
      <c r="R24" s="1021">
        <v>927.6</v>
      </c>
      <c r="S24" s="1021">
        <v>110</v>
      </c>
      <c r="T24" s="1021">
        <v>110</v>
      </c>
      <c r="U24" s="1021">
        <v>110</v>
      </c>
      <c r="V24" s="1021">
        <v>110</v>
      </c>
    </row>
    <row r="25" spans="1:22" x14ac:dyDescent="0.25">
      <c r="A25" s="1088">
        <v>4089100100</v>
      </c>
      <c r="B25" s="903">
        <v>2</v>
      </c>
      <c r="C25" s="903">
        <v>4</v>
      </c>
      <c r="D25" s="903">
        <v>3</v>
      </c>
      <c r="E25" s="903" t="s">
        <v>1269</v>
      </c>
      <c r="F25" s="1127" t="s">
        <v>2225</v>
      </c>
      <c r="G25" s="903" t="s">
        <v>802</v>
      </c>
      <c r="H25" s="903">
        <v>0</v>
      </c>
      <c r="I25" s="1132" t="s">
        <v>1161</v>
      </c>
      <c r="J25" s="903">
        <v>1</v>
      </c>
      <c r="K25" s="903">
        <v>21</v>
      </c>
      <c r="L25" s="903">
        <v>1</v>
      </c>
      <c r="M25" s="903">
        <v>4</v>
      </c>
      <c r="N25" s="903" t="s">
        <v>1271</v>
      </c>
      <c r="O25" s="903">
        <v>13</v>
      </c>
      <c r="P25" s="1021">
        <v>35133.96</v>
      </c>
      <c r="Q25" s="1021">
        <v>0</v>
      </c>
      <c r="R25" s="1021">
        <v>35133.96</v>
      </c>
      <c r="S25" s="1021">
        <v>23870.98</v>
      </c>
      <c r="T25" s="1021">
        <v>23870.98</v>
      </c>
      <c r="U25" s="1021">
        <v>23870.98</v>
      </c>
      <c r="V25" s="1021">
        <v>23870.98</v>
      </c>
    </row>
    <row r="26" spans="1:22" x14ac:dyDescent="0.25">
      <c r="A26" s="1088">
        <v>4089100100</v>
      </c>
      <c r="B26" s="903">
        <v>2</v>
      </c>
      <c r="C26" s="903">
        <v>4</v>
      </c>
      <c r="D26" s="903">
        <v>3</v>
      </c>
      <c r="E26" s="903" t="s">
        <v>1269</v>
      </c>
      <c r="F26" s="1127" t="s">
        <v>2225</v>
      </c>
      <c r="G26" s="903" t="s">
        <v>802</v>
      </c>
      <c r="H26" s="903">
        <v>0</v>
      </c>
      <c r="I26" s="1132" t="s">
        <v>1163</v>
      </c>
      <c r="J26" s="903">
        <v>1</v>
      </c>
      <c r="K26" s="903">
        <v>21</v>
      </c>
      <c r="L26" s="903">
        <v>1</v>
      </c>
      <c r="M26" s="903">
        <v>4</v>
      </c>
      <c r="N26" s="903" t="s">
        <v>1271</v>
      </c>
      <c r="O26" s="903">
        <v>13</v>
      </c>
      <c r="P26" s="1021">
        <v>3916.8</v>
      </c>
      <c r="Q26" s="1021">
        <v>0</v>
      </c>
      <c r="R26" s="1021">
        <v>3916.8</v>
      </c>
      <c r="S26" s="1021">
        <v>1657.97</v>
      </c>
      <c r="T26" s="1021">
        <v>1657.97</v>
      </c>
      <c r="U26" s="1021">
        <v>1657.97</v>
      </c>
      <c r="V26" s="1021">
        <v>1657.97</v>
      </c>
    </row>
    <row r="27" spans="1:22" x14ac:dyDescent="0.25">
      <c r="A27" s="1088">
        <v>4089100100</v>
      </c>
      <c r="B27" s="903">
        <v>2</v>
      </c>
      <c r="C27" s="903">
        <v>4</v>
      </c>
      <c r="D27" s="903">
        <v>3</v>
      </c>
      <c r="E27" s="903" t="s">
        <v>1269</v>
      </c>
      <c r="F27" s="1127" t="s">
        <v>2225</v>
      </c>
      <c r="G27" s="903" t="s">
        <v>802</v>
      </c>
      <c r="H27" s="903">
        <v>0</v>
      </c>
      <c r="I27" s="1132" t="s">
        <v>1165</v>
      </c>
      <c r="J27" s="903">
        <v>1</v>
      </c>
      <c r="K27" s="903">
        <v>21</v>
      </c>
      <c r="L27" s="903">
        <v>1</v>
      </c>
      <c r="M27" s="903">
        <v>4</v>
      </c>
      <c r="N27" s="903" t="s">
        <v>1271</v>
      </c>
      <c r="O27" s="903">
        <v>13</v>
      </c>
      <c r="P27" s="1021">
        <v>11990.28</v>
      </c>
      <c r="Q27" s="1021">
        <v>0</v>
      </c>
      <c r="R27" s="1021">
        <v>11990.28</v>
      </c>
      <c r="S27" s="1021">
        <v>7675.31</v>
      </c>
      <c r="T27" s="1021">
        <v>7675.31</v>
      </c>
      <c r="U27" s="1021">
        <v>7675.31</v>
      </c>
      <c r="V27" s="1021">
        <v>7675.31</v>
      </c>
    </row>
    <row r="28" spans="1:22" x14ac:dyDescent="0.25">
      <c r="A28" s="1088">
        <v>4089100100</v>
      </c>
      <c r="B28" s="903">
        <v>2</v>
      </c>
      <c r="C28" s="903">
        <v>4</v>
      </c>
      <c r="D28" s="903">
        <v>3</v>
      </c>
      <c r="E28" s="903" t="s">
        <v>1269</v>
      </c>
      <c r="F28" s="1127" t="s">
        <v>2225</v>
      </c>
      <c r="G28" s="903" t="s">
        <v>802</v>
      </c>
      <c r="H28" s="903">
        <v>0</v>
      </c>
      <c r="I28" s="1132" t="s">
        <v>1169</v>
      </c>
      <c r="J28" s="903">
        <v>1</v>
      </c>
      <c r="K28" s="903">
        <v>21</v>
      </c>
      <c r="L28" s="903">
        <v>1</v>
      </c>
      <c r="M28" s="903">
        <v>4</v>
      </c>
      <c r="N28" s="903" t="s">
        <v>1271</v>
      </c>
      <c r="O28" s="903">
        <v>13</v>
      </c>
      <c r="P28" s="1021">
        <v>24043.56</v>
      </c>
      <c r="Q28" s="1021">
        <v>0</v>
      </c>
      <c r="R28" s="1021">
        <v>24043.56</v>
      </c>
      <c r="S28" s="1021">
        <v>20156.23</v>
      </c>
      <c r="T28" s="1021">
        <v>20156.23</v>
      </c>
      <c r="U28" s="1021">
        <v>20156.23</v>
      </c>
      <c r="V28" s="1021">
        <v>20156.23</v>
      </c>
    </row>
    <row r="29" spans="1:22" x14ac:dyDescent="0.25">
      <c r="A29" s="1088">
        <v>4089100100</v>
      </c>
      <c r="B29" s="903">
        <v>2</v>
      </c>
      <c r="C29" s="903">
        <v>4</v>
      </c>
      <c r="D29" s="903">
        <v>3</v>
      </c>
      <c r="E29" s="903" t="s">
        <v>1269</v>
      </c>
      <c r="F29" s="1127" t="s">
        <v>2225</v>
      </c>
      <c r="G29" s="903" t="s">
        <v>802</v>
      </c>
      <c r="H29" s="903">
        <v>0</v>
      </c>
      <c r="I29" s="1132" t="s">
        <v>1171</v>
      </c>
      <c r="J29" s="903">
        <v>1</v>
      </c>
      <c r="K29" s="903">
        <v>21</v>
      </c>
      <c r="L29" s="903">
        <v>1</v>
      </c>
      <c r="M29" s="903">
        <v>4</v>
      </c>
      <c r="N29" s="903" t="s">
        <v>1271</v>
      </c>
      <c r="O29" s="903">
        <v>13</v>
      </c>
      <c r="P29" s="1021">
        <v>1732.8</v>
      </c>
      <c r="Q29" s="1021">
        <v>0</v>
      </c>
      <c r="R29" s="1021">
        <v>1732.8</v>
      </c>
      <c r="S29" s="1021">
        <v>422.7</v>
      </c>
      <c r="T29" s="1021">
        <v>422.7</v>
      </c>
      <c r="U29" s="1021">
        <v>422.7</v>
      </c>
      <c r="V29" s="1021">
        <v>422.7</v>
      </c>
    </row>
    <row r="30" spans="1:22" x14ac:dyDescent="0.25">
      <c r="A30" s="1088">
        <v>4089100100</v>
      </c>
      <c r="B30" s="903">
        <v>2</v>
      </c>
      <c r="C30" s="903">
        <v>4</v>
      </c>
      <c r="D30" s="903">
        <v>3</v>
      </c>
      <c r="E30" s="903" t="s">
        <v>1269</v>
      </c>
      <c r="F30" s="1127" t="s">
        <v>2225</v>
      </c>
      <c r="G30" s="903" t="s">
        <v>802</v>
      </c>
      <c r="H30" s="903">
        <v>0</v>
      </c>
      <c r="I30" s="1132" t="s">
        <v>1181</v>
      </c>
      <c r="J30" s="903">
        <v>1</v>
      </c>
      <c r="K30" s="903">
        <v>21</v>
      </c>
      <c r="L30" s="903">
        <v>1</v>
      </c>
      <c r="M30" s="903">
        <v>4</v>
      </c>
      <c r="N30" s="903" t="s">
        <v>1271</v>
      </c>
      <c r="O30" s="903">
        <v>13</v>
      </c>
      <c r="P30" s="1021">
        <v>5165.88</v>
      </c>
      <c r="Q30" s="1021">
        <v>0</v>
      </c>
      <c r="R30" s="1021">
        <v>5165.88</v>
      </c>
      <c r="S30" s="1021">
        <v>3577.33</v>
      </c>
      <c r="T30" s="1021">
        <v>3577.33</v>
      </c>
      <c r="U30" s="1021">
        <v>3161.45</v>
      </c>
      <c r="V30" s="1021">
        <v>3161.45</v>
      </c>
    </row>
    <row r="31" spans="1:22" x14ac:dyDescent="0.25">
      <c r="A31" s="1088">
        <v>4089100100</v>
      </c>
      <c r="B31" s="903">
        <v>2</v>
      </c>
      <c r="C31" s="903">
        <v>4</v>
      </c>
      <c r="D31" s="903">
        <v>3</v>
      </c>
      <c r="E31" s="903" t="s">
        <v>1269</v>
      </c>
      <c r="F31" s="1127" t="s">
        <v>2225</v>
      </c>
      <c r="G31" s="903" t="s">
        <v>802</v>
      </c>
      <c r="H31" s="903">
        <v>0</v>
      </c>
      <c r="I31" s="1132" t="s">
        <v>1189</v>
      </c>
      <c r="J31" s="903">
        <v>1</v>
      </c>
      <c r="K31" s="903">
        <v>21</v>
      </c>
      <c r="L31" s="903">
        <v>1</v>
      </c>
      <c r="M31" s="903">
        <v>4</v>
      </c>
      <c r="N31" s="903" t="s">
        <v>1271</v>
      </c>
      <c r="O31" s="903">
        <v>13</v>
      </c>
      <c r="P31" s="1021">
        <v>25749</v>
      </c>
      <c r="Q31" s="1021">
        <v>-3400</v>
      </c>
      <c r="R31" s="1021">
        <v>22349</v>
      </c>
      <c r="S31" s="1021">
        <v>0</v>
      </c>
      <c r="T31" s="1021">
        <v>0</v>
      </c>
      <c r="U31" s="1021">
        <v>0</v>
      </c>
      <c r="V31" s="1021">
        <v>0</v>
      </c>
    </row>
    <row r="32" spans="1:22" x14ac:dyDescent="0.25">
      <c r="A32" s="1088">
        <v>4089100100</v>
      </c>
      <c r="B32" s="903">
        <v>2</v>
      </c>
      <c r="C32" s="903">
        <v>4</v>
      </c>
      <c r="D32" s="903">
        <v>3</v>
      </c>
      <c r="E32" s="903" t="s">
        <v>1269</v>
      </c>
      <c r="F32" s="1127" t="s">
        <v>2225</v>
      </c>
      <c r="G32" s="903" t="s">
        <v>802</v>
      </c>
      <c r="H32" s="903">
        <v>0</v>
      </c>
      <c r="I32" s="1132" t="s">
        <v>1193</v>
      </c>
      <c r="J32" s="903">
        <v>1</v>
      </c>
      <c r="K32" s="903">
        <v>21</v>
      </c>
      <c r="L32" s="903">
        <v>1</v>
      </c>
      <c r="M32" s="903">
        <v>4</v>
      </c>
      <c r="N32" s="903" t="s">
        <v>1271</v>
      </c>
      <c r="O32" s="903">
        <v>13</v>
      </c>
      <c r="P32" s="1021">
        <v>6843.72</v>
      </c>
      <c r="Q32" s="1021">
        <v>0</v>
      </c>
      <c r="R32" s="1021">
        <v>6843.72</v>
      </c>
      <c r="S32" s="1021">
        <v>0</v>
      </c>
      <c r="T32" s="1021">
        <v>0</v>
      </c>
      <c r="U32" s="1021">
        <v>0</v>
      </c>
      <c r="V32" s="1021">
        <v>0</v>
      </c>
    </row>
    <row r="33" spans="1:22" x14ac:dyDescent="0.25">
      <c r="A33" s="1088">
        <v>4089100100</v>
      </c>
      <c r="B33" s="903">
        <v>2</v>
      </c>
      <c r="C33" s="903">
        <v>4</v>
      </c>
      <c r="D33" s="903">
        <v>3</v>
      </c>
      <c r="E33" s="903" t="s">
        <v>1269</v>
      </c>
      <c r="F33" s="1127" t="s">
        <v>2225</v>
      </c>
      <c r="G33" s="903" t="s">
        <v>802</v>
      </c>
      <c r="H33" s="903">
        <v>0</v>
      </c>
      <c r="I33" s="1132" t="s">
        <v>1203</v>
      </c>
      <c r="J33" s="903">
        <v>1</v>
      </c>
      <c r="K33" s="903">
        <v>21</v>
      </c>
      <c r="L33" s="903">
        <v>1</v>
      </c>
      <c r="M33" s="903">
        <v>4</v>
      </c>
      <c r="N33" s="903" t="s">
        <v>1271</v>
      </c>
      <c r="O33" s="903">
        <v>13</v>
      </c>
      <c r="P33" s="1021">
        <v>81208.08</v>
      </c>
      <c r="Q33" s="1021">
        <v>0</v>
      </c>
      <c r="R33" s="1021">
        <v>81208.08</v>
      </c>
      <c r="S33" s="1021">
        <v>47624.24</v>
      </c>
      <c r="T33" s="1021">
        <v>47624.24</v>
      </c>
      <c r="U33" s="1021">
        <v>47624.24</v>
      </c>
      <c r="V33" s="1021">
        <v>47624.24</v>
      </c>
    </row>
    <row r="34" spans="1:22" x14ac:dyDescent="0.25">
      <c r="A34" s="1088">
        <v>4089100100</v>
      </c>
      <c r="B34" s="903">
        <v>2</v>
      </c>
      <c r="C34" s="903">
        <v>4</v>
      </c>
      <c r="D34" s="903">
        <v>3</v>
      </c>
      <c r="E34" s="903" t="s">
        <v>1269</v>
      </c>
      <c r="F34" s="1127" t="s">
        <v>2225</v>
      </c>
      <c r="G34" s="903" t="s">
        <v>802</v>
      </c>
      <c r="H34" s="903">
        <v>0</v>
      </c>
      <c r="I34" s="1132" t="s">
        <v>1210</v>
      </c>
      <c r="J34" s="903">
        <v>1</v>
      </c>
      <c r="K34" s="903">
        <v>21</v>
      </c>
      <c r="L34" s="903">
        <v>1</v>
      </c>
      <c r="M34" s="903">
        <v>4</v>
      </c>
      <c r="N34" s="903" t="s">
        <v>1271</v>
      </c>
      <c r="O34" s="903">
        <v>13</v>
      </c>
      <c r="P34" s="1021">
        <v>31143.84</v>
      </c>
      <c r="Q34" s="1021">
        <v>0</v>
      </c>
      <c r="R34" s="1021">
        <v>31143.84</v>
      </c>
      <c r="S34" s="1021">
        <v>4917.2</v>
      </c>
      <c r="T34" s="1021">
        <v>4917.2</v>
      </c>
      <c r="U34" s="1021">
        <v>4917.2</v>
      </c>
      <c r="V34" s="1021">
        <v>4917.2</v>
      </c>
    </row>
    <row r="35" spans="1:22" x14ac:dyDescent="0.25">
      <c r="A35" s="1088">
        <v>4089100100</v>
      </c>
      <c r="B35" s="903">
        <v>2</v>
      </c>
      <c r="C35" s="903">
        <v>4</v>
      </c>
      <c r="D35" s="903">
        <v>3</v>
      </c>
      <c r="E35" s="903" t="s">
        <v>1269</v>
      </c>
      <c r="F35" s="1127" t="s">
        <v>2225</v>
      </c>
      <c r="G35" s="903" t="s">
        <v>802</v>
      </c>
      <c r="H35" s="903">
        <v>0</v>
      </c>
      <c r="I35" s="1132" t="s">
        <v>1212</v>
      </c>
      <c r="J35" s="903">
        <v>1</v>
      </c>
      <c r="K35" s="903">
        <v>21</v>
      </c>
      <c r="L35" s="903">
        <v>1</v>
      </c>
      <c r="M35" s="903">
        <v>4</v>
      </c>
      <c r="N35" s="903" t="s">
        <v>1271</v>
      </c>
      <c r="O35" s="903">
        <v>13</v>
      </c>
      <c r="P35" s="1021">
        <v>886.2</v>
      </c>
      <c r="Q35" s="1021">
        <v>3400</v>
      </c>
      <c r="R35" s="1021">
        <v>4286.2</v>
      </c>
      <c r="S35" s="1021">
        <v>3400</v>
      </c>
      <c r="T35" s="1021">
        <v>3400</v>
      </c>
      <c r="U35" s="1021">
        <v>3400</v>
      </c>
      <c r="V35" s="1021">
        <v>3400</v>
      </c>
    </row>
    <row r="36" spans="1:22" x14ac:dyDescent="0.25">
      <c r="A36" s="1088">
        <v>4089100100</v>
      </c>
      <c r="B36" s="903">
        <v>2</v>
      </c>
      <c r="C36" s="903">
        <v>4</v>
      </c>
      <c r="D36" s="903">
        <v>3</v>
      </c>
      <c r="E36" s="903" t="s">
        <v>1269</v>
      </c>
      <c r="F36" s="1127" t="s">
        <v>2225</v>
      </c>
      <c r="G36" s="903" t="s">
        <v>802</v>
      </c>
      <c r="H36" s="903">
        <v>0</v>
      </c>
      <c r="I36" s="1132" t="s">
        <v>1216</v>
      </c>
      <c r="J36" s="903">
        <v>1</v>
      </c>
      <c r="K36" s="903">
        <v>21</v>
      </c>
      <c r="L36" s="903">
        <v>1</v>
      </c>
      <c r="M36" s="903">
        <v>4</v>
      </c>
      <c r="N36" s="903" t="s">
        <v>1271</v>
      </c>
      <c r="O36" s="903">
        <v>13</v>
      </c>
      <c r="P36" s="1021">
        <v>39221.4</v>
      </c>
      <c r="Q36" s="1021">
        <v>0</v>
      </c>
      <c r="R36" s="1021">
        <v>39221.4</v>
      </c>
      <c r="S36" s="1021">
        <v>12261.73</v>
      </c>
      <c r="T36" s="1021">
        <v>12261.73</v>
      </c>
      <c r="U36" s="1021">
        <v>12261.73</v>
      </c>
      <c r="V36" s="1021">
        <v>12261.73</v>
      </c>
    </row>
    <row r="37" spans="1:22" x14ac:dyDescent="0.25">
      <c r="A37" s="1088">
        <v>4089100100</v>
      </c>
      <c r="B37" s="903">
        <v>2</v>
      </c>
      <c r="C37" s="903">
        <v>4</v>
      </c>
      <c r="D37" s="903">
        <v>3</v>
      </c>
      <c r="E37" s="903" t="s">
        <v>1269</v>
      </c>
      <c r="F37" s="1127" t="s">
        <v>2225</v>
      </c>
      <c r="G37" s="903" t="s">
        <v>802</v>
      </c>
      <c r="H37" s="903">
        <v>0</v>
      </c>
      <c r="I37" s="1132" t="s">
        <v>1218</v>
      </c>
      <c r="J37" s="903">
        <v>1</v>
      </c>
      <c r="K37" s="903">
        <v>21</v>
      </c>
      <c r="L37" s="903">
        <v>1</v>
      </c>
      <c r="M37" s="903">
        <v>4</v>
      </c>
      <c r="N37" s="903" t="s">
        <v>1271</v>
      </c>
      <c r="O37" s="903">
        <v>13</v>
      </c>
      <c r="P37" s="1021">
        <v>26116.2</v>
      </c>
      <c r="Q37" s="1021">
        <v>0</v>
      </c>
      <c r="R37" s="1021">
        <v>26116.2</v>
      </c>
      <c r="S37" s="1021">
        <v>4968</v>
      </c>
      <c r="T37" s="1021">
        <v>4968</v>
      </c>
      <c r="U37" s="1021">
        <v>4084.8</v>
      </c>
      <c r="V37" s="1021">
        <v>4084.8</v>
      </c>
    </row>
    <row r="38" spans="1:22" x14ac:dyDescent="0.25">
      <c r="A38" s="1088">
        <v>4089100100</v>
      </c>
      <c r="B38" s="903">
        <v>2</v>
      </c>
      <c r="C38" s="903">
        <v>4</v>
      </c>
      <c r="D38" s="903">
        <v>3</v>
      </c>
      <c r="E38" s="903" t="s">
        <v>1269</v>
      </c>
      <c r="F38" s="1127" t="s">
        <v>2225</v>
      </c>
      <c r="G38" s="903" t="s">
        <v>802</v>
      </c>
      <c r="H38" s="903">
        <v>0</v>
      </c>
      <c r="I38" s="1132" t="s">
        <v>1284</v>
      </c>
      <c r="J38" s="903">
        <v>1</v>
      </c>
      <c r="K38" s="903">
        <v>21</v>
      </c>
      <c r="L38" s="903">
        <v>1</v>
      </c>
      <c r="M38" s="903">
        <v>4</v>
      </c>
      <c r="N38" s="903" t="s">
        <v>1271</v>
      </c>
      <c r="O38" s="903">
        <v>13</v>
      </c>
      <c r="P38" s="1021">
        <v>1808.52</v>
      </c>
      <c r="Q38" s="1021">
        <v>0</v>
      </c>
      <c r="R38" s="1021">
        <v>1808.52</v>
      </c>
      <c r="S38" s="1021">
        <v>867.93</v>
      </c>
      <c r="T38" s="1021">
        <v>867.93</v>
      </c>
      <c r="U38" s="1021">
        <v>867.93</v>
      </c>
      <c r="V38" s="1021">
        <v>867.93</v>
      </c>
    </row>
    <row r="39" spans="1:22" x14ac:dyDescent="0.25">
      <c r="A39" s="1088">
        <v>4089100100</v>
      </c>
      <c r="B39" s="903">
        <v>2</v>
      </c>
      <c r="C39" s="903">
        <v>4</v>
      </c>
      <c r="D39" s="903">
        <v>3</v>
      </c>
      <c r="E39" s="903" t="s">
        <v>1269</v>
      </c>
      <c r="F39" s="1127" t="s">
        <v>2225</v>
      </c>
      <c r="G39" s="903" t="s">
        <v>802</v>
      </c>
      <c r="H39" s="903">
        <v>0</v>
      </c>
      <c r="I39" s="1132" t="s">
        <v>1233</v>
      </c>
      <c r="J39" s="903">
        <v>1</v>
      </c>
      <c r="K39" s="903">
        <v>21</v>
      </c>
      <c r="L39" s="903">
        <v>1</v>
      </c>
      <c r="M39" s="903">
        <v>4</v>
      </c>
      <c r="N39" s="903" t="s">
        <v>1271</v>
      </c>
      <c r="O39" s="903">
        <v>13</v>
      </c>
      <c r="P39" s="1021">
        <v>52641.48</v>
      </c>
      <c r="Q39" s="1021">
        <v>0</v>
      </c>
      <c r="R39" s="1021">
        <v>52641.48</v>
      </c>
      <c r="S39" s="1021">
        <v>29009.58</v>
      </c>
      <c r="T39" s="1021">
        <v>29009.58</v>
      </c>
      <c r="U39" s="1021">
        <v>29009.58</v>
      </c>
      <c r="V39" s="1021">
        <v>29009.58</v>
      </c>
    </row>
    <row r="40" spans="1:22" x14ac:dyDescent="0.25">
      <c r="A40" s="1088">
        <v>4089100100</v>
      </c>
      <c r="B40" s="903">
        <v>2</v>
      </c>
      <c r="C40" s="903">
        <v>4</v>
      </c>
      <c r="D40" s="903">
        <v>3</v>
      </c>
      <c r="E40" s="903" t="s">
        <v>1269</v>
      </c>
      <c r="F40" s="1127" t="s">
        <v>2225</v>
      </c>
      <c r="G40" s="903" t="s">
        <v>802</v>
      </c>
      <c r="H40" s="903">
        <v>0</v>
      </c>
      <c r="I40" s="1132" t="s">
        <v>1238</v>
      </c>
      <c r="J40" s="903">
        <v>1</v>
      </c>
      <c r="K40" s="903">
        <v>21</v>
      </c>
      <c r="L40" s="903">
        <v>1</v>
      </c>
      <c r="M40" s="903">
        <v>4</v>
      </c>
      <c r="N40" s="903" t="s">
        <v>1271</v>
      </c>
      <c r="O40" s="903">
        <v>13</v>
      </c>
      <c r="P40" s="1021">
        <v>25476.36</v>
      </c>
      <c r="Q40" s="1021">
        <v>0</v>
      </c>
      <c r="R40" s="1021">
        <v>25476.36</v>
      </c>
      <c r="S40" s="1021">
        <v>568.97</v>
      </c>
      <c r="T40" s="1021">
        <v>568.97</v>
      </c>
      <c r="U40" s="1021">
        <v>568.97</v>
      </c>
      <c r="V40" s="1021">
        <v>568.97</v>
      </c>
    </row>
    <row r="41" spans="1:22" x14ac:dyDescent="0.25">
      <c r="A41" s="1088">
        <v>4089100100</v>
      </c>
      <c r="B41" s="903">
        <v>2</v>
      </c>
      <c r="C41" s="903">
        <v>4</v>
      </c>
      <c r="D41" s="903">
        <v>3</v>
      </c>
      <c r="E41" s="903" t="s">
        <v>1269</v>
      </c>
      <c r="F41" s="1127" t="s">
        <v>2225</v>
      </c>
      <c r="G41" s="903" t="s">
        <v>802</v>
      </c>
      <c r="H41" s="903">
        <v>0</v>
      </c>
      <c r="I41" s="1132" t="s">
        <v>1240</v>
      </c>
      <c r="J41" s="903">
        <v>1</v>
      </c>
      <c r="K41" s="903">
        <v>21</v>
      </c>
      <c r="L41" s="903">
        <v>1</v>
      </c>
      <c r="M41" s="903">
        <v>4</v>
      </c>
      <c r="N41" s="903" t="s">
        <v>1271</v>
      </c>
      <c r="O41" s="903">
        <v>13</v>
      </c>
      <c r="P41" s="1021">
        <v>600</v>
      </c>
      <c r="Q41" s="1021">
        <v>0</v>
      </c>
      <c r="R41" s="1021">
        <v>600</v>
      </c>
      <c r="S41" s="1021">
        <v>600</v>
      </c>
      <c r="T41" s="1021">
        <v>600</v>
      </c>
      <c r="U41" s="1021">
        <v>600</v>
      </c>
      <c r="V41" s="1021">
        <v>600</v>
      </c>
    </row>
    <row r="42" spans="1:22" x14ac:dyDescent="0.25">
      <c r="A42" s="1088">
        <v>4089100100</v>
      </c>
      <c r="B42" s="903">
        <v>2</v>
      </c>
      <c r="C42" s="903">
        <v>4</v>
      </c>
      <c r="D42" s="903">
        <v>3</v>
      </c>
      <c r="E42" s="903" t="s">
        <v>1269</v>
      </c>
      <c r="F42" s="1127" t="s">
        <v>2225</v>
      </c>
      <c r="G42" s="903" t="s">
        <v>802</v>
      </c>
      <c r="H42" s="903">
        <v>0</v>
      </c>
      <c r="I42" s="1132" t="s">
        <v>1244</v>
      </c>
      <c r="J42" s="903">
        <v>1</v>
      </c>
      <c r="K42" s="903">
        <v>21</v>
      </c>
      <c r="L42" s="903">
        <v>1</v>
      </c>
      <c r="M42" s="903">
        <v>4</v>
      </c>
      <c r="N42" s="903" t="s">
        <v>1271</v>
      </c>
      <c r="O42" s="903">
        <v>13</v>
      </c>
      <c r="P42" s="1021">
        <v>0</v>
      </c>
      <c r="Q42" s="1021">
        <v>4892</v>
      </c>
      <c r="R42" s="1021">
        <v>4892</v>
      </c>
      <c r="S42" s="1021">
        <v>4892</v>
      </c>
      <c r="T42" s="1021">
        <v>4892</v>
      </c>
      <c r="U42" s="1021">
        <v>4892</v>
      </c>
      <c r="V42" s="1021">
        <v>4892</v>
      </c>
    </row>
    <row r="43" spans="1:22" x14ac:dyDescent="0.25">
      <c r="A43" s="1088">
        <v>4089100100</v>
      </c>
      <c r="B43" s="903">
        <v>2</v>
      </c>
      <c r="C43" s="903">
        <v>4</v>
      </c>
      <c r="D43" s="903">
        <v>3</v>
      </c>
      <c r="E43" s="903" t="s">
        <v>1269</v>
      </c>
      <c r="F43" s="1127" t="s">
        <v>2225</v>
      </c>
      <c r="G43" s="903" t="s">
        <v>802</v>
      </c>
      <c r="H43" s="903">
        <v>0</v>
      </c>
      <c r="I43" s="1132" t="s">
        <v>1246</v>
      </c>
      <c r="J43" s="903">
        <v>1</v>
      </c>
      <c r="K43" s="903">
        <v>21</v>
      </c>
      <c r="L43" s="903">
        <v>1</v>
      </c>
      <c r="M43" s="903">
        <v>4</v>
      </c>
      <c r="N43" s="903" t="s">
        <v>1271</v>
      </c>
      <c r="O43" s="903">
        <v>13</v>
      </c>
      <c r="P43" s="1021">
        <v>25605.72</v>
      </c>
      <c r="Q43" s="1021">
        <v>0</v>
      </c>
      <c r="R43" s="1021">
        <v>25605.72</v>
      </c>
      <c r="S43" s="1021">
        <v>3352</v>
      </c>
      <c r="T43" s="1021">
        <v>3352</v>
      </c>
      <c r="U43" s="1021">
        <v>3352</v>
      </c>
      <c r="V43" s="1021">
        <v>3352</v>
      </c>
    </row>
    <row r="44" spans="1:22" x14ac:dyDescent="0.25">
      <c r="A44" s="1088">
        <v>4089100100</v>
      </c>
      <c r="B44" s="903">
        <v>2</v>
      </c>
      <c r="C44" s="903">
        <v>4</v>
      </c>
      <c r="D44" s="903">
        <v>3</v>
      </c>
      <c r="E44" s="903" t="s">
        <v>1269</v>
      </c>
      <c r="F44" s="1127" t="s">
        <v>2225</v>
      </c>
      <c r="G44" s="903" t="s">
        <v>802</v>
      </c>
      <c r="H44" s="903">
        <v>0</v>
      </c>
      <c r="I44" s="1132" t="s">
        <v>1248</v>
      </c>
      <c r="J44" s="903">
        <v>1</v>
      </c>
      <c r="K44" s="903">
        <v>21</v>
      </c>
      <c r="L44" s="903">
        <v>1</v>
      </c>
      <c r="M44" s="903">
        <v>4</v>
      </c>
      <c r="N44" s="903" t="s">
        <v>1271</v>
      </c>
      <c r="O44" s="903">
        <v>13</v>
      </c>
      <c r="P44" s="1021">
        <v>194682.48</v>
      </c>
      <c r="Q44" s="1021">
        <v>0</v>
      </c>
      <c r="R44" s="1021">
        <v>194682.48</v>
      </c>
      <c r="S44" s="1021">
        <v>69967</v>
      </c>
      <c r="T44" s="1021">
        <v>69967</v>
      </c>
      <c r="U44" s="1021">
        <v>63299</v>
      </c>
      <c r="V44" s="1021">
        <v>63299</v>
      </c>
    </row>
    <row r="45" spans="1:22" x14ac:dyDescent="0.25">
      <c r="A45" s="1088">
        <v>4089100200</v>
      </c>
      <c r="B45" s="903">
        <v>2</v>
      </c>
      <c r="C45" s="903">
        <v>4</v>
      </c>
      <c r="D45" s="903">
        <v>3</v>
      </c>
      <c r="E45" s="903" t="s">
        <v>1269</v>
      </c>
      <c r="F45" s="1127" t="s">
        <v>2225</v>
      </c>
      <c r="G45" s="903" t="s">
        <v>802</v>
      </c>
      <c r="H45" s="903">
        <v>0</v>
      </c>
      <c r="I45" s="1132" t="s">
        <v>1270</v>
      </c>
      <c r="J45" s="903">
        <v>1</v>
      </c>
      <c r="K45" s="903">
        <v>21</v>
      </c>
      <c r="L45" s="903">
        <v>1</v>
      </c>
      <c r="M45" s="903">
        <v>4</v>
      </c>
      <c r="N45" s="903" t="s">
        <v>1271</v>
      </c>
      <c r="O45" s="903">
        <v>13</v>
      </c>
      <c r="P45" s="1021">
        <v>11195663.76</v>
      </c>
      <c r="Q45" s="1021">
        <v>-459755.68</v>
      </c>
      <c r="R45" s="1021">
        <v>10735908.08</v>
      </c>
      <c r="S45" s="1021">
        <v>10735908.08</v>
      </c>
      <c r="T45" s="1122">
        <v>7595379.6500000004</v>
      </c>
      <c r="U45" s="1021">
        <v>7595379.6500000004</v>
      </c>
      <c r="V45" s="1021">
        <v>7595379.6500000004</v>
      </c>
    </row>
    <row r="46" spans="1:22" x14ac:dyDescent="0.25">
      <c r="A46" s="1088">
        <v>4089100200</v>
      </c>
      <c r="B46" s="903">
        <v>2</v>
      </c>
      <c r="C46" s="903">
        <v>4</v>
      </c>
      <c r="D46" s="903">
        <v>3</v>
      </c>
      <c r="E46" s="903" t="s">
        <v>1269</v>
      </c>
      <c r="F46" s="1127" t="s">
        <v>2225</v>
      </c>
      <c r="G46" s="903" t="s">
        <v>802</v>
      </c>
      <c r="H46" s="903">
        <v>0</v>
      </c>
      <c r="I46" s="1132" t="s">
        <v>1272</v>
      </c>
      <c r="J46" s="903">
        <v>1</v>
      </c>
      <c r="K46" s="903">
        <v>21</v>
      </c>
      <c r="L46" s="903">
        <v>1</v>
      </c>
      <c r="M46" s="903">
        <v>4</v>
      </c>
      <c r="N46" s="903" t="s">
        <v>1271</v>
      </c>
      <c r="O46" s="903">
        <v>13</v>
      </c>
      <c r="P46" s="1021">
        <v>927653.88</v>
      </c>
      <c r="Q46" s="1021">
        <v>0</v>
      </c>
      <c r="R46" s="1021">
        <v>927653.88</v>
      </c>
      <c r="S46" s="1021">
        <v>927653.88</v>
      </c>
      <c r="T46" s="1122">
        <v>728232.8</v>
      </c>
      <c r="U46" s="1021">
        <v>673832.8</v>
      </c>
      <c r="V46" s="1021">
        <v>673832.8</v>
      </c>
    </row>
    <row r="47" spans="1:22" x14ac:dyDescent="0.25">
      <c r="A47" s="1088">
        <v>4089100200</v>
      </c>
      <c r="B47" s="903">
        <v>2</v>
      </c>
      <c r="C47" s="903">
        <v>4</v>
      </c>
      <c r="D47" s="903">
        <v>3</v>
      </c>
      <c r="E47" s="903" t="s">
        <v>1269</v>
      </c>
      <c r="F47" s="1127" t="s">
        <v>2225</v>
      </c>
      <c r="G47" s="903" t="s">
        <v>802</v>
      </c>
      <c r="H47" s="903">
        <v>0</v>
      </c>
      <c r="I47" s="1132" t="s">
        <v>1273</v>
      </c>
      <c r="J47" s="903">
        <v>1</v>
      </c>
      <c r="K47" s="903">
        <v>21</v>
      </c>
      <c r="L47" s="903">
        <v>1</v>
      </c>
      <c r="M47" s="903">
        <v>4</v>
      </c>
      <c r="N47" s="903" t="s">
        <v>1271</v>
      </c>
      <c r="O47" s="903">
        <v>13</v>
      </c>
      <c r="P47" s="1021">
        <v>1084015.44</v>
      </c>
      <c r="Q47" s="1021">
        <v>0</v>
      </c>
      <c r="R47" s="1021">
        <v>1084015.44</v>
      </c>
      <c r="S47" s="1021">
        <v>1084015.44</v>
      </c>
      <c r="T47" s="1122">
        <v>738750</v>
      </c>
      <c r="U47" s="1021">
        <v>738750</v>
      </c>
      <c r="V47" s="1021">
        <v>738750</v>
      </c>
    </row>
    <row r="48" spans="1:22" x14ac:dyDescent="0.25">
      <c r="A48" s="1088">
        <v>4089100200</v>
      </c>
      <c r="B48" s="903">
        <v>2</v>
      </c>
      <c r="C48" s="903">
        <v>4</v>
      </c>
      <c r="D48" s="903">
        <v>3</v>
      </c>
      <c r="E48" s="903" t="s">
        <v>1269</v>
      </c>
      <c r="F48" s="1127" t="s">
        <v>2225</v>
      </c>
      <c r="G48" s="903" t="s">
        <v>802</v>
      </c>
      <c r="H48" s="903">
        <v>0</v>
      </c>
      <c r="I48" s="1132" t="s">
        <v>1274</v>
      </c>
      <c r="J48" s="903">
        <v>1</v>
      </c>
      <c r="K48" s="903">
        <v>21</v>
      </c>
      <c r="L48" s="903">
        <v>1</v>
      </c>
      <c r="M48" s="903">
        <v>4</v>
      </c>
      <c r="N48" s="903" t="s">
        <v>1271</v>
      </c>
      <c r="O48" s="903">
        <v>13</v>
      </c>
      <c r="P48" s="1021">
        <v>375441.36</v>
      </c>
      <c r="Q48" s="1021">
        <v>53228.47</v>
      </c>
      <c r="R48" s="1021">
        <v>428669.83</v>
      </c>
      <c r="S48" s="1021">
        <v>428669.83</v>
      </c>
      <c r="T48" s="1122">
        <v>428669.83</v>
      </c>
      <c r="U48" s="1021">
        <v>428669.83</v>
      </c>
      <c r="V48" s="1021">
        <v>428669.83</v>
      </c>
    </row>
    <row r="49" spans="1:22" x14ac:dyDescent="0.25">
      <c r="A49" s="1088">
        <v>4089100200</v>
      </c>
      <c r="B49" s="903">
        <v>2</v>
      </c>
      <c r="C49" s="903">
        <v>4</v>
      </c>
      <c r="D49" s="903">
        <v>3</v>
      </c>
      <c r="E49" s="903" t="s">
        <v>1269</v>
      </c>
      <c r="F49" s="1127" t="s">
        <v>2225</v>
      </c>
      <c r="G49" s="903" t="s">
        <v>802</v>
      </c>
      <c r="H49" s="903">
        <v>0</v>
      </c>
      <c r="I49" s="1132" t="s">
        <v>1275</v>
      </c>
      <c r="J49" s="903">
        <v>1</v>
      </c>
      <c r="K49" s="903">
        <v>21</v>
      </c>
      <c r="L49" s="903">
        <v>1</v>
      </c>
      <c r="M49" s="903">
        <v>4</v>
      </c>
      <c r="N49" s="903" t="s">
        <v>1271</v>
      </c>
      <c r="O49" s="903">
        <v>13</v>
      </c>
      <c r="P49" s="1021">
        <v>1339948.68</v>
      </c>
      <c r="Q49" s="1021">
        <v>0</v>
      </c>
      <c r="R49" s="1021">
        <v>1339948.68</v>
      </c>
      <c r="S49" s="1021">
        <v>1339948.68</v>
      </c>
      <c r="T49" s="1122">
        <v>763888.93</v>
      </c>
      <c r="U49" s="1021">
        <v>763888.93</v>
      </c>
      <c r="V49" s="1021">
        <v>763888.93</v>
      </c>
    </row>
    <row r="50" spans="1:22" x14ac:dyDescent="0.25">
      <c r="A50" s="1088">
        <v>4089100200</v>
      </c>
      <c r="B50" s="903">
        <v>2</v>
      </c>
      <c r="C50" s="903">
        <v>4</v>
      </c>
      <c r="D50" s="903">
        <v>3</v>
      </c>
      <c r="E50" s="903" t="s">
        <v>1269</v>
      </c>
      <c r="F50" s="1127" t="s">
        <v>2225</v>
      </c>
      <c r="G50" s="903" t="s">
        <v>802</v>
      </c>
      <c r="H50" s="903">
        <v>0</v>
      </c>
      <c r="I50" s="1132" t="s">
        <v>1276</v>
      </c>
      <c r="J50" s="903">
        <v>1</v>
      </c>
      <c r="K50" s="903">
        <v>21</v>
      </c>
      <c r="L50" s="903">
        <v>1</v>
      </c>
      <c r="M50" s="903">
        <v>4</v>
      </c>
      <c r="N50" s="903" t="s">
        <v>1271</v>
      </c>
      <c r="O50" s="903">
        <v>13</v>
      </c>
      <c r="P50" s="1021">
        <v>2055204.24</v>
      </c>
      <c r="Q50" s="1021">
        <v>0</v>
      </c>
      <c r="R50" s="1021">
        <v>2055204.24</v>
      </c>
      <c r="S50" s="1021">
        <v>2055204.24</v>
      </c>
      <c r="T50" s="1122">
        <v>1311240.97</v>
      </c>
      <c r="U50" s="1021">
        <v>21654.39</v>
      </c>
      <c r="V50" s="1021">
        <v>21654.39</v>
      </c>
    </row>
    <row r="51" spans="1:22" x14ac:dyDescent="0.25">
      <c r="A51" s="1088">
        <v>4089100200</v>
      </c>
      <c r="B51" s="903">
        <v>2</v>
      </c>
      <c r="C51" s="903">
        <v>4</v>
      </c>
      <c r="D51" s="903">
        <v>3</v>
      </c>
      <c r="E51" s="903" t="s">
        <v>1269</v>
      </c>
      <c r="F51" s="1127" t="s">
        <v>2225</v>
      </c>
      <c r="G51" s="903" t="s">
        <v>802</v>
      </c>
      <c r="H51" s="903">
        <v>0</v>
      </c>
      <c r="I51" s="1132" t="s">
        <v>1285</v>
      </c>
      <c r="J51" s="903">
        <v>1</v>
      </c>
      <c r="K51" s="903">
        <v>21</v>
      </c>
      <c r="L51" s="903">
        <v>1</v>
      </c>
      <c r="M51" s="903">
        <v>4</v>
      </c>
      <c r="N51" s="903" t="s">
        <v>1271</v>
      </c>
      <c r="O51" s="903">
        <v>13</v>
      </c>
      <c r="P51" s="1021">
        <v>100360.44</v>
      </c>
      <c r="Q51" s="1021">
        <v>0</v>
      </c>
      <c r="R51" s="1021">
        <v>100360.44</v>
      </c>
      <c r="S51" s="1021">
        <v>100360.44</v>
      </c>
      <c r="T51" s="1122">
        <v>6541.15</v>
      </c>
      <c r="U51" s="1021">
        <v>6541.15</v>
      </c>
      <c r="V51" s="1021">
        <v>6541.15</v>
      </c>
    </row>
    <row r="52" spans="1:22" x14ac:dyDescent="0.25">
      <c r="A52" s="1088">
        <v>4089100200</v>
      </c>
      <c r="B52" s="903">
        <v>2</v>
      </c>
      <c r="C52" s="903">
        <v>4</v>
      </c>
      <c r="D52" s="903">
        <v>3</v>
      </c>
      <c r="E52" s="903" t="s">
        <v>1269</v>
      </c>
      <c r="F52" s="1127" t="s">
        <v>2225</v>
      </c>
      <c r="G52" s="903" t="s">
        <v>802</v>
      </c>
      <c r="H52" s="903">
        <v>0</v>
      </c>
      <c r="I52" s="1132" t="s">
        <v>1277</v>
      </c>
      <c r="J52" s="903">
        <v>1</v>
      </c>
      <c r="K52" s="903">
        <v>21</v>
      </c>
      <c r="L52" s="903">
        <v>1</v>
      </c>
      <c r="M52" s="903">
        <v>4</v>
      </c>
      <c r="N52" s="903" t="s">
        <v>1271</v>
      </c>
      <c r="O52" s="903">
        <v>13</v>
      </c>
      <c r="P52" s="1021">
        <v>1667617.32</v>
      </c>
      <c r="Q52" s="1021">
        <v>0</v>
      </c>
      <c r="R52" s="1021">
        <v>1667617.32</v>
      </c>
      <c r="S52" s="1021">
        <v>1667617.32</v>
      </c>
      <c r="T52" s="1122">
        <v>1265309.45</v>
      </c>
      <c r="U52" s="1021">
        <v>1127084.03</v>
      </c>
      <c r="V52" s="1021">
        <v>1127084.03</v>
      </c>
    </row>
    <row r="53" spans="1:22" x14ac:dyDescent="0.25">
      <c r="A53" s="1088">
        <v>4089100200</v>
      </c>
      <c r="B53" s="903">
        <v>2</v>
      </c>
      <c r="C53" s="903">
        <v>4</v>
      </c>
      <c r="D53" s="903">
        <v>3</v>
      </c>
      <c r="E53" s="903" t="s">
        <v>1269</v>
      </c>
      <c r="F53" s="1127" t="s">
        <v>2225</v>
      </c>
      <c r="G53" s="903" t="s">
        <v>802</v>
      </c>
      <c r="H53" s="903">
        <v>0</v>
      </c>
      <c r="I53" s="1132" t="s">
        <v>1278</v>
      </c>
      <c r="J53" s="903">
        <v>1</v>
      </c>
      <c r="K53" s="903">
        <v>21</v>
      </c>
      <c r="L53" s="903">
        <v>1</v>
      </c>
      <c r="M53" s="903">
        <v>4</v>
      </c>
      <c r="N53" s="903" t="s">
        <v>1271</v>
      </c>
      <c r="O53" s="903">
        <v>13</v>
      </c>
      <c r="P53" s="1021">
        <v>737296.08</v>
      </c>
      <c r="Q53" s="1021">
        <v>0</v>
      </c>
      <c r="R53" s="1021">
        <v>737296.08</v>
      </c>
      <c r="S53" s="1021">
        <v>737296.08</v>
      </c>
      <c r="T53" s="1122">
        <v>493637.12</v>
      </c>
      <c r="U53" s="1021">
        <v>441194.13</v>
      </c>
      <c r="V53" s="1021">
        <v>441194.13</v>
      </c>
    </row>
    <row r="54" spans="1:22" x14ac:dyDescent="0.25">
      <c r="A54" s="1088">
        <v>4089100200</v>
      </c>
      <c r="B54" s="903">
        <v>2</v>
      </c>
      <c r="C54" s="903">
        <v>4</v>
      </c>
      <c r="D54" s="903">
        <v>3</v>
      </c>
      <c r="E54" s="903" t="s">
        <v>1269</v>
      </c>
      <c r="F54" s="1127" t="s">
        <v>2225</v>
      </c>
      <c r="G54" s="903" t="s">
        <v>802</v>
      </c>
      <c r="H54" s="903">
        <v>0</v>
      </c>
      <c r="I54" s="1132" t="s">
        <v>1279</v>
      </c>
      <c r="J54" s="903">
        <v>1</v>
      </c>
      <c r="K54" s="903">
        <v>21</v>
      </c>
      <c r="L54" s="903">
        <v>1</v>
      </c>
      <c r="M54" s="903">
        <v>4</v>
      </c>
      <c r="N54" s="903" t="s">
        <v>1271</v>
      </c>
      <c r="O54" s="903">
        <v>13</v>
      </c>
      <c r="P54" s="1021">
        <v>923411.28</v>
      </c>
      <c r="Q54" s="1021">
        <v>0</v>
      </c>
      <c r="R54" s="1021">
        <v>923411.28</v>
      </c>
      <c r="S54" s="1021">
        <v>923411.28</v>
      </c>
      <c r="T54" s="1122">
        <v>619427.30000000005</v>
      </c>
      <c r="U54" s="1021">
        <v>553698.52</v>
      </c>
      <c r="V54" s="1021">
        <v>553698.52</v>
      </c>
    </row>
    <row r="55" spans="1:22" x14ac:dyDescent="0.25">
      <c r="A55" s="1088">
        <v>4089100200</v>
      </c>
      <c r="B55" s="903">
        <v>2</v>
      </c>
      <c r="C55" s="903">
        <v>4</v>
      </c>
      <c r="D55" s="903">
        <v>3</v>
      </c>
      <c r="E55" s="903" t="s">
        <v>1269</v>
      </c>
      <c r="F55" s="1127" t="s">
        <v>2225</v>
      </c>
      <c r="G55" s="903" t="s">
        <v>802</v>
      </c>
      <c r="H55" s="903">
        <v>0</v>
      </c>
      <c r="I55" s="1132" t="s">
        <v>1280</v>
      </c>
      <c r="J55" s="903">
        <v>1</v>
      </c>
      <c r="K55" s="903">
        <v>21</v>
      </c>
      <c r="L55" s="903">
        <v>1</v>
      </c>
      <c r="M55" s="903">
        <v>4</v>
      </c>
      <c r="N55" s="903" t="s">
        <v>1271</v>
      </c>
      <c r="O55" s="903">
        <v>13</v>
      </c>
      <c r="P55" s="1021">
        <v>1118632.56</v>
      </c>
      <c r="Q55" s="1021">
        <v>0</v>
      </c>
      <c r="R55" s="1021">
        <v>1118632.56</v>
      </c>
      <c r="S55" s="1021">
        <v>1118632.56</v>
      </c>
      <c r="T55" s="1122">
        <v>793836.79</v>
      </c>
      <c r="U55" s="1021">
        <v>0</v>
      </c>
      <c r="V55" s="1021">
        <v>0</v>
      </c>
    </row>
    <row r="56" spans="1:22" x14ac:dyDescent="0.25">
      <c r="A56" s="1088">
        <v>4089100200</v>
      </c>
      <c r="B56" s="903">
        <v>2</v>
      </c>
      <c r="C56" s="903">
        <v>4</v>
      </c>
      <c r="D56" s="903">
        <v>3</v>
      </c>
      <c r="E56" s="903" t="s">
        <v>1269</v>
      </c>
      <c r="F56" s="1127" t="s">
        <v>2225</v>
      </c>
      <c r="G56" s="903" t="s">
        <v>802</v>
      </c>
      <c r="H56" s="903">
        <v>0</v>
      </c>
      <c r="I56" s="1132" t="s">
        <v>1286</v>
      </c>
      <c r="J56" s="903">
        <v>1</v>
      </c>
      <c r="K56" s="903">
        <v>21</v>
      </c>
      <c r="L56" s="903">
        <v>1</v>
      </c>
      <c r="M56" s="903">
        <v>4</v>
      </c>
      <c r="N56" s="903" t="s">
        <v>1271</v>
      </c>
      <c r="O56" s="903">
        <v>13</v>
      </c>
      <c r="P56" s="1021">
        <v>59889.96</v>
      </c>
      <c r="Q56" s="1021">
        <v>22960.04</v>
      </c>
      <c r="R56" s="1021">
        <v>82850</v>
      </c>
      <c r="S56" s="1021">
        <v>82850</v>
      </c>
      <c r="T56" s="1122">
        <v>77850</v>
      </c>
      <c r="U56" s="1021">
        <v>77850</v>
      </c>
      <c r="V56" s="1021">
        <v>77850</v>
      </c>
    </row>
    <row r="57" spans="1:22" x14ac:dyDescent="0.25">
      <c r="A57" s="1088">
        <v>4089100200</v>
      </c>
      <c r="B57" s="903">
        <v>2</v>
      </c>
      <c r="C57" s="903">
        <v>4</v>
      </c>
      <c r="D57" s="903">
        <v>3</v>
      </c>
      <c r="E57" s="903" t="s">
        <v>1269</v>
      </c>
      <c r="F57" s="1127" t="s">
        <v>2225</v>
      </c>
      <c r="G57" s="903" t="s">
        <v>802</v>
      </c>
      <c r="H57" s="903">
        <v>0</v>
      </c>
      <c r="I57" s="1132" t="s">
        <v>1287</v>
      </c>
      <c r="J57" s="903">
        <v>1</v>
      </c>
      <c r="K57" s="903">
        <v>21</v>
      </c>
      <c r="L57" s="903">
        <v>1</v>
      </c>
      <c r="M57" s="903">
        <v>4</v>
      </c>
      <c r="N57" s="903" t="s">
        <v>1271</v>
      </c>
      <c r="O57" s="903">
        <v>13</v>
      </c>
      <c r="P57" s="1021">
        <v>787106.88</v>
      </c>
      <c r="Q57" s="1021">
        <v>-204976.47</v>
      </c>
      <c r="R57" s="1021">
        <v>582130.41</v>
      </c>
      <c r="S57" s="1021">
        <v>582130.41</v>
      </c>
      <c r="T57" s="1122">
        <v>106739.89</v>
      </c>
      <c r="U57" s="1021">
        <v>106739.89</v>
      </c>
      <c r="V57" s="1021">
        <v>106739.89</v>
      </c>
    </row>
    <row r="58" spans="1:22" x14ac:dyDescent="0.25">
      <c r="A58" s="1088">
        <v>4089100200</v>
      </c>
      <c r="B58" s="903">
        <v>2</v>
      </c>
      <c r="C58" s="903">
        <v>4</v>
      </c>
      <c r="D58" s="903">
        <v>3</v>
      </c>
      <c r="E58" s="903" t="s">
        <v>1269</v>
      </c>
      <c r="F58" s="1127" t="s">
        <v>2225</v>
      </c>
      <c r="G58" s="903" t="s">
        <v>802</v>
      </c>
      <c r="H58" s="903">
        <v>0</v>
      </c>
      <c r="I58" s="1132" t="s">
        <v>1288</v>
      </c>
      <c r="J58" s="903">
        <v>1</v>
      </c>
      <c r="K58" s="903">
        <v>21</v>
      </c>
      <c r="L58" s="903">
        <v>1</v>
      </c>
      <c r="M58" s="903">
        <v>4</v>
      </c>
      <c r="N58" s="903" t="s">
        <v>1271</v>
      </c>
      <c r="O58" s="903">
        <v>13</v>
      </c>
      <c r="P58" s="1021">
        <v>10800</v>
      </c>
      <c r="Q58" s="1021">
        <v>0</v>
      </c>
      <c r="R58" s="1021">
        <v>10800</v>
      </c>
      <c r="S58" s="1021">
        <v>10800</v>
      </c>
      <c r="T58" s="1122">
        <v>0</v>
      </c>
      <c r="U58" s="1021">
        <v>0</v>
      </c>
      <c r="V58" s="1021">
        <v>0</v>
      </c>
    </row>
    <row r="59" spans="1:22" x14ac:dyDescent="0.25">
      <c r="A59" s="1088">
        <v>4089100200</v>
      </c>
      <c r="B59" s="903">
        <v>2</v>
      </c>
      <c r="C59" s="903">
        <v>4</v>
      </c>
      <c r="D59" s="903">
        <v>3</v>
      </c>
      <c r="E59" s="903" t="s">
        <v>1269</v>
      </c>
      <c r="F59" s="1127" t="s">
        <v>2225</v>
      </c>
      <c r="G59" s="903" t="s">
        <v>802</v>
      </c>
      <c r="H59" s="903">
        <v>0</v>
      </c>
      <c r="I59" s="1132" t="s">
        <v>1281</v>
      </c>
      <c r="J59" s="903">
        <v>1</v>
      </c>
      <c r="K59" s="903">
        <v>21</v>
      </c>
      <c r="L59" s="903">
        <v>1</v>
      </c>
      <c r="M59" s="903">
        <v>4</v>
      </c>
      <c r="N59" s="903" t="s">
        <v>1271</v>
      </c>
      <c r="O59" s="903">
        <v>13</v>
      </c>
      <c r="P59" s="1021">
        <v>652704.72</v>
      </c>
      <c r="Q59" s="1021">
        <v>312616.87</v>
      </c>
      <c r="R59" s="1021">
        <v>965321.59</v>
      </c>
      <c r="S59" s="1021">
        <v>965321.59</v>
      </c>
      <c r="T59" s="1122">
        <v>965321.59</v>
      </c>
      <c r="U59" s="1021">
        <v>373186.87</v>
      </c>
      <c r="V59" s="1021">
        <v>373186.87</v>
      </c>
    </row>
    <row r="60" spans="1:22" x14ac:dyDescent="0.25">
      <c r="A60" s="1088">
        <v>4089100200</v>
      </c>
      <c r="B60" s="903">
        <v>2</v>
      </c>
      <c r="C60" s="903">
        <v>4</v>
      </c>
      <c r="D60" s="903">
        <v>3</v>
      </c>
      <c r="E60" s="903" t="s">
        <v>1269</v>
      </c>
      <c r="F60" s="1127" t="s">
        <v>2225</v>
      </c>
      <c r="G60" s="903" t="s">
        <v>802</v>
      </c>
      <c r="H60" s="903">
        <v>0</v>
      </c>
      <c r="I60" s="1132" t="s">
        <v>1282</v>
      </c>
      <c r="J60" s="903">
        <v>1</v>
      </c>
      <c r="K60" s="903">
        <v>21</v>
      </c>
      <c r="L60" s="903">
        <v>1</v>
      </c>
      <c r="M60" s="903">
        <v>4</v>
      </c>
      <c r="N60" s="903" t="s">
        <v>1271</v>
      </c>
      <c r="O60" s="903">
        <v>13</v>
      </c>
      <c r="P60" s="1021">
        <v>589650.6</v>
      </c>
      <c r="Q60" s="1021">
        <v>274022.76</v>
      </c>
      <c r="R60" s="1021">
        <v>863673.36</v>
      </c>
      <c r="S60" s="1021">
        <v>863673.36</v>
      </c>
      <c r="T60" s="1122">
        <v>802641.27</v>
      </c>
      <c r="U60" s="1021">
        <v>802641.27</v>
      </c>
      <c r="V60" s="1021">
        <v>802641.27</v>
      </c>
    </row>
    <row r="61" spans="1:22" x14ac:dyDescent="0.25">
      <c r="A61" s="1088">
        <v>4089100200</v>
      </c>
      <c r="B61" s="903">
        <v>2</v>
      </c>
      <c r="C61" s="903">
        <v>4</v>
      </c>
      <c r="D61" s="903">
        <v>3</v>
      </c>
      <c r="E61" s="903" t="s">
        <v>1269</v>
      </c>
      <c r="F61" s="1127" t="s">
        <v>2225</v>
      </c>
      <c r="G61" s="903" t="s">
        <v>802</v>
      </c>
      <c r="H61" s="903">
        <v>0</v>
      </c>
      <c r="I61" s="1132" t="s">
        <v>1121</v>
      </c>
      <c r="J61" s="903">
        <v>1</v>
      </c>
      <c r="K61" s="903">
        <v>21</v>
      </c>
      <c r="L61" s="903">
        <v>1</v>
      </c>
      <c r="M61" s="903">
        <v>4</v>
      </c>
      <c r="N61" s="903" t="s">
        <v>1271</v>
      </c>
      <c r="O61" s="903">
        <v>13</v>
      </c>
      <c r="P61" s="1021">
        <v>87978.6</v>
      </c>
      <c r="Q61" s="1021">
        <v>-87978.6</v>
      </c>
      <c r="R61" s="1021">
        <v>0</v>
      </c>
      <c r="S61" s="1021">
        <v>0</v>
      </c>
      <c r="T61" s="1122">
        <v>0</v>
      </c>
      <c r="U61" s="1021">
        <v>0</v>
      </c>
      <c r="V61" s="1021">
        <v>0</v>
      </c>
    </row>
    <row r="62" spans="1:22" x14ac:dyDescent="0.25">
      <c r="A62" s="1088">
        <v>4089100200</v>
      </c>
      <c r="B62" s="903">
        <v>2</v>
      </c>
      <c r="C62" s="903">
        <v>4</v>
      </c>
      <c r="D62" s="903">
        <v>3</v>
      </c>
      <c r="E62" s="903" t="s">
        <v>1269</v>
      </c>
      <c r="F62" s="1127" t="s">
        <v>2225</v>
      </c>
      <c r="G62" s="903" t="s">
        <v>802</v>
      </c>
      <c r="H62" s="903">
        <v>0</v>
      </c>
      <c r="I62" s="1132" t="s">
        <v>1127</v>
      </c>
      <c r="J62" s="903">
        <v>1</v>
      </c>
      <c r="K62" s="903">
        <v>21</v>
      </c>
      <c r="L62" s="903">
        <v>1</v>
      </c>
      <c r="M62" s="903">
        <v>4</v>
      </c>
      <c r="N62" s="903" t="s">
        <v>1271</v>
      </c>
      <c r="O62" s="903">
        <v>13</v>
      </c>
      <c r="P62" s="1021">
        <v>12865.08</v>
      </c>
      <c r="Q62" s="1021">
        <v>0</v>
      </c>
      <c r="R62" s="1021">
        <v>12865.08</v>
      </c>
      <c r="S62" s="1021">
        <v>1250</v>
      </c>
      <c r="T62" s="1122">
        <v>1250</v>
      </c>
      <c r="U62" s="1021">
        <v>1250</v>
      </c>
      <c r="V62" s="1021">
        <v>1250</v>
      </c>
    </row>
    <row r="63" spans="1:22" x14ac:dyDescent="0.25">
      <c r="A63" s="1088">
        <v>4089100200</v>
      </c>
      <c r="B63" s="903">
        <v>2</v>
      </c>
      <c r="C63" s="903">
        <v>4</v>
      </c>
      <c r="D63" s="903">
        <v>3</v>
      </c>
      <c r="E63" s="903" t="s">
        <v>1269</v>
      </c>
      <c r="F63" s="1127" t="s">
        <v>2225</v>
      </c>
      <c r="G63" s="903" t="s">
        <v>802</v>
      </c>
      <c r="H63" s="903">
        <v>0</v>
      </c>
      <c r="I63" s="1132" t="s">
        <v>1131</v>
      </c>
      <c r="J63" s="903">
        <v>1</v>
      </c>
      <c r="K63" s="903">
        <v>21</v>
      </c>
      <c r="L63" s="903">
        <v>1</v>
      </c>
      <c r="M63" s="903">
        <v>4</v>
      </c>
      <c r="N63" s="903" t="s">
        <v>1271</v>
      </c>
      <c r="O63" s="903">
        <v>13</v>
      </c>
      <c r="P63" s="1021">
        <v>19378.919999999998</v>
      </c>
      <c r="Q63" s="1021">
        <v>-1859.07</v>
      </c>
      <c r="R63" s="1021">
        <v>17519.849999999999</v>
      </c>
      <c r="S63" s="1021">
        <v>4649.1000000000004</v>
      </c>
      <c r="T63" s="1122">
        <v>4649.1000000000004</v>
      </c>
      <c r="U63" s="1021">
        <v>4649.1000000000004</v>
      </c>
      <c r="V63" s="1021">
        <v>4649.09</v>
      </c>
    </row>
    <row r="64" spans="1:22" x14ac:dyDescent="0.25">
      <c r="A64" s="1088">
        <v>4089100200</v>
      </c>
      <c r="B64" s="903">
        <v>2</v>
      </c>
      <c r="C64" s="903">
        <v>4</v>
      </c>
      <c r="D64" s="903">
        <v>3</v>
      </c>
      <c r="E64" s="903" t="s">
        <v>1269</v>
      </c>
      <c r="F64" s="1127" t="s">
        <v>2225</v>
      </c>
      <c r="G64" s="903" t="s">
        <v>802</v>
      </c>
      <c r="H64" s="903">
        <v>0</v>
      </c>
      <c r="I64" s="1132" t="s">
        <v>1135</v>
      </c>
      <c r="J64" s="903">
        <v>1</v>
      </c>
      <c r="K64" s="903">
        <v>21</v>
      </c>
      <c r="L64" s="903">
        <v>1</v>
      </c>
      <c r="M64" s="903">
        <v>4</v>
      </c>
      <c r="N64" s="903" t="s">
        <v>1271</v>
      </c>
      <c r="O64" s="903">
        <v>13</v>
      </c>
      <c r="P64" s="1021">
        <v>546.96</v>
      </c>
      <c r="Q64" s="1021">
        <v>0</v>
      </c>
      <c r="R64" s="1021">
        <v>546.96</v>
      </c>
      <c r="S64" s="1021">
        <v>0</v>
      </c>
      <c r="T64" s="1122">
        <v>0</v>
      </c>
      <c r="U64" s="1021">
        <v>0</v>
      </c>
      <c r="V64" s="1021">
        <v>0</v>
      </c>
    </row>
    <row r="65" spans="1:22" x14ac:dyDescent="0.25">
      <c r="A65" s="1088">
        <v>4089100200</v>
      </c>
      <c r="B65" s="903">
        <v>2</v>
      </c>
      <c r="C65" s="903">
        <v>4</v>
      </c>
      <c r="D65" s="903">
        <v>3</v>
      </c>
      <c r="E65" s="903" t="s">
        <v>1269</v>
      </c>
      <c r="F65" s="1127" t="s">
        <v>2225</v>
      </c>
      <c r="G65" s="903" t="s">
        <v>802</v>
      </c>
      <c r="H65" s="903">
        <v>0</v>
      </c>
      <c r="I65" s="1132" t="s">
        <v>1137</v>
      </c>
      <c r="J65" s="903">
        <v>1</v>
      </c>
      <c r="K65" s="903">
        <v>21</v>
      </c>
      <c r="L65" s="903">
        <v>1</v>
      </c>
      <c r="M65" s="903">
        <v>4</v>
      </c>
      <c r="N65" s="903" t="s">
        <v>1271</v>
      </c>
      <c r="O65" s="903">
        <v>13</v>
      </c>
      <c r="P65" s="1021">
        <v>1751.52</v>
      </c>
      <c r="Q65" s="1021">
        <v>0</v>
      </c>
      <c r="R65" s="1021">
        <v>1751.52</v>
      </c>
      <c r="S65" s="1021">
        <v>0</v>
      </c>
      <c r="T65" s="1122">
        <v>0</v>
      </c>
      <c r="U65" s="1021">
        <v>0</v>
      </c>
      <c r="V65" s="1021">
        <v>0</v>
      </c>
    </row>
    <row r="66" spans="1:22" x14ac:dyDescent="0.25">
      <c r="A66" s="1088">
        <v>4089100200</v>
      </c>
      <c r="B66" s="903">
        <v>2</v>
      </c>
      <c r="C66" s="903">
        <v>4</v>
      </c>
      <c r="D66" s="903">
        <v>3</v>
      </c>
      <c r="E66" s="903" t="s">
        <v>1269</v>
      </c>
      <c r="F66" s="1127" t="s">
        <v>2225</v>
      </c>
      <c r="G66" s="903" t="s">
        <v>802</v>
      </c>
      <c r="H66" s="903">
        <v>0</v>
      </c>
      <c r="I66" s="1132" t="s">
        <v>1145</v>
      </c>
      <c r="J66" s="903">
        <v>1</v>
      </c>
      <c r="K66" s="903">
        <v>21</v>
      </c>
      <c r="L66" s="903">
        <v>1</v>
      </c>
      <c r="M66" s="903">
        <v>4</v>
      </c>
      <c r="N66" s="903" t="s">
        <v>1271</v>
      </c>
      <c r="O66" s="903">
        <v>13</v>
      </c>
      <c r="P66" s="1021">
        <v>272959.2</v>
      </c>
      <c r="Q66" s="1021">
        <v>-3466.22</v>
      </c>
      <c r="R66" s="1021">
        <v>269492.98</v>
      </c>
      <c r="S66" s="1021">
        <v>195200</v>
      </c>
      <c r="T66" s="1122">
        <v>195200</v>
      </c>
      <c r="U66" s="1021">
        <v>195200</v>
      </c>
      <c r="V66" s="1021">
        <v>195200</v>
      </c>
    </row>
    <row r="67" spans="1:22" x14ac:dyDescent="0.25">
      <c r="A67" s="1088">
        <v>4089100200</v>
      </c>
      <c r="B67" s="903">
        <v>2</v>
      </c>
      <c r="C67" s="903">
        <v>4</v>
      </c>
      <c r="D67" s="903">
        <v>3</v>
      </c>
      <c r="E67" s="903" t="s">
        <v>1269</v>
      </c>
      <c r="F67" s="1127" t="s">
        <v>2225</v>
      </c>
      <c r="G67" s="903" t="s">
        <v>802</v>
      </c>
      <c r="H67" s="903">
        <v>0</v>
      </c>
      <c r="I67" s="1132" t="s">
        <v>1149</v>
      </c>
      <c r="J67" s="903">
        <v>1</v>
      </c>
      <c r="K67" s="903">
        <v>21</v>
      </c>
      <c r="L67" s="903">
        <v>1</v>
      </c>
      <c r="M67" s="903">
        <v>4</v>
      </c>
      <c r="N67" s="903" t="s">
        <v>1271</v>
      </c>
      <c r="O67" s="903">
        <v>13</v>
      </c>
      <c r="P67" s="1021">
        <v>12323.04</v>
      </c>
      <c r="Q67" s="1021">
        <v>59676.959999999999</v>
      </c>
      <c r="R67" s="1021">
        <v>72000</v>
      </c>
      <c r="S67" s="1021">
        <v>72000</v>
      </c>
      <c r="T67" s="1122">
        <v>72000</v>
      </c>
      <c r="U67" s="1021">
        <v>72000</v>
      </c>
      <c r="V67" s="1021">
        <v>72000</v>
      </c>
    </row>
    <row r="68" spans="1:22" x14ac:dyDescent="0.25">
      <c r="A68" s="1088">
        <v>4089100200</v>
      </c>
      <c r="B68" s="903">
        <v>2</v>
      </c>
      <c r="C68" s="903">
        <v>4</v>
      </c>
      <c r="D68" s="903">
        <v>3</v>
      </c>
      <c r="E68" s="903" t="s">
        <v>1269</v>
      </c>
      <c r="F68" s="1127" t="s">
        <v>2225</v>
      </c>
      <c r="G68" s="903" t="s">
        <v>802</v>
      </c>
      <c r="H68" s="903">
        <v>0</v>
      </c>
      <c r="I68" s="1132" t="s">
        <v>1153</v>
      </c>
      <c r="J68" s="903">
        <v>1</v>
      </c>
      <c r="K68" s="903">
        <v>21</v>
      </c>
      <c r="L68" s="903">
        <v>1</v>
      </c>
      <c r="M68" s="903">
        <v>4</v>
      </c>
      <c r="N68" s="903" t="s">
        <v>1271</v>
      </c>
      <c r="O68" s="903">
        <v>13</v>
      </c>
      <c r="P68" s="1021">
        <v>11743.08</v>
      </c>
      <c r="Q68" s="1021">
        <v>0</v>
      </c>
      <c r="R68" s="1021">
        <v>11743.08</v>
      </c>
      <c r="S68" s="1021">
        <v>1360</v>
      </c>
      <c r="T68" s="1122">
        <v>1360</v>
      </c>
      <c r="U68" s="1021">
        <v>1360</v>
      </c>
      <c r="V68" s="1021">
        <v>1360</v>
      </c>
    </row>
    <row r="69" spans="1:22" x14ac:dyDescent="0.25">
      <c r="A69" s="1088">
        <v>4089100200</v>
      </c>
      <c r="B69" s="903">
        <v>2</v>
      </c>
      <c r="C69" s="903">
        <v>4</v>
      </c>
      <c r="D69" s="903">
        <v>3</v>
      </c>
      <c r="E69" s="903" t="s">
        <v>1269</v>
      </c>
      <c r="F69" s="1127" t="s">
        <v>2225</v>
      </c>
      <c r="G69" s="903" t="s">
        <v>802</v>
      </c>
      <c r="H69" s="903">
        <v>0</v>
      </c>
      <c r="I69" s="1132" t="s">
        <v>1155</v>
      </c>
      <c r="J69" s="903">
        <v>1</v>
      </c>
      <c r="K69" s="903">
        <v>21</v>
      </c>
      <c r="L69" s="903">
        <v>1</v>
      </c>
      <c r="M69" s="903">
        <v>4</v>
      </c>
      <c r="N69" s="903" t="s">
        <v>1271</v>
      </c>
      <c r="O69" s="903">
        <v>13</v>
      </c>
      <c r="P69" s="1021">
        <v>1998.6</v>
      </c>
      <c r="Q69" s="1021">
        <v>0</v>
      </c>
      <c r="R69" s="1021">
        <v>1998.6</v>
      </c>
      <c r="S69" s="1021">
        <v>1049.1400000000001</v>
      </c>
      <c r="T69" s="1122">
        <v>1049.1400000000001</v>
      </c>
      <c r="U69" s="1021">
        <v>1049.1400000000001</v>
      </c>
      <c r="V69" s="1021">
        <v>1049.1400000000001</v>
      </c>
    </row>
    <row r="70" spans="1:22" x14ac:dyDescent="0.25">
      <c r="A70" s="1088">
        <v>4089100200</v>
      </c>
      <c r="B70" s="903">
        <v>2</v>
      </c>
      <c r="C70" s="903">
        <v>4</v>
      </c>
      <c r="D70" s="903">
        <v>3</v>
      </c>
      <c r="E70" s="903" t="s">
        <v>1269</v>
      </c>
      <c r="F70" s="1127" t="s">
        <v>2225</v>
      </c>
      <c r="G70" s="903" t="s">
        <v>802</v>
      </c>
      <c r="H70" s="903">
        <v>0</v>
      </c>
      <c r="I70" s="1132" t="s">
        <v>1161</v>
      </c>
      <c r="J70" s="903">
        <v>1</v>
      </c>
      <c r="K70" s="903">
        <v>21</v>
      </c>
      <c r="L70" s="903">
        <v>1</v>
      </c>
      <c r="M70" s="903">
        <v>4</v>
      </c>
      <c r="N70" s="903" t="s">
        <v>1271</v>
      </c>
      <c r="O70" s="903">
        <v>13</v>
      </c>
      <c r="P70" s="1021">
        <v>439165.2</v>
      </c>
      <c r="Q70" s="1021">
        <v>0</v>
      </c>
      <c r="R70" s="1021">
        <v>439165.2</v>
      </c>
      <c r="S70" s="1021">
        <v>298387.21000000002</v>
      </c>
      <c r="T70" s="1122">
        <v>298387.21000000002</v>
      </c>
      <c r="U70" s="1021">
        <v>298387.21000000002</v>
      </c>
      <c r="V70" s="1021">
        <v>298387.21000000002</v>
      </c>
    </row>
    <row r="71" spans="1:22" x14ac:dyDescent="0.25">
      <c r="A71" s="1088">
        <v>4089100200</v>
      </c>
      <c r="B71" s="903">
        <v>2</v>
      </c>
      <c r="C71" s="903">
        <v>4</v>
      </c>
      <c r="D71" s="903">
        <v>3</v>
      </c>
      <c r="E71" s="903" t="s">
        <v>1269</v>
      </c>
      <c r="F71" s="1127" t="s">
        <v>2225</v>
      </c>
      <c r="G71" s="903" t="s">
        <v>802</v>
      </c>
      <c r="H71" s="903">
        <v>0</v>
      </c>
      <c r="I71" s="1132" t="s">
        <v>1163</v>
      </c>
      <c r="J71" s="903">
        <v>1</v>
      </c>
      <c r="K71" s="903">
        <v>21</v>
      </c>
      <c r="L71" s="903">
        <v>1</v>
      </c>
      <c r="M71" s="903">
        <v>4</v>
      </c>
      <c r="N71" s="903" t="s">
        <v>1271</v>
      </c>
      <c r="O71" s="903">
        <v>13</v>
      </c>
      <c r="P71" s="1021">
        <v>48264.959999999999</v>
      </c>
      <c r="Q71" s="1021">
        <v>0</v>
      </c>
      <c r="R71" s="1021">
        <v>48264.959999999999</v>
      </c>
      <c r="S71" s="1021">
        <v>19690.64</v>
      </c>
      <c r="T71" s="1122">
        <v>19690.64</v>
      </c>
      <c r="U71" s="1021">
        <v>19690.64</v>
      </c>
      <c r="V71" s="1021">
        <v>19690.64</v>
      </c>
    </row>
    <row r="72" spans="1:22" x14ac:dyDescent="0.25">
      <c r="A72" s="1088">
        <v>4089100200</v>
      </c>
      <c r="B72" s="903">
        <v>2</v>
      </c>
      <c r="C72" s="903">
        <v>4</v>
      </c>
      <c r="D72" s="903">
        <v>3</v>
      </c>
      <c r="E72" s="903" t="s">
        <v>1269</v>
      </c>
      <c r="F72" s="1127" t="s">
        <v>2225</v>
      </c>
      <c r="G72" s="903" t="s">
        <v>802</v>
      </c>
      <c r="H72" s="903">
        <v>0</v>
      </c>
      <c r="I72" s="1132" t="s">
        <v>1165</v>
      </c>
      <c r="J72" s="903">
        <v>1</v>
      </c>
      <c r="K72" s="903">
        <v>21</v>
      </c>
      <c r="L72" s="903">
        <v>1</v>
      </c>
      <c r="M72" s="903">
        <v>4</v>
      </c>
      <c r="N72" s="903" t="s">
        <v>1271</v>
      </c>
      <c r="O72" s="903">
        <v>13</v>
      </c>
      <c r="P72" s="1021">
        <v>149879.16</v>
      </c>
      <c r="Q72" s="1021">
        <v>0</v>
      </c>
      <c r="R72" s="1021">
        <v>149879.16</v>
      </c>
      <c r="S72" s="1021">
        <v>95941.71</v>
      </c>
      <c r="T72" s="1122">
        <v>95941.71</v>
      </c>
      <c r="U72" s="1021">
        <v>95941.71</v>
      </c>
      <c r="V72" s="1021">
        <v>95941.71</v>
      </c>
    </row>
    <row r="73" spans="1:22" x14ac:dyDescent="0.25">
      <c r="A73" s="1088">
        <v>4089100200</v>
      </c>
      <c r="B73" s="903">
        <v>2</v>
      </c>
      <c r="C73" s="903">
        <v>4</v>
      </c>
      <c r="D73" s="903">
        <v>3</v>
      </c>
      <c r="E73" s="903" t="s">
        <v>1269</v>
      </c>
      <c r="F73" s="1127" t="s">
        <v>2225</v>
      </c>
      <c r="G73" s="903" t="s">
        <v>802</v>
      </c>
      <c r="H73" s="903">
        <v>0</v>
      </c>
      <c r="I73" s="1132" t="s">
        <v>1167</v>
      </c>
      <c r="J73" s="903">
        <v>1</v>
      </c>
      <c r="K73" s="903">
        <v>21</v>
      </c>
      <c r="L73" s="903">
        <v>1</v>
      </c>
      <c r="M73" s="903">
        <v>4</v>
      </c>
      <c r="N73" s="903" t="s">
        <v>1271</v>
      </c>
      <c r="O73" s="903">
        <v>13</v>
      </c>
      <c r="P73" s="1021">
        <v>33748.32</v>
      </c>
      <c r="Q73" s="1021">
        <v>0</v>
      </c>
      <c r="R73" s="1021">
        <v>33748.32</v>
      </c>
      <c r="S73" s="1021">
        <v>0</v>
      </c>
      <c r="T73" s="1122">
        <v>0</v>
      </c>
      <c r="U73" s="1021">
        <v>0</v>
      </c>
      <c r="V73" s="1021">
        <v>0</v>
      </c>
    </row>
    <row r="74" spans="1:22" x14ac:dyDescent="0.25">
      <c r="A74" s="1088">
        <v>4089100200</v>
      </c>
      <c r="B74" s="903">
        <v>2</v>
      </c>
      <c r="C74" s="903">
        <v>4</v>
      </c>
      <c r="D74" s="903">
        <v>3</v>
      </c>
      <c r="E74" s="903" t="s">
        <v>1269</v>
      </c>
      <c r="F74" s="1127" t="s">
        <v>2225</v>
      </c>
      <c r="G74" s="903" t="s">
        <v>802</v>
      </c>
      <c r="H74" s="903">
        <v>0</v>
      </c>
      <c r="I74" s="1132" t="s">
        <v>1169</v>
      </c>
      <c r="J74" s="903">
        <v>1</v>
      </c>
      <c r="K74" s="903">
        <v>21</v>
      </c>
      <c r="L74" s="903">
        <v>1</v>
      </c>
      <c r="M74" s="903">
        <v>4</v>
      </c>
      <c r="N74" s="903" t="s">
        <v>1271</v>
      </c>
      <c r="O74" s="903">
        <v>13</v>
      </c>
      <c r="P74" s="1021">
        <v>188064.48</v>
      </c>
      <c r="Q74" s="1021">
        <v>0</v>
      </c>
      <c r="R74" s="1021">
        <v>188064.48</v>
      </c>
      <c r="S74" s="1021">
        <v>138545.18</v>
      </c>
      <c r="T74" s="1122">
        <v>138545.18</v>
      </c>
      <c r="U74" s="1021">
        <v>138545.18</v>
      </c>
      <c r="V74" s="1021">
        <v>138545.18</v>
      </c>
    </row>
    <row r="75" spans="1:22" x14ac:dyDescent="0.25">
      <c r="A75" s="1088">
        <v>4089100200</v>
      </c>
      <c r="B75" s="903">
        <v>2</v>
      </c>
      <c r="C75" s="903">
        <v>4</v>
      </c>
      <c r="D75" s="903">
        <v>3</v>
      </c>
      <c r="E75" s="903" t="s">
        <v>1269</v>
      </c>
      <c r="F75" s="1127" t="s">
        <v>2225</v>
      </c>
      <c r="G75" s="903" t="s">
        <v>802</v>
      </c>
      <c r="H75" s="903">
        <v>0</v>
      </c>
      <c r="I75" s="1132" t="s">
        <v>1181</v>
      </c>
      <c r="J75" s="903">
        <v>1</v>
      </c>
      <c r="K75" s="903">
        <v>21</v>
      </c>
      <c r="L75" s="903">
        <v>1</v>
      </c>
      <c r="M75" s="903">
        <v>4</v>
      </c>
      <c r="N75" s="903" t="s">
        <v>1271</v>
      </c>
      <c r="O75" s="903">
        <v>13</v>
      </c>
      <c r="P75" s="1021">
        <v>64572</v>
      </c>
      <c r="Q75" s="1021">
        <v>0</v>
      </c>
      <c r="R75" s="1021">
        <v>64572</v>
      </c>
      <c r="S75" s="1021">
        <v>45060.34</v>
      </c>
      <c r="T75" s="1122">
        <v>45060.34</v>
      </c>
      <c r="U75" s="1021">
        <v>39861.74</v>
      </c>
      <c r="V75" s="1021">
        <v>39861.74</v>
      </c>
    </row>
    <row r="76" spans="1:22" x14ac:dyDescent="0.25">
      <c r="A76" s="1088">
        <v>4089100200</v>
      </c>
      <c r="B76" s="903">
        <v>2</v>
      </c>
      <c r="C76" s="903">
        <v>4</v>
      </c>
      <c r="D76" s="903">
        <v>3</v>
      </c>
      <c r="E76" s="903" t="s">
        <v>1269</v>
      </c>
      <c r="F76" s="1127" t="s">
        <v>2225</v>
      </c>
      <c r="G76" s="903" t="s">
        <v>802</v>
      </c>
      <c r="H76" s="903">
        <v>0</v>
      </c>
      <c r="I76" s="1132" t="s">
        <v>1183</v>
      </c>
      <c r="J76" s="903">
        <v>1</v>
      </c>
      <c r="K76" s="903">
        <v>21</v>
      </c>
      <c r="L76" s="903">
        <v>1</v>
      </c>
      <c r="M76" s="903">
        <v>4</v>
      </c>
      <c r="N76" s="903" t="s">
        <v>1271</v>
      </c>
      <c r="O76" s="903">
        <v>13</v>
      </c>
      <c r="P76" s="1021">
        <v>17017.2</v>
      </c>
      <c r="Q76" s="1021">
        <v>0</v>
      </c>
      <c r="R76" s="1021">
        <v>17017.2</v>
      </c>
      <c r="S76" s="1021">
        <v>0</v>
      </c>
      <c r="T76" s="1122">
        <v>0</v>
      </c>
      <c r="U76" s="1021">
        <v>0</v>
      </c>
      <c r="V76" s="1021">
        <v>0</v>
      </c>
    </row>
    <row r="77" spans="1:22" x14ac:dyDescent="0.25">
      <c r="A77" s="1088">
        <v>4089100200</v>
      </c>
      <c r="B77" s="903">
        <v>2</v>
      </c>
      <c r="C77" s="903">
        <v>4</v>
      </c>
      <c r="D77" s="903">
        <v>3</v>
      </c>
      <c r="E77" s="903" t="s">
        <v>1269</v>
      </c>
      <c r="F77" s="1127" t="s">
        <v>2225</v>
      </c>
      <c r="G77" s="903" t="s">
        <v>802</v>
      </c>
      <c r="H77" s="903">
        <v>0</v>
      </c>
      <c r="I77" s="1132" t="s">
        <v>1189</v>
      </c>
      <c r="J77" s="903">
        <v>1</v>
      </c>
      <c r="K77" s="903">
        <v>21</v>
      </c>
      <c r="L77" s="903">
        <v>1</v>
      </c>
      <c r="M77" s="903">
        <v>4</v>
      </c>
      <c r="N77" s="903" t="s">
        <v>1271</v>
      </c>
      <c r="O77" s="903">
        <v>13</v>
      </c>
      <c r="P77" s="1021">
        <v>402784.56</v>
      </c>
      <c r="Q77" s="1021">
        <v>-5000</v>
      </c>
      <c r="R77" s="1021">
        <v>397784.56</v>
      </c>
      <c r="S77" s="1021">
        <v>380265.9</v>
      </c>
      <c r="T77" s="1122">
        <v>276544.03999999998</v>
      </c>
      <c r="U77" s="1021">
        <v>276544.03999999998</v>
      </c>
      <c r="V77" s="1021">
        <v>276544.03999999998</v>
      </c>
    </row>
    <row r="78" spans="1:22" x14ac:dyDescent="0.25">
      <c r="A78" s="1088">
        <v>4089100200</v>
      </c>
      <c r="B78" s="903">
        <v>2</v>
      </c>
      <c r="C78" s="903">
        <v>4</v>
      </c>
      <c r="D78" s="903">
        <v>3</v>
      </c>
      <c r="E78" s="903" t="s">
        <v>1269</v>
      </c>
      <c r="F78" s="1127" t="s">
        <v>2225</v>
      </c>
      <c r="G78" s="903" t="s">
        <v>802</v>
      </c>
      <c r="H78" s="903">
        <v>0</v>
      </c>
      <c r="I78" s="1132" t="s">
        <v>1203</v>
      </c>
      <c r="J78" s="903">
        <v>1</v>
      </c>
      <c r="K78" s="903">
        <v>21</v>
      </c>
      <c r="L78" s="903">
        <v>1</v>
      </c>
      <c r="M78" s="903">
        <v>4</v>
      </c>
      <c r="N78" s="903" t="s">
        <v>1271</v>
      </c>
      <c r="O78" s="903">
        <v>13</v>
      </c>
      <c r="P78" s="1021">
        <v>191409</v>
      </c>
      <c r="Q78" s="1021">
        <v>-5299.6</v>
      </c>
      <c r="R78" s="1021">
        <v>186109.4</v>
      </c>
      <c r="S78" s="1021">
        <v>120442.96</v>
      </c>
      <c r="T78" s="1122">
        <v>120442.96</v>
      </c>
      <c r="U78" s="1021">
        <v>120442.96</v>
      </c>
      <c r="V78" s="1021">
        <v>120442.96</v>
      </c>
    </row>
    <row r="79" spans="1:22" x14ac:dyDescent="0.25">
      <c r="A79" s="1088">
        <v>4089100200</v>
      </c>
      <c r="B79" s="903">
        <v>2</v>
      </c>
      <c r="C79" s="903">
        <v>4</v>
      </c>
      <c r="D79" s="903">
        <v>3</v>
      </c>
      <c r="E79" s="903" t="s">
        <v>1269</v>
      </c>
      <c r="F79" s="1127" t="s">
        <v>2225</v>
      </c>
      <c r="G79" s="903" t="s">
        <v>802</v>
      </c>
      <c r="H79" s="903">
        <v>0</v>
      </c>
      <c r="I79" s="1132" t="s">
        <v>1210</v>
      </c>
      <c r="J79" s="903">
        <v>1</v>
      </c>
      <c r="K79" s="903">
        <v>21</v>
      </c>
      <c r="L79" s="903">
        <v>1</v>
      </c>
      <c r="M79" s="903">
        <v>4</v>
      </c>
      <c r="N79" s="903" t="s">
        <v>1271</v>
      </c>
      <c r="O79" s="903">
        <v>13</v>
      </c>
      <c r="P79" s="1021">
        <v>44643.72</v>
      </c>
      <c r="Q79" s="1021">
        <v>38829.019999999997</v>
      </c>
      <c r="R79" s="1021">
        <v>83472.740000000005</v>
      </c>
      <c r="S79" s="1021">
        <v>83472.740000000005</v>
      </c>
      <c r="T79" s="1122">
        <v>83472.740000000005</v>
      </c>
      <c r="U79" s="1021">
        <v>83472.740000000005</v>
      </c>
      <c r="V79" s="1021">
        <v>83472.740000000005</v>
      </c>
    </row>
    <row r="80" spans="1:22" x14ac:dyDescent="0.25">
      <c r="A80" s="1088">
        <v>4089100200</v>
      </c>
      <c r="B80" s="903">
        <v>2</v>
      </c>
      <c r="C80" s="903">
        <v>4</v>
      </c>
      <c r="D80" s="903">
        <v>3</v>
      </c>
      <c r="E80" s="903" t="s">
        <v>1269</v>
      </c>
      <c r="F80" s="1127" t="s">
        <v>2225</v>
      </c>
      <c r="G80" s="903" t="s">
        <v>802</v>
      </c>
      <c r="H80" s="903">
        <v>0</v>
      </c>
      <c r="I80" s="1132" t="s">
        <v>1212</v>
      </c>
      <c r="J80" s="903">
        <v>1</v>
      </c>
      <c r="K80" s="903">
        <v>21</v>
      </c>
      <c r="L80" s="903">
        <v>1</v>
      </c>
      <c r="M80" s="903">
        <v>4</v>
      </c>
      <c r="N80" s="903" t="s">
        <v>1271</v>
      </c>
      <c r="O80" s="903">
        <v>13</v>
      </c>
      <c r="P80" s="1021">
        <v>13807.56</v>
      </c>
      <c r="Q80" s="1021">
        <v>5000</v>
      </c>
      <c r="R80" s="1021">
        <v>18807.560000000001</v>
      </c>
      <c r="S80" s="1021">
        <v>15900</v>
      </c>
      <c r="T80" s="1122">
        <v>15900</v>
      </c>
      <c r="U80" s="1021">
        <v>15900</v>
      </c>
      <c r="V80" s="1021">
        <v>15900</v>
      </c>
    </row>
    <row r="81" spans="1:22" x14ac:dyDescent="0.25">
      <c r="A81" s="1088">
        <v>4089100200</v>
      </c>
      <c r="B81" s="903">
        <v>2</v>
      </c>
      <c r="C81" s="903">
        <v>4</v>
      </c>
      <c r="D81" s="903">
        <v>3</v>
      </c>
      <c r="E81" s="903" t="s">
        <v>1269</v>
      </c>
      <c r="F81" s="1127" t="s">
        <v>2225</v>
      </c>
      <c r="G81" s="903" t="s">
        <v>802</v>
      </c>
      <c r="H81" s="903">
        <v>0</v>
      </c>
      <c r="I81" s="1132" t="s">
        <v>1216</v>
      </c>
      <c r="J81" s="903">
        <v>1</v>
      </c>
      <c r="K81" s="903">
        <v>21</v>
      </c>
      <c r="L81" s="903">
        <v>1</v>
      </c>
      <c r="M81" s="903">
        <v>4</v>
      </c>
      <c r="N81" s="903" t="s">
        <v>1271</v>
      </c>
      <c r="O81" s="903">
        <v>13</v>
      </c>
      <c r="P81" s="1021">
        <v>29768.880000000001</v>
      </c>
      <c r="Q81" s="1021">
        <v>-9500.01</v>
      </c>
      <c r="R81" s="1021">
        <v>20268.87</v>
      </c>
      <c r="S81" s="1021">
        <v>5384.84</v>
      </c>
      <c r="T81" s="1122">
        <v>5384.84</v>
      </c>
      <c r="U81" s="1021">
        <v>5384.84</v>
      </c>
      <c r="V81" s="1021">
        <v>5384.84</v>
      </c>
    </row>
    <row r="82" spans="1:22" x14ac:dyDescent="0.25">
      <c r="A82" s="1088">
        <v>4089100200</v>
      </c>
      <c r="B82" s="903">
        <v>2</v>
      </c>
      <c r="C82" s="903">
        <v>4</v>
      </c>
      <c r="D82" s="903">
        <v>3</v>
      </c>
      <c r="E82" s="903" t="s">
        <v>1269</v>
      </c>
      <c r="F82" s="1127" t="s">
        <v>2225</v>
      </c>
      <c r="G82" s="903" t="s">
        <v>802</v>
      </c>
      <c r="H82" s="903">
        <v>0</v>
      </c>
      <c r="I82" s="1132" t="s">
        <v>1218</v>
      </c>
      <c r="J82" s="903">
        <v>1</v>
      </c>
      <c r="K82" s="903">
        <v>21</v>
      </c>
      <c r="L82" s="903">
        <v>1</v>
      </c>
      <c r="M82" s="903">
        <v>4</v>
      </c>
      <c r="N82" s="903" t="s">
        <v>1271</v>
      </c>
      <c r="O82" s="903">
        <v>13</v>
      </c>
      <c r="P82" s="1021">
        <v>217617.12</v>
      </c>
      <c r="Q82" s="1021">
        <v>0</v>
      </c>
      <c r="R82" s="1021">
        <v>217617.12</v>
      </c>
      <c r="S82" s="1021">
        <v>62100</v>
      </c>
      <c r="T82" s="1122">
        <v>62100</v>
      </c>
      <c r="U82" s="1021">
        <v>51060</v>
      </c>
      <c r="V82" s="1021">
        <v>51060</v>
      </c>
    </row>
    <row r="83" spans="1:22" x14ac:dyDescent="0.25">
      <c r="A83" s="1088">
        <v>4089100200</v>
      </c>
      <c r="B83" s="903">
        <v>2</v>
      </c>
      <c r="C83" s="903">
        <v>4</v>
      </c>
      <c r="D83" s="903">
        <v>3</v>
      </c>
      <c r="E83" s="903" t="s">
        <v>1269</v>
      </c>
      <c r="F83" s="1127" t="s">
        <v>2225</v>
      </c>
      <c r="G83" s="903" t="s">
        <v>802</v>
      </c>
      <c r="H83" s="903">
        <v>0</v>
      </c>
      <c r="I83" s="1132" t="s">
        <v>1226</v>
      </c>
      <c r="J83" s="903">
        <v>1</v>
      </c>
      <c r="K83" s="903">
        <v>21</v>
      </c>
      <c r="L83" s="903">
        <v>1</v>
      </c>
      <c r="M83" s="903">
        <v>4</v>
      </c>
      <c r="N83" s="903" t="s">
        <v>1271</v>
      </c>
      <c r="O83" s="903">
        <v>13</v>
      </c>
      <c r="P83" s="1021">
        <v>227220</v>
      </c>
      <c r="Q83" s="1021">
        <v>-46353.02</v>
      </c>
      <c r="R83" s="1021">
        <v>180866.98</v>
      </c>
      <c r="S83" s="1021">
        <v>87000</v>
      </c>
      <c r="T83" s="1122">
        <v>87000</v>
      </c>
      <c r="U83" s="1021">
        <v>87000</v>
      </c>
      <c r="V83" s="1021">
        <v>87000</v>
      </c>
    </row>
    <row r="84" spans="1:22" x14ac:dyDescent="0.25">
      <c r="A84" s="1088">
        <v>4089100200</v>
      </c>
      <c r="B84" s="903">
        <v>2</v>
      </c>
      <c r="C84" s="903">
        <v>4</v>
      </c>
      <c r="D84" s="903">
        <v>3</v>
      </c>
      <c r="E84" s="903" t="s">
        <v>1269</v>
      </c>
      <c r="F84" s="1127" t="s">
        <v>2225</v>
      </c>
      <c r="G84" s="903" t="s">
        <v>802</v>
      </c>
      <c r="H84" s="903">
        <v>0</v>
      </c>
      <c r="I84" s="1132" t="s">
        <v>1228</v>
      </c>
      <c r="J84" s="903">
        <v>1</v>
      </c>
      <c r="K84" s="903">
        <v>21</v>
      </c>
      <c r="L84" s="903">
        <v>1</v>
      </c>
      <c r="M84" s="903">
        <v>4</v>
      </c>
      <c r="N84" s="903" t="s">
        <v>1271</v>
      </c>
      <c r="O84" s="903">
        <v>13</v>
      </c>
      <c r="P84" s="1021">
        <v>22050</v>
      </c>
      <c r="Q84" s="1021">
        <v>0</v>
      </c>
      <c r="R84" s="1021">
        <v>22050</v>
      </c>
      <c r="S84" s="1021">
        <v>18450</v>
      </c>
      <c r="T84" s="1122">
        <v>18450</v>
      </c>
      <c r="U84" s="1021">
        <v>18450</v>
      </c>
      <c r="V84" s="1021">
        <v>18450</v>
      </c>
    </row>
    <row r="85" spans="1:22" x14ac:dyDescent="0.25">
      <c r="A85" s="1088">
        <v>4089100200</v>
      </c>
      <c r="B85" s="903">
        <v>2</v>
      </c>
      <c r="C85" s="903">
        <v>4</v>
      </c>
      <c r="D85" s="903">
        <v>3</v>
      </c>
      <c r="E85" s="903" t="s">
        <v>1269</v>
      </c>
      <c r="F85" s="1127" t="s">
        <v>2225</v>
      </c>
      <c r="G85" s="903" t="s">
        <v>802</v>
      </c>
      <c r="H85" s="903">
        <v>0</v>
      </c>
      <c r="I85" s="1132" t="s">
        <v>1284</v>
      </c>
      <c r="J85" s="903">
        <v>1</v>
      </c>
      <c r="K85" s="903">
        <v>21</v>
      </c>
      <c r="L85" s="903">
        <v>1</v>
      </c>
      <c r="M85" s="903">
        <v>4</v>
      </c>
      <c r="N85" s="903" t="s">
        <v>1271</v>
      </c>
      <c r="O85" s="903">
        <v>13</v>
      </c>
      <c r="P85" s="1021">
        <v>234.48</v>
      </c>
      <c r="Q85" s="1021">
        <v>0</v>
      </c>
      <c r="R85" s="1021">
        <v>234.48</v>
      </c>
      <c r="S85" s="1021">
        <v>0</v>
      </c>
      <c r="T85" s="1122">
        <v>0</v>
      </c>
      <c r="U85" s="1021">
        <v>0</v>
      </c>
      <c r="V85" s="1021">
        <v>0</v>
      </c>
    </row>
    <row r="86" spans="1:22" x14ac:dyDescent="0.25">
      <c r="A86" s="1088">
        <v>4089100200</v>
      </c>
      <c r="B86" s="903">
        <v>2</v>
      </c>
      <c r="C86" s="903">
        <v>4</v>
      </c>
      <c r="D86" s="903">
        <v>3</v>
      </c>
      <c r="E86" s="903" t="s">
        <v>1269</v>
      </c>
      <c r="F86" s="1127" t="s">
        <v>2225</v>
      </c>
      <c r="G86" s="903" t="s">
        <v>802</v>
      </c>
      <c r="H86" s="903">
        <v>0</v>
      </c>
      <c r="I86" s="1132" t="s">
        <v>1233</v>
      </c>
      <c r="J86" s="903">
        <v>1</v>
      </c>
      <c r="K86" s="903">
        <v>21</v>
      </c>
      <c r="L86" s="903">
        <v>1</v>
      </c>
      <c r="M86" s="903">
        <v>4</v>
      </c>
      <c r="N86" s="903" t="s">
        <v>1271</v>
      </c>
      <c r="O86" s="903">
        <v>13</v>
      </c>
      <c r="P86" s="1021">
        <v>6492.36</v>
      </c>
      <c r="Q86" s="1021">
        <v>0</v>
      </c>
      <c r="R86" s="1021">
        <v>6492.36</v>
      </c>
      <c r="S86" s="1021">
        <v>3057.23</v>
      </c>
      <c r="T86" s="1122">
        <v>3057.23</v>
      </c>
      <c r="U86" s="1021">
        <v>3057.23</v>
      </c>
      <c r="V86" s="1021">
        <v>3057.23</v>
      </c>
    </row>
    <row r="87" spans="1:22" x14ac:dyDescent="0.25">
      <c r="A87" s="1088">
        <v>4089100200</v>
      </c>
      <c r="B87" s="903">
        <v>2</v>
      </c>
      <c r="C87" s="903">
        <v>4</v>
      </c>
      <c r="D87" s="903">
        <v>3</v>
      </c>
      <c r="E87" s="903" t="s">
        <v>1269</v>
      </c>
      <c r="F87" s="1127" t="s">
        <v>2225</v>
      </c>
      <c r="G87" s="903" t="s">
        <v>802</v>
      </c>
      <c r="H87" s="903">
        <v>0</v>
      </c>
      <c r="I87" s="1132" t="s">
        <v>1238</v>
      </c>
      <c r="J87" s="903">
        <v>1</v>
      </c>
      <c r="K87" s="903">
        <v>21</v>
      </c>
      <c r="L87" s="903">
        <v>1</v>
      </c>
      <c r="M87" s="903">
        <v>4</v>
      </c>
      <c r="N87" s="903" t="s">
        <v>1271</v>
      </c>
      <c r="O87" s="903">
        <v>13</v>
      </c>
      <c r="P87" s="1021">
        <v>87224.4</v>
      </c>
      <c r="Q87" s="1021">
        <v>0</v>
      </c>
      <c r="R87" s="1021">
        <v>87224.4</v>
      </c>
      <c r="S87" s="1021">
        <v>3815.04</v>
      </c>
      <c r="T87" s="1122">
        <v>3815.04</v>
      </c>
      <c r="U87" s="1021">
        <v>3815.04</v>
      </c>
      <c r="V87" s="1021">
        <v>3815.04</v>
      </c>
    </row>
    <row r="88" spans="1:22" x14ac:dyDescent="0.25">
      <c r="A88" s="1088">
        <v>4089100200</v>
      </c>
      <c r="B88" s="903">
        <v>2</v>
      </c>
      <c r="C88" s="903">
        <v>4</v>
      </c>
      <c r="D88" s="903">
        <v>3</v>
      </c>
      <c r="E88" s="903" t="s">
        <v>1269</v>
      </c>
      <c r="F88" s="1127" t="s">
        <v>2225</v>
      </c>
      <c r="G88" s="903" t="s">
        <v>802</v>
      </c>
      <c r="H88" s="903">
        <v>0</v>
      </c>
      <c r="I88" s="1132" t="s">
        <v>1240</v>
      </c>
      <c r="J88" s="903">
        <v>1</v>
      </c>
      <c r="K88" s="903">
        <v>21</v>
      </c>
      <c r="L88" s="903">
        <v>1</v>
      </c>
      <c r="M88" s="903">
        <v>4</v>
      </c>
      <c r="N88" s="903" t="s">
        <v>1271</v>
      </c>
      <c r="O88" s="903">
        <v>13</v>
      </c>
      <c r="P88" s="1021">
        <v>7500</v>
      </c>
      <c r="Q88" s="1021">
        <v>0</v>
      </c>
      <c r="R88" s="1021">
        <v>7500</v>
      </c>
      <c r="S88" s="1021">
        <v>7500</v>
      </c>
      <c r="T88" s="1122">
        <v>7500</v>
      </c>
      <c r="U88" s="1021">
        <v>7500</v>
      </c>
      <c r="V88" s="1021">
        <v>7500</v>
      </c>
    </row>
    <row r="89" spans="1:22" x14ac:dyDescent="0.25">
      <c r="A89" s="1088">
        <v>4089100200</v>
      </c>
      <c r="B89" s="903">
        <v>2</v>
      </c>
      <c r="C89" s="903">
        <v>4</v>
      </c>
      <c r="D89" s="903">
        <v>3</v>
      </c>
      <c r="E89" s="903" t="s">
        <v>1269</v>
      </c>
      <c r="F89" s="1127" t="s">
        <v>2225</v>
      </c>
      <c r="G89" s="903" t="s">
        <v>802</v>
      </c>
      <c r="H89" s="903">
        <v>0</v>
      </c>
      <c r="I89" s="1132" t="s">
        <v>1244</v>
      </c>
      <c r="J89" s="903">
        <v>1</v>
      </c>
      <c r="K89" s="903">
        <v>21</v>
      </c>
      <c r="L89" s="903">
        <v>1</v>
      </c>
      <c r="M89" s="903">
        <v>4</v>
      </c>
      <c r="N89" s="903" t="s">
        <v>1271</v>
      </c>
      <c r="O89" s="903">
        <v>13</v>
      </c>
      <c r="P89" s="1021">
        <v>0</v>
      </c>
      <c r="Q89" s="1021">
        <v>10704</v>
      </c>
      <c r="R89" s="1021">
        <v>10704</v>
      </c>
      <c r="S89" s="1021">
        <v>10704</v>
      </c>
      <c r="T89" s="1122">
        <v>10704</v>
      </c>
      <c r="U89" s="1021">
        <v>10704</v>
      </c>
      <c r="V89" s="1021">
        <v>10704</v>
      </c>
    </row>
    <row r="90" spans="1:22" x14ac:dyDescent="0.25">
      <c r="A90" s="1088">
        <v>4089100200</v>
      </c>
      <c r="B90" s="903">
        <v>2</v>
      </c>
      <c r="C90" s="903">
        <v>4</v>
      </c>
      <c r="D90" s="903">
        <v>3</v>
      </c>
      <c r="E90" s="903" t="s">
        <v>1269</v>
      </c>
      <c r="F90" s="1127" t="s">
        <v>2225</v>
      </c>
      <c r="G90" s="903" t="s">
        <v>802</v>
      </c>
      <c r="H90" s="903">
        <v>0</v>
      </c>
      <c r="I90" s="1132" t="s">
        <v>1246</v>
      </c>
      <c r="J90" s="903">
        <v>1</v>
      </c>
      <c r="K90" s="903">
        <v>21</v>
      </c>
      <c r="L90" s="903">
        <v>1</v>
      </c>
      <c r="M90" s="903">
        <v>4</v>
      </c>
      <c r="N90" s="903" t="s">
        <v>1271</v>
      </c>
      <c r="O90" s="903">
        <v>13</v>
      </c>
      <c r="P90" s="1021">
        <v>105</v>
      </c>
      <c r="Q90" s="1021">
        <v>0</v>
      </c>
      <c r="R90" s="1021">
        <v>105</v>
      </c>
      <c r="S90" s="1021">
        <v>0</v>
      </c>
      <c r="T90" s="1122">
        <v>0</v>
      </c>
      <c r="U90" s="1021">
        <v>0</v>
      </c>
      <c r="V90" s="1021">
        <v>0</v>
      </c>
    </row>
    <row r="91" spans="1:22" x14ac:dyDescent="0.25">
      <c r="A91" s="1088">
        <v>4089100200</v>
      </c>
      <c r="B91" s="903">
        <v>2</v>
      </c>
      <c r="C91" s="903">
        <v>4</v>
      </c>
      <c r="D91" s="903">
        <v>3</v>
      </c>
      <c r="E91" s="903" t="s">
        <v>1269</v>
      </c>
      <c r="F91" s="1127" t="s">
        <v>2225</v>
      </c>
      <c r="G91" s="903" t="s">
        <v>802</v>
      </c>
      <c r="H91" s="903">
        <v>0</v>
      </c>
      <c r="I91" s="1132" t="s">
        <v>1248</v>
      </c>
      <c r="J91" s="903">
        <v>1</v>
      </c>
      <c r="K91" s="903">
        <v>21</v>
      </c>
      <c r="L91" s="903">
        <v>1</v>
      </c>
      <c r="M91" s="903">
        <v>4</v>
      </c>
      <c r="N91" s="903" t="s">
        <v>1271</v>
      </c>
      <c r="O91" s="903">
        <v>13</v>
      </c>
      <c r="P91" s="1021">
        <v>524097.6</v>
      </c>
      <c r="Q91" s="1021">
        <v>0</v>
      </c>
      <c r="R91" s="1021">
        <v>524097.6</v>
      </c>
      <c r="S91" s="1021">
        <v>324919</v>
      </c>
      <c r="T91" s="1122">
        <v>324919</v>
      </c>
      <c r="U91" s="1021">
        <v>292990</v>
      </c>
      <c r="V91" s="1021">
        <v>292990</v>
      </c>
    </row>
    <row r="92" spans="1:22" x14ac:dyDescent="0.25">
      <c r="A92" s="1088">
        <v>4089100300</v>
      </c>
      <c r="B92" s="903">
        <v>2</v>
      </c>
      <c r="C92" s="903">
        <v>4</v>
      </c>
      <c r="D92" s="903">
        <v>3</v>
      </c>
      <c r="E92" s="903" t="s">
        <v>1269</v>
      </c>
      <c r="F92" s="1127" t="s">
        <v>2225</v>
      </c>
      <c r="G92" s="903" t="s">
        <v>802</v>
      </c>
      <c r="H92" s="903">
        <v>0</v>
      </c>
      <c r="I92" s="1133" t="s">
        <v>1270</v>
      </c>
      <c r="J92" s="903">
        <v>1</v>
      </c>
      <c r="K92" s="903">
        <v>21</v>
      </c>
      <c r="L92" s="903">
        <v>1</v>
      </c>
      <c r="M92" s="903">
        <v>4</v>
      </c>
      <c r="N92" s="903" t="s">
        <v>1271</v>
      </c>
      <c r="O92" s="903">
        <v>13</v>
      </c>
      <c r="P92" s="1022">
        <v>3746115.84</v>
      </c>
      <c r="Q92" s="1022">
        <v>-22460.62</v>
      </c>
      <c r="R92" s="1021">
        <v>3723655.22</v>
      </c>
      <c r="S92" s="1021">
        <v>3723655.22</v>
      </c>
      <c r="T92" s="1021">
        <v>2487405.42</v>
      </c>
      <c r="U92" s="1021">
        <v>2487405.42</v>
      </c>
      <c r="V92" s="1021">
        <v>2487405.42</v>
      </c>
    </row>
    <row r="93" spans="1:22" x14ac:dyDescent="0.25">
      <c r="A93" s="1088">
        <v>4089100300</v>
      </c>
      <c r="B93" s="903">
        <v>2</v>
      </c>
      <c r="C93" s="903">
        <v>4</v>
      </c>
      <c r="D93" s="903">
        <v>3</v>
      </c>
      <c r="E93" s="903" t="s">
        <v>1269</v>
      </c>
      <c r="F93" s="1127" t="s">
        <v>2225</v>
      </c>
      <c r="G93" s="903" t="s">
        <v>802</v>
      </c>
      <c r="H93" s="903">
        <v>0</v>
      </c>
      <c r="I93" s="1133" t="s">
        <v>1272</v>
      </c>
      <c r="J93" s="903">
        <v>1</v>
      </c>
      <c r="K93" s="903">
        <v>21</v>
      </c>
      <c r="L93" s="903">
        <v>1</v>
      </c>
      <c r="M93" s="903">
        <v>4</v>
      </c>
      <c r="N93" s="903" t="s">
        <v>1271</v>
      </c>
      <c r="O93" s="903">
        <v>13</v>
      </c>
      <c r="P93" s="1023">
        <v>65993.52</v>
      </c>
      <c r="Q93" s="1023">
        <v>0</v>
      </c>
      <c r="R93" s="1021">
        <v>65993.52</v>
      </c>
      <c r="S93" s="1021">
        <v>65993.52</v>
      </c>
      <c r="T93" s="1021">
        <v>16034.09</v>
      </c>
      <c r="U93" s="1021">
        <v>16034.09</v>
      </c>
      <c r="V93" s="1021">
        <v>16034.09</v>
      </c>
    </row>
    <row r="94" spans="1:22" x14ac:dyDescent="0.25">
      <c r="A94" s="1088">
        <v>4089100300</v>
      </c>
      <c r="B94" s="903">
        <v>2</v>
      </c>
      <c r="C94" s="903">
        <v>4</v>
      </c>
      <c r="D94" s="903">
        <v>3</v>
      </c>
      <c r="E94" s="903" t="s">
        <v>1269</v>
      </c>
      <c r="F94" s="1127" t="s">
        <v>2225</v>
      </c>
      <c r="G94" s="903" t="s">
        <v>802</v>
      </c>
      <c r="H94" s="903">
        <v>0</v>
      </c>
      <c r="I94" s="1133" t="s">
        <v>1273</v>
      </c>
      <c r="J94" s="903">
        <v>1</v>
      </c>
      <c r="K94" s="903">
        <v>21</v>
      </c>
      <c r="L94" s="903">
        <v>1</v>
      </c>
      <c r="M94" s="903">
        <v>4</v>
      </c>
      <c r="N94" s="903" t="s">
        <v>1271</v>
      </c>
      <c r="O94" s="903">
        <v>13</v>
      </c>
      <c r="P94" s="1023">
        <v>206270.16</v>
      </c>
      <c r="Q94" s="1023">
        <v>0</v>
      </c>
      <c r="R94" s="1021">
        <v>206270.16</v>
      </c>
      <c r="S94" s="1021">
        <v>206270.16</v>
      </c>
      <c r="T94" s="1021">
        <v>117750</v>
      </c>
      <c r="U94" s="1021">
        <v>117750</v>
      </c>
      <c r="V94" s="1021">
        <v>117750</v>
      </c>
    </row>
    <row r="95" spans="1:22" x14ac:dyDescent="0.25">
      <c r="A95" s="1088">
        <v>4089100300</v>
      </c>
      <c r="B95" s="903">
        <v>2</v>
      </c>
      <c r="C95" s="903">
        <v>4</v>
      </c>
      <c r="D95" s="903">
        <v>3</v>
      </c>
      <c r="E95" s="903" t="s">
        <v>1269</v>
      </c>
      <c r="F95" s="1127" t="s">
        <v>2225</v>
      </c>
      <c r="G95" s="903" t="s">
        <v>802</v>
      </c>
      <c r="H95" s="903">
        <v>0</v>
      </c>
      <c r="I95" s="1133" t="s">
        <v>1275</v>
      </c>
      <c r="J95" s="903">
        <v>1</v>
      </c>
      <c r="K95" s="903">
        <v>21</v>
      </c>
      <c r="L95" s="903">
        <v>1</v>
      </c>
      <c r="M95" s="903">
        <v>4</v>
      </c>
      <c r="N95" s="903" t="s">
        <v>1271</v>
      </c>
      <c r="O95" s="903">
        <v>13</v>
      </c>
      <c r="P95" s="1023">
        <v>600010.92000000004</v>
      </c>
      <c r="Q95" s="1023">
        <v>0</v>
      </c>
      <c r="R95" s="1021">
        <v>600010.92000000004</v>
      </c>
      <c r="S95" s="1021">
        <v>600010.92000000004</v>
      </c>
      <c r="T95" s="1021">
        <v>395213.82</v>
      </c>
      <c r="U95" s="1021">
        <v>395213.82</v>
      </c>
      <c r="V95" s="1021">
        <v>395213.82</v>
      </c>
    </row>
    <row r="96" spans="1:22" x14ac:dyDescent="0.25">
      <c r="A96" s="1088">
        <v>4089100300</v>
      </c>
      <c r="B96" s="903">
        <v>2</v>
      </c>
      <c r="C96" s="903">
        <v>4</v>
      </c>
      <c r="D96" s="903">
        <v>3</v>
      </c>
      <c r="E96" s="903" t="s">
        <v>1269</v>
      </c>
      <c r="F96" s="1127" t="s">
        <v>2225</v>
      </c>
      <c r="G96" s="903" t="s">
        <v>802</v>
      </c>
      <c r="H96" s="903">
        <v>0</v>
      </c>
      <c r="I96" s="1133" t="s">
        <v>1276</v>
      </c>
      <c r="J96" s="903">
        <v>1</v>
      </c>
      <c r="K96" s="903">
        <v>21</v>
      </c>
      <c r="L96" s="903">
        <v>1</v>
      </c>
      <c r="M96" s="903">
        <v>4</v>
      </c>
      <c r="N96" s="903" t="s">
        <v>1271</v>
      </c>
      <c r="O96" s="903">
        <v>13</v>
      </c>
      <c r="P96" s="1023">
        <v>653001.36</v>
      </c>
      <c r="Q96" s="1023">
        <v>0</v>
      </c>
      <c r="R96" s="1021">
        <v>653001.36</v>
      </c>
      <c r="S96" s="1021">
        <v>653001.36</v>
      </c>
      <c r="T96" s="1021">
        <v>433100.99</v>
      </c>
      <c r="U96" s="1021">
        <v>20312.73</v>
      </c>
      <c r="V96" s="1021">
        <v>20312.73</v>
      </c>
    </row>
    <row r="97" spans="1:22" x14ac:dyDescent="0.25">
      <c r="A97" s="1088">
        <v>4089100300</v>
      </c>
      <c r="B97" s="903">
        <v>2</v>
      </c>
      <c r="C97" s="903">
        <v>4</v>
      </c>
      <c r="D97" s="903">
        <v>3</v>
      </c>
      <c r="E97" s="903" t="s">
        <v>1269</v>
      </c>
      <c r="F97" s="1127" t="s">
        <v>2225</v>
      </c>
      <c r="G97" s="903" t="s">
        <v>802</v>
      </c>
      <c r="H97" s="903">
        <v>0</v>
      </c>
      <c r="I97" s="1133" t="s">
        <v>1285</v>
      </c>
      <c r="J97" s="903">
        <v>1</v>
      </c>
      <c r="K97" s="903">
        <v>21</v>
      </c>
      <c r="L97" s="903">
        <v>1</v>
      </c>
      <c r="M97" s="903">
        <v>4</v>
      </c>
      <c r="N97" s="903" t="s">
        <v>1271</v>
      </c>
      <c r="O97" s="903">
        <v>13</v>
      </c>
      <c r="P97" s="1023">
        <v>75570.960000000006</v>
      </c>
      <c r="Q97" s="1023">
        <v>2869.75</v>
      </c>
      <c r="R97" s="1021">
        <v>78440.710000000006</v>
      </c>
      <c r="S97" s="1021">
        <v>78440.710000000006</v>
      </c>
      <c r="T97" s="1021">
        <v>78440.710000000006</v>
      </c>
      <c r="U97" s="1021">
        <v>78440.710000000006</v>
      </c>
      <c r="V97" s="1021">
        <v>78440.710000000006</v>
      </c>
    </row>
    <row r="98" spans="1:22" x14ac:dyDescent="0.25">
      <c r="A98" s="1088">
        <v>4089100300</v>
      </c>
      <c r="B98" s="903">
        <v>2</v>
      </c>
      <c r="C98" s="903">
        <v>4</v>
      </c>
      <c r="D98" s="903">
        <v>3</v>
      </c>
      <c r="E98" s="903" t="s">
        <v>1269</v>
      </c>
      <c r="F98" s="1127" t="s">
        <v>2225</v>
      </c>
      <c r="G98" s="903" t="s">
        <v>802</v>
      </c>
      <c r="H98" s="903">
        <v>0</v>
      </c>
      <c r="I98" s="1133" t="s">
        <v>1277</v>
      </c>
      <c r="J98" s="903">
        <v>1</v>
      </c>
      <c r="K98" s="903">
        <v>21</v>
      </c>
      <c r="L98" s="903">
        <v>1</v>
      </c>
      <c r="M98" s="903">
        <v>4</v>
      </c>
      <c r="N98" s="903" t="s">
        <v>1271</v>
      </c>
      <c r="O98" s="903">
        <v>13</v>
      </c>
      <c r="P98" s="1023">
        <v>472627.8</v>
      </c>
      <c r="Q98" s="1023">
        <v>0</v>
      </c>
      <c r="R98" s="1021">
        <v>472627.8</v>
      </c>
      <c r="S98" s="1021">
        <v>472627.8</v>
      </c>
      <c r="T98" s="1021">
        <v>325050.78999999998</v>
      </c>
      <c r="U98" s="1021">
        <v>290681.77</v>
      </c>
      <c r="V98" s="1021">
        <v>290681.77</v>
      </c>
    </row>
    <row r="99" spans="1:22" x14ac:dyDescent="0.25">
      <c r="A99" s="1088">
        <v>4089100300</v>
      </c>
      <c r="B99" s="903">
        <v>2</v>
      </c>
      <c r="C99" s="903">
        <v>4</v>
      </c>
      <c r="D99" s="903">
        <v>3</v>
      </c>
      <c r="E99" s="903" t="s">
        <v>1269</v>
      </c>
      <c r="F99" s="1127" t="s">
        <v>2225</v>
      </c>
      <c r="G99" s="903" t="s">
        <v>802</v>
      </c>
      <c r="H99" s="903">
        <v>0</v>
      </c>
      <c r="I99" s="1133" t="s">
        <v>1278</v>
      </c>
      <c r="J99" s="903">
        <v>1</v>
      </c>
      <c r="K99" s="903">
        <v>21</v>
      </c>
      <c r="L99" s="903">
        <v>1</v>
      </c>
      <c r="M99" s="903">
        <v>4</v>
      </c>
      <c r="N99" s="903" t="s">
        <v>1271</v>
      </c>
      <c r="O99" s="903">
        <v>13</v>
      </c>
      <c r="P99" s="1023">
        <v>229056.6</v>
      </c>
      <c r="Q99" s="1023">
        <v>0</v>
      </c>
      <c r="R99" s="1021">
        <v>229056.6</v>
      </c>
      <c r="S99" s="1021">
        <v>229056.6</v>
      </c>
      <c r="T99" s="1021">
        <v>144088.43</v>
      </c>
      <c r="U99" s="1021">
        <v>129047.8</v>
      </c>
      <c r="V99" s="1021">
        <v>129047.8</v>
      </c>
    </row>
    <row r="100" spans="1:22" x14ac:dyDescent="0.25">
      <c r="A100" s="1088">
        <v>4089100300</v>
      </c>
      <c r="B100" s="903">
        <v>2</v>
      </c>
      <c r="C100" s="903">
        <v>4</v>
      </c>
      <c r="D100" s="903">
        <v>3</v>
      </c>
      <c r="E100" s="903" t="s">
        <v>1269</v>
      </c>
      <c r="F100" s="1127" t="s">
        <v>2225</v>
      </c>
      <c r="G100" s="903" t="s">
        <v>802</v>
      </c>
      <c r="H100" s="903">
        <v>0</v>
      </c>
      <c r="I100" s="1133" t="s">
        <v>1279</v>
      </c>
      <c r="J100" s="903">
        <v>1</v>
      </c>
      <c r="K100" s="903">
        <v>21</v>
      </c>
      <c r="L100" s="903">
        <v>1</v>
      </c>
      <c r="M100" s="903">
        <v>4</v>
      </c>
      <c r="N100" s="903" t="s">
        <v>1271</v>
      </c>
      <c r="O100" s="903">
        <v>13</v>
      </c>
      <c r="P100" s="1023">
        <v>286624.2</v>
      </c>
      <c r="Q100" s="1023">
        <v>0</v>
      </c>
      <c r="R100" s="1021">
        <v>286624.2</v>
      </c>
      <c r="S100" s="1021">
        <v>286624.2</v>
      </c>
      <c r="T100" s="1021">
        <v>180869.34</v>
      </c>
      <c r="U100" s="1021">
        <v>161993.38</v>
      </c>
      <c r="V100" s="1021">
        <v>161993.38</v>
      </c>
    </row>
    <row r="101" spans="1:22" x14ac:dyDescent="0.25">
      <c r="A101" s="1088">
        <v>4089100300</v>
      </c>
      <c r="B101" s="903">
        <v>2</v>
      </c>
      <c r="C101" s="903">
        <v>4</v>
      </c>
      <c r="D101" s="903">
        <v>3</v>
      </c>
      <c r="E101" s="903" t="s">
        <v>1269</v>
      </c>
      <c r="F101" s="1127" t="s">
        <v>2225</v>
      </c>
      <c r="G101" s="903" t="s">
        <v>802</v>
      </c>
      <c r="H101" s="903">
        <v>0</v>
      </c>
      <c r="I101" s="1133" t="s">
        <v>1280</v>
      </c>
      <c r="J101" s="903">
        <v>1</v>
      </c>
      <c r="K101" s="903">
        <v>21</v>
      </c>
      <c r="L101" s="903">
        <v>1</v>
      </c>
      <c r="M101" s="903">
        <v>4</v>
      </c>
      <c r="N101" s="903" t="s">
        <v>1271</v>
      </c>
      <c r="O101" s="903">
        <v>13</v>
      </c>
      <c r="P101" s="1023">
        <v>347221.92</v>
      </c>
      <c r="Q101" s="1023">
        <v>0</v>
      </c>
      <c r="R101" s="1021">
        <v>347221.92</v>
      </c>
      <c r="S101" s="1021">
        <v>347221.92</v>
      </c>
      <c r="T101" s="1021">
        <v>203871.96</v>
      </c>
      <c r="U101" s="1021">
        <v>0</v>
      </c>
      <c r="V101" s="1021">
        <v>0</v>
      </c>
    </row>
    <row r="102" spans="1:22" x14ac:dyDescent="0.25">
      <c r="A102" s="1088">
        <v>4089100300</v>
      </c>
      <c r="B102" s="903">
        <v>2</v>
      </c>
      <c r="C102" s="903">
        <v>4</v>
      </c>
      <c r="D102" s="903">
        <v>3</v>
      </c>
      <c r="E102" s="903" t="s">
        <v>1269</v>
      </c>
      <c r="F102" s="1127" t="s">
        <v>2225</v>
      </c>
      <c r="G102" s="903" t="s">
        <v>802</v>
      </c>
      <c r="H102" s="903">
        <v>0</v>
      </c>
      <c r="I102" s="1133" t="s">
        <v>1287</v>
      </c>
      <c r="J102" s="903">
        <v>1</v>
      </c>
      <c r="K102" s="903">
        <v>21</v>
      </c>
      <c r="L102" s="903">
        <v>1</v>
      </c>
      <c r="M102" s="903">
        <v>4</v>
      </c>
      <c r="N102" s="903" t="s">
        <v>1271</v>
      </c>
      <c r="O102" s="903">
        <v>13</v>
      </c>
      <c r="P102" s="1023">
        <v>57099.839999999997</v>
      </c>
      <c r="Q102" s="1023">
        <v>0</v>
      </c>
      <c r="R102" s="1021">
        <v>57099.839999999997</v>
      </c>
      <c r="S102" s="1021">
        <v>57099.839999999997</v>
      </c>
      <c r="T102" s="1021">
        <v>14424.58</v>
      </c>
      <c r="U102" s="1021">
        <v>14424.58</v>
      </c>
      <c r="V102" s="1021">
        <v>14424.58</v>
      </c>
    </row>
    <row r="103" spans="1:22" x14ac:dyDescent="0.25">
      <c r="A103" s="1088">
        <v>4089100300</v>
      </c>
      <c r="B103" s="903">
        <v>2</v>
      </c>
      <c r="C103" s="903">
        <v>4</v>
      </c>
      <c r="D103" s="903">
        <v>3</v>
      </c>
      <c r="E103" s="903" t="s">
        <v>1269</v>
      </c>
      <c r="F103" s="1127" t="s">
        <v>2225</v>
      </c>
      <c r="G103" s="903" t="s">
        <v>802</v>
      </c>
      <c r="H103" s="903">
        <v>0</v>
      </c>
      <c r="I103" s="1133" t="s">
        <v>1281</v>
      </c>
      <c r="J103" s="903">
        <v>1</v>
      </c>
      <c r="K103" s="903">
        <v>21</v>
      </c>
      <c r="L103" s="903">
        <v>1</v>
      </c>
      <c r="M103" s="903">
        <v>4</v>
      </c>
      <c r="N103" s="903" t="s">
        <v>1271</v>
      </c>
      <c r="O103" s="903">
        <v>13</v>
      </c>
      <c r="P103" s="1023">
        <v>56232.959999999999</v>
      </c>
      <c r="Q103" s="1023">
        <v>22460.62</v>
      </c>
      <c r="R103" s="1021">
        <v>78693.58</v>
      </c>
      <c r="S103" s="1021">
        <v>78693.58</v>
      </c>
      <c r="T103" s="1021">
        <v>78693.58</v>
      </c>
      <c r="U103" s="1021">
        <v>28395.599999999999</v>
      </c>
      <c r="V103" s="1021">
        <v>28395.599999999999</v>
      </c>
    </row>
    <row r="104" spans="1:22" x14ac:dyDescent="0.25">
      <c r="A104" s="1088">
        <v>4089100300</v>
      </c>
      <c r="B104" s="903">
        <v>2</v>
      </c>
      <c r="C104" s="903">
        <v>4</v>
      </c>
      <c r="D104" s="903">
        <v>3</v>
      </c>
      <c r="E104" s="903" t="s">
        <v>1269</v>
      </c>
      <c r="F104" s="1127" t="s">
        <v>2225</v>
      </c>
      <c r="G104" s="903" t="s">
        <v>802</v>
      </c>
      <c r="H104" s="903">
        <v>0</v>
      </c>
      <c r="I104" s="1133" t="s">
        <v>1282</v>
      </c>
      <c r="J104" s="903">
        <v>1</v>
      </c>
      <c r="K104" s="903">
        <v>21</v>
      </c>
      <c r="L104" s="903">
        <v>1</v>
      </c>
      <c r="M104" s="903">
        <v>4</v>
      </c>
      <c r="N104" s="903" t="s">
        <v>1271</v>
      </c>
      <c r="O104" s="903">
        <v>13</v>
      </c>
      <c r="P104" s="1023">
        <v>199241.76</v>
      </c>
      <c r="Q104" s="1023">
        <v>33729.18</v>
      </c>
      <c r="R104" s="1021">
        <v>232970.94</v>
      </c>
      <c r="S104" s="1021">
        <v>232970.94</v>
      </c>
      <c r="T104" s="1021">
        <v>210719.76</v>
      </c>
      <c r="U104" s="1021">
        <v>210719.76</v>
      </c>
      <c r="V104" s="1021">
        <v>210719.76</v>
      </c>
    </row>
    <row r="105" spans="1:22" x14ac:dyDescent="0.25">
      <c r="A105" s="1088">
        <v>4089100300</v>
      </c>
      <c r="B105" s="903">
        <v>2</v>
      </c>
      <c r="C105" s="903">
        <v>4</v>
      </c>
      <c r="D105" s="903">
        <v>3</v>
      </c>
      <c r="E105" s="903" t="s">
        <v>1269</v>
      </c>
      <c r="F105" s="1127" t="s">
        <v>2225</v>
      </c>
      <c r="G105" s="903" t="s">
        <v>802</v>
      </c>
      <c r="H105" s="903">
        <v>0</v>
      </c>
      <c r="I105" s="1133" t="s">
        <v>1121</v>
      </c>
      <c r="J105" s="903">
        <v>1</v>
      </c>
      <c r="K105" s="903">
        <v>21</v>
      </c>
      <c r="L105" s="903">
        <v>1</v>
      </c>
      <c r="M105" s="903">
        <v>4</v>
      </c>
      <c r="N105" s="903" t="s">
        <v>1271</v>
      </c>
      <c r="O105" s="903">
        <v>13</v>
      </c>
      <c r="P105" s="1023">
        <v>17134.560000000001</v>
      </c>
      <c r="Q105" s="1023">
        <v>0</v>
      </c>
      <c r="R105" s="1021">
        <v>17134.560000000001</v>
      </c>
      <c r="S105" s="1021">
        <v>5926.57</v>
      </c>
      <c r="T105" s="1021">
        <v>5926.57</v>
      </c>
      <c r="U105" s="1021">
        <v>5926.57</v>
      </c>
      <c r="V105" s="1021">
        <v>5926.57</v>
      </c>
    </row>
    <row r="106" spans="1:22" x14ac:dyDescent="0.25">
      <c r="A106" s="1088">
        <v>4089100300</v>
      </c>
      <c r="B106" s="903">
        <v>2</v>
      </c>
      <c r="C106" s="903">
        <v>4</v>
      </c>
      <c r="D106" s="903">
        <v>3</v>
      </c>
      <c r="E106" s="903" t="s">
        <v>1269</v>
      </c>
      <c r="F106" s="1127" t="s">
        <v>2225</v>
      </c>
      <c r="G106" s="903" t="s">
        <v>802</v>
      </c>
      <c r="H106" s="903">
        <v>0</v>
      </c>
      <c r="I106" s="1133" t="s">
        <v>1127</v>
      </c>
      <c r="J106" s="903">
        <v>1</v>
      </c>
      <c r="K106" s="903">
        <v>21</v>
      </c>
      <c r="L106" s="903">
        <v>1</v>
      </c>
      <c r="M106" s="903">
        <v>4</v>
      </c>
      <c r="N106" s="903" t="s">
        <v>1271</v>
      </c>
      <c r="O106" s="903">
        <v>13</v>
      </c>
      <c r="P106" s="1023">
        <v>3779.88</v>
      </c>
      <c r="Q106" s="1023">
        <v>0</v>
      </c>
      <c r="R106" s="1021">
        <v>3779.88</v>
      </c>
      <c r="S106" s="1021">
        <v>175</v>
      </c>
      <c r="T106" s="1021">
        <v>175</v>
      </c>
      <c r="U106" s="1021">
        <v>175</v>
      </c>
      <c r="V106" s="1021">
        <v>175</v>
      </c>
    </row>
    <row r="107" spans="1:22" x14ac:dyDescent="0.25">
      <c r="A107" s="1088">
        <v>4089100300</v>
      </c>
      <c r="B107" s="903">
        <v>2</v>
      </c>
      <c r="C107" s="903">
        <v>4</v>
      </c>
      <c r="D107" s="903">
        <v>3</v>
      </c>
      <c r="E107" s="903" t="s">
        <v>1269</v>
      </c>
      <c r="F107" s="1127" t="s">
        <v>2225</v>
      </c>
      <c r="G107" s="903" t="s">
        <v>802</v>
      </c>
      <c r="H107" s="903">
        <v>0</v>
      </c>
      <c r="I107" s="1133" t="s">
        <v>1131</v>
      </c>
      <c r="J107" s="903">
        <v>1</v>
      </c>
      <c r="K107" s="903">
        <v>21</v>
      </c>
      <c r="L107" s="903">
        <v>1</v>
      </c>
      <c r="M107" s="903">
        <v>4</v>
      </c>
      <c r="N107" s="903" t="s">
        <v>1271</v>
      </c>
      <c r="O107" s="903">
        <v>13</v>
      </c>
      <c r="P107" s="1023">
        <v>0</v>
      </c>
      <c r="Q107" s="1023">
        <v>3805.1</v>
      </c>
      <c r="R107" s="1021">
        <v>3805.1</v>
      </c>
      <c r="S107" s="1021">
        <v>3805.1</v>
      </c>
      <c r="T107" s="1021">
        <v>3805.1</v>
      </c>
      <c r="U107" s="1021">
        <v>3805.1</v>
      </c>
      <c r="V107" s="1021">
        <v>3805.1</v>
      </c>
    </row>
    <row r="108" spans="1:22" x14ac:dyDescent="0.25">
      <c r="A108" s="1088">
        <v>4089100300</v>
      </c>
      <c r="B108" s="903">
        <v>2</v>
      </c>
      <c r="C108" s="903">
        <v>4</v>
      </c>
      <c r="D108" s="903">
        <v>3</v>
      </c>
      <c r="E108" s="903" t="s">
        <v>1269</v>
      </c>
      <c r="F108" s="1127" t="s">
        <v>2225</v>
      </c>
      <c r="G108" s="903" t="s">
        <v>802</v>
      </c>
      <c r="H108" s="903">
        <v>0</v>
      </c>
      <c r="I108" s="1133" t="s">
        <v>1145</v>
      </c>
      <c r="J108" s="903">
        <v>1</v>
      </c>
      <c r="K108" s="903">
        <v>21</v>
      </c>
      <c r="L108" s="903">
        <v>1</v>
      </c>
      <c r="M108" s="903">
        <v>4</v>
      </c>
      <c r="N108" s="903" t="s">
        <v>1271</v>
      </c>
      <c r="O108" s="903">
        <v>13</v>
      </c>
      <c r="P108" s="1023">
        <v>55036.44</v>
      </c>
      <c r="Q108" s="1023">
        <v>0</v>
      </c>
      <c r="R108" s="1021">
        <v>55036.44</v>
      </c>
      <c r="S108" s="1021">
        <v>39759.56</v>
      </c>
      <c r="T108" s="1021">
        <v>39759.56</v>
      </c>
      <c r="U108" s="1021">
        <v>39759.56</v>
      </c>
      <c r="V108" s="1021">
        <v>39759.56</v>
      </c>
    </row>
    <row r="109" spans="1:22" x14ac:dyDescent="0.25">
      <c r="A109" s="1088">
        <v>4089100300</v>
      </c>
      <c r="B109" s="903">
        <v>2</v>
      </c>
      <c r="C109" s="903">
        <v>4</v>
      </c>
      <c r="D109" s="903">
        <v>3</v>
      </c>
      <c r="E109" s="903" t="s">
        <v>1269</v>
      </c>
      <c r="F109" s="1127" t="s">
        <v>2225</v>
      </c>
      <c r="G109" s="903" t="s">
        <v>802</v>
      </c>
      <c r="H109" s="903">
        <v>0</v>
      </c>
      <c r="I109" s="1133" t="s">
        <v>1153</v>
      </c>
      <c r="J109" s="903">
        <v>1</v>
      </c>
      <c r="K109" s="903">
        <v>21</v>
      </c>
      <c r="L109" s="903">
        <v>1</v>
      </c>
      <c r="M109" s="903">
        <v>4</v>
      </c>
      <c r="N109" s="903" t="s">
        <v>1271</v>
      </c>
      <c r="O109" s="903">
        <v>13</v>
      </c>
      <c r="P109" s="1023">
        <v>13664.88</v>
      </c>
      <c r="Q109" s="1023">
        <v>0</v>
      </c>
      <c r="R109" s="1021">
        <v>13664.88</v>
      </c>
      <c r="S109" s="1021">
        <v>2355</v>
      </c>
      <c r="T109" s="1021">
        <v>2355</v>
      </c>
      <c r="U109" s="1021">
        <v>2355</v>
      </c>
      <c r="V109" s="1021">
        <v>2355</v>
      </c>
    </row>
    <row r="110" spans="1:22" x14ac:dyDescent="0.25">
      <c r="A110" s="1088">
        <v>4089100300</v>
      </c>
      <c r="B110" s="903">
        <v>2</v>
      </c>
      <c r="C110" s="903">
        <v>4</v>
      </c>
      <c r="D110" s="903">
        <v>3</v>
      </c>
      <c r="E110" s="903" t="s">
        <v>1269</v>
      </c>
      <c r="F110" s="1127" t="s">
        <v>2225</v>
      </c>
      <c r="G110" s="903" t="s">
        <v>802</v>
      </c>
      <c r="H110" s="903">
        <v>0</v>
      </c>
      <c r="I110" s="1133" t="s">
        <v>1155</v>
      </c>
      <c r="J110" s="903">
        <v>1</v>
      </c>
      <c r="K110" s="903">
        <v>21</v>
      </c>
      <c r="L110" s="903">
        <v>1</v>
      </c>
      <c r="M110" s="903">
        <v>4</v>
      </c>
      <c r="N110" s="903" t="s">
        <v>1271</v>
      </c>
      <c r="O110" s="903">
        <v>13</v>
      </c>
      <c r="P110" s="1023">
        <v>11410.44</v>
      </c>
      <c r="Q110" s="1023">
        <v>72829.990000000005</v>
      </c>
      <c r="R110" s="1021">
        <v>84240.43</v>
      </c>
      <c r="S110" s="1021">
        <v>84240.43</v>
      </c>
      <c r="T110" s="1021">
        <v>84240.43</v>
      </c>
      <c r="U110" s="1021">
        <v>84240.43</v>
      </c>
      <c r="V110" s="1021">
        <v>84240.43</v>
      </c>
    </row>
    <row r="111" spans="1:22" x14ac:dyDescent="0.25">
      <c r="A111" s="1088">
        <v>4089100300</v>
      </c>
      <c r="B111" s="903">
        <v>2</v>
      </c>
      <c r="C111" s="903">
        <v>4</v>
      </c>
      <c r="D111" s="903">
        <v>3</v>
      </c>
      <c r="E111" s="903" t="s">
        <v>1269</v>
      </c>
      <c r="F111" s="1127" t="s">
        <v>2225</v>
      </c>
      <c r="G111" s="903" t="s">
        <v>802</v>
      </c>
      <c r="H111" s="903">
        <v>0</v>
      </c>
      <c r="I111" s="1133" t="s">
        <v>1161</v>
      </c>
      <c r="J111" s="903">
        <v>1</v>
      </c>
      <c r="K111" s="903">
        <v>21</v>
      </c>
      <c r="L111" s="903">
        <v>1</v>
      </c>
      <c r="M111" s="903">
        <v>4</v>
      </c>
      <c r="N111" s="903" t="s">
        <v>1271</v>
      </c>
      <c r="O111" s="903">
        <v>13</v>
      </c>
      <c r="P111" s="1023">
        <v>805280.52</v>
      </c>
      <c r="Q111" s="1023">
        <v>0</v>
      </c>
      <c r="R111" s="1021">
        <v>805280.52</v>
      </c>
      <c r="S111" s="1021">
        <v>495764.87</v>
      </c>
      <c r="T111" s="1021">
        <v>495764.87</v>
      </c>
      <c r="U111" s="1021">
        <v>495764.87</v>
      </c>
      <c r="V111" s="1021">
        <v>495764.87</v>
      </c>
    </row>
    <row r="112" spans="1:22" x14ac:dyDescent="0.25">
      <c r="A112" s="1088">
        <v>4089100300</v>
      </c>
      <c r="B112" s="903">
        <v>2</v>
      </c>
      <c r="C112" s="903">
        <v>4</v>
      </c>
      <c r="D112" s="903">
        <v>3</v>
      </c>
      <c r="E112" s="903" t="s">
        <v>1269</v>
      </c>
      <c r="F112" s="1127" t="s">
        <v>2225</v>
      </c>
      <c r="G112" s="903" t="s">
        <v>802</v>
      </c>
      <c r="H112" s="903">
        <v>0</v>
      </c>
      <c r="I112" s="1133" t="s">
        <v>1163</v>
      </c>
      <c r="J112" s="903">
        <v>1</v>
      </c>
      <c r="K112" s="903">
        <v>21</v>
      </c>
      <c r="L112" s="903">
        <v>1</v>
      </c>
      <c r="M112" s="903">
        <v>4</v>
      </c>
      <c r="N112" s="903" t="s">
        <v>1271</v>
      </c>
      <c r="O112" s="903">
        <v>13</v>
      </c>
      <c r="P112" s="1023">
        <v>9437.76</v>
      </c>
      <c r="Q112" s="1023">
        <v>0</v>
      </c>
      <c r="R112" s="1021">
        <v>9437.76</v>
      </c>
      <c r="S112" s="1021">
        <v>4144.5200000000004</v>
      </c>
      <c r="T112" s="1021">
        <v>4144.5200000000004</v>
      </c>
      <c r="U112" s="1021">
        <v>4144.5200000000004</v>
      </c>
      <c r="V112" s="1021">
        <v>4144.5200000000004</v>
      </c>
    </row>
    <row r="113" spans="1:22" x14ac:dyDescent="0.25">
      <c r="A113" s="1088">
        <v>4089100300</v>
      </c>
      <c r="B113" s="903">
        <v>2</v>
      </c>
      <c r="C113" s="903">
        <v>4</v>
      </c>
      <c r="D113" s="903">
        <v>3</v>
      </c>
      <c r="E113" s="903" t="s">
        <v>1269</v>
      </c>
      <c r="F113" s="1127" t="s">
        <v>2225</v>
      </c>
      <c r="G113" s="903" t="s">
        <v>802</v>
      </c>
      <c r="H113" s="903">
        <v>0</v>
      </c>
      <c r="I113" s="1133" t="s">
        <v>1165</v>
      </c>
      <c r="J113" s="903">
        <v>1</v>
      </c>
      <c r="K113" s="903">
        <v>21</v>
      </c>
      <c r="L113" s="903">
        <v>1</v>
      </c>
      <c r="M113" s="903">
        <v>4</v>
      </c>
      <c r="N113" s="903" t="s">
        <v>1271</v>
      </c>
      <c r="O113" s="903">
        <v>13</v>
      </c>
      <c r="P113" s="1023">
        <v>29975.759999999998</v>
      </c>
      <c r="Q113" s="1023">
        <v>0</v>
      </c>
      <c r="R113" s="1021">
        <v>29975.759999999998</v>
      </c>
      <c r="S113" s="1021">
        <v>19188.32</v>
      </c>
      <c r="T113" s="1021">
        <v>19188.32</v>
      </c>
      <c r="U113" s="1021">
        <v>19188.32</v>
      </c>
      <c r="V113" s="1021">
        <v>19188.32</v>
      </c>
    </row>
    <row r="114" spans="1:22" x14ac:dyDescent="0.25">
      <c r="A114" s="1088">
        <v>4089100300</v>
      </c>
      <c r="B114" s="903">
        <v>2</v>
      </c>
      <c r="C114" s="903">
        <v>4</v>
      </c>
      <c r="D114" s="903">
        <v>3</v>
      </c>
      <c r="E114" s="903" t="s">
        <v>1269</v>
      </c>
      <c r="F114" s="1127" t="s">
        <v>2225</v>
      </c>
      <c r="G114" s="903" t="s">
        <v>802</v>
      </c>
      <c r="H114" s="903">
        <v>0</v>
      </c>
      <c r="I114" s="1133" t="s">
        <v>1169</v>
      </c>
      <c r="J114" s="903">
        <v>1</v>
      </c>
      <c r="K114" s="903">
        <v>21</v>
      </c>
      <c r="L114" s="903">
        <v>1</v>
      </c>
      <c r="M114" s="903">
        <v>4</v>
      </c>
      <c r="N114" s="903" t="s">
        <v>1271</v>
      </c>
      <c r="O114" s="903">
        <v>13</v>
      </c>
      <c r="P114" s="1023">
        <v>38327.879999999997</v>
      </c>
      <c r="Q114" s="1023">
        <v>0</v>
      </c>
      <c r="R114" s="1021">
        <v>38327.879999999997</v>
      </c>
      <c r="S114" s="1021">
        <v>34931.230000000003</v>
      </c>
      <c r="T114" s="1021">
        <v>34931.230000000003</v>
      </c>
      <c r="U114" s="1021">
        <v>34931.230000000003</v>
      </c>
      <c r="V114" s="1021">
        <v>34931.230000000003</v>
      </c>
    </row>
    <row r="115" spans="1:22" x14ac:dyDescent="0.25">
      <c r="A115" s="1088">
        <v>4089100300</v>
      </c>
      <c r="B115" s="903">
        <v>2</v>
      </c>
      <c r="C115" s="903">
        <v>4</v>
      </c>
      <c r="D115" s="903">
        <v>3</v>
      </c>
      <c r="E115" s="903" t="s">
        <v>1269</v>
      </c>
      <c r="F115" s="1127" t="s">
        <v>2225</v>
      </c>
      <c r="G115" s="903" t="s">
        <v>802</v>
      </c>
      <c r="H115" s="903">
        <v>0</v>
      </c>
      <c r="I115" s="1133" t="s">
        <v>1177</v>
      </c>
      <c r="J115" s="903">
        <v>1</v>
      </c>
      <c r="K115" s="903">
        <v>21</v>
      </c>
      <c r="L115" s="903">
        <v>1</v>
      </c>
      <c r="M115" s="903">
        <v>4</v>
      </c>
      <c r="N115" s="903" t="s">
        <v>1271</v>
      </c>
      <c r="O115" s="903">
        <v>13</v>
      </c>
      <c r="P115" s="1023">
        <v>99624</v>
      </c>
      <c r="Q115" s="1023">
        <v>-7155.18</v>
      </c>
      <c r="R115" s="1021">
        <v>92468.82</v>
      </c>
      <c r="S115" s="1021">
        <v>73996</v>
      </c>
      <c r="T115" s="1021">
        <v>73996</v>
      </c>
      <c r="U115" s="1021">
        <v>73996</v>
      </c>
      <c r="V115" s="1021">
        <v>73996</v>
      </c>
    </row>
    <row r="116" spans="1:22" x14ac:dyDescent="0.25">
      <c r="A116" s="1088">
        <v>4089100300</v>
      </c>
      <c r="B116" s="903">
        <v>2</v>
      </c>
      <c r="C116" s="903">
        <v>4</v>
      </c>
      <c r="D116" s="903">
        <v>3</v>
      </c>
      <c r="E116" s="903" t="s">
        <v>1269</v>
      </c>
      <c r="F116" s="1127" t="s">
        <v>2225</v>
      </c>
      <c r="G116" s="903" t="s">
        <v>802</v>
      </c>
      <c r="H116" s="903">
        <v>0</v>
      </c>
      <c r="I116" s="1133" t="s">
        <v>1179</v>
      </c>
      <c r="J116" s="903">
        <v>1</v>
      </c>
      <c r="K116" s="903">
        <v>21</v>
      </c>
      <c r="L116" s="903">
        <v>1</v>
      </c>
      <c r="M116" s="903">
        <v>4</v>
      </c>
      <c r="N116" s="903" t="s">
        <v>1271</v>
      </c>
      <c r="O116" s="903">
        <v>13</v>
      </c>
      <c r="P116" s="1023">
        <v>0</v>
      </c>
      <c r="Q116" s="1023">
        <v>32198.31</v>
      </c>
      <c r="R116" s="1021">
        <v>32198.31</v>
      </c>
      <c r="S116" s="1021">
        <v>32198.31</v>
      </c>
      <c r="T116" s="1021">
        <v>32198.31</v>
      </c>
      <c r="U116" s="1021">
        <v>32198.31</v>
      </c>
      <c r="V116" s="1021">
        <v>32198.31</v>
      </c>
    </row>
    <row r="117" spans="1:22" x14ac:dyDescent="0.25">
      <c r="A117" s="1088">
        <v>4089100300</v>
      </c>
      <c r="B117" s="903">
        <v>2</v>
      </c>
      <c r="C117" s="903">
        <v>4</v>
      </c>
      <c r="D117" s="903">
        <v>3</v>
      </c>
      <c r="E117" s="903" t="s">
        <v>1269</v>
      </c>
      <c r="F117" s="1127" t="s">
        <v>2225</v>
      </c>
      <c r="G117" s="903" t="s">
        <v>802</v>
      </c>
      <c r="H117" s="903">
        <v>0</v>
      </c>
      <c r="I117" s="1133" t="s">
        <v>1181</v>
      </c>
      <c r="J117" s="903">
        <v>1</v>
      </c>
      <c r="K117" s="903">
        <v>21</v>
      </c>
      <c r="L117" s="903">
        <v>1</v>
      </c>
      <c r="M117" s="903">
        <v>4</v>
      </c>
      <c r="N117" s="903" t="s">
        <v>1271</v>
      </c>
      <c r="O117" s="903">
        <v>13</v>
      </c>
      <c r="P117" s="1023">
        <v>12914.4</v>
      </c>
      <c r="Q117" s="1023">
        <v>0</v>
      </c>
      <c r="R117" s="1021">
        <v>12914.4</v>
      </c>
      <c r="S117" s="1021">
        <v>8943.3799999999992</v>
      </c>
      <c r="T117" s="1021">
        <v>8943.3799999999992</v>
      </c>
      <c r="U117" s="1021">
        <v>7903.67</v>
      </c>
      <c r="V117" s="1021">
        <v>7903.67</v>
      </c>
    </row>
    <row r="118" spans="1:22" x14ac:dyDescent="0.25">
      <c r="A118" s="1088">
        <v>4089100300</v>
      </c>
      <c r="B118" s="903">
        <v>2</v>
      </c>
      <c r="C118" s="903">
        <v>4</v>
      </c>
      <c r="D118" s="903">
        <v>3</v>
      </c>
      <c r="E118" s="903" t="s">
        <v>1269</v>
      </c>
      <c r="F118" s="1127" t="s">
        <v>2225</v>
      </c>
      <c r="G118" s="903" t="s">
        <v>802</v>
      </c>
      <c r="H118" s="903">
        <v>0</v>
      </c>
      <c r="I118" s="1133" t="s">
        <v>1189</v>
      </c>
      <c r="J118" s="903">
        <v>1</v>
      </c>
      <c r="K118" s="903">
        <v>21</v>
      </c>
      <c r="L118" s="903">
        <v>1</v>
      </c>
      <c r="M118" s="903">
        <v>4</v>
      </c>
      <c r="N118" s="903" t="s">
        <v>1271</v>
      </c>
      <c r="O118" s="903">
        <v>13</v>
      </c>
      <c r="P118" s="1023">
        <v>0</v>
      </c>
      <c r="Q118" s="1023">
        <v>8500</v>
      </c>
      <c r="R118" s="1021">
        <v>8500</v>
      </c>
      <c r="S118" s="1021">
        <v>8500</v>
      </c>
      <c r="T118" s="1021">
        <v>8500</v>
      </c>
      <c r="U118" s="1021">
        <v>8500</v>
      </c>
      <c r="V118" s="1021">
        <v>8500</v>
      </c>
    </row>
    <row r="119" spans="1:22" x14ac:dyDescent="0.25">
      <c r="A119" s="1088">
        <v>4089100300</v>
      </c>
      <c r="B119" s="903">
        <v>2</v>
      </c>
      <c r="C119" s="903">
        <v>4</v>
      </c>
      <c r="D119" s="903">
        <v>3</v>
      </c>
      <c r="E119" s="903" t="s">
        <v>1269</v>
      </c>
      <c r="F119" s="1127" t="s">
        <v>2225</v>
      </c>
      <c r="G119" s="903" t="s">
        <v>802</v>
      </c>
      <c r="H119" s="903">
        <v>0</v>
      </c>
      <c r="I119" s="1133" t="s">
        <v>1203</v>
      </c>
      <c r="J119" s="903">
        <v>1</v>
      </c>
      <c r="K119" s="903">
        <v>21</v>
      </c>
      <c r="L119" s="903">
        <v>1</v>
      </c>
      <c r="M119" s="903">
        <v>4</v>
      </c>
      <c r="N119" s="903" t="s">
        <v>1271</v>
      </c>
      <c r="O119" s="903">
        <v>13</v>
      </c>
      <c r="P119" s="1023">
        <v>223114.44</v>
      </c>
      <c r="Q119" s="1023">
        <v>0</v>
      </c>
      <c r="R119" s="1021">
        <v>223114.44</v>
      </c>
      <c r="S119" s="1021">
        <v>179699.88</v>
      </c>
      <c r="T119" s="1021">
        <v>179699.88</v>
      </c>
      <c r="U119" s="1021">
        <v>179699.88</v>
      </c>
      <c r="V119" s="1021">
        <v>179699.88</v>
      </c>
    </row>
    <row r="120" spans="1:22" x14ac:dyDescent="0.25">
      <c r="A120" s="1088">
        <v>4089100300</v>
      </c>
      <c r="B120" s="903">
        <v>2</v>
      </c>
      <c r="C120" s="903">
        <v>4</v>
      </c>
      <c r="D120" s="903">
        <v>3</v>
      </c>
      <c r="E120" s="903" t="s">
        <v>1269</v>
      </c>
      <c r="F120" s="1127" t="s">
        <v>2225</v>
      </c>
      <c r="G120" s="903" t="s">
        <v>802</v>
      </c>
      <c r="H120" s="903">
        <v>0</v>
      </c>
      <c r="I120" s="1133" t="s">
        <v>1210</v>
      </c>
      <c r="J120" s="903">
        <v>1</v>
      </c>
      <c r="K120" s="903">
        <v>21</v>
      </c>
      <c r="L120" s="903">
        <v>1</v>
      </c>
      <c r="M120" s="903">
        <v>4</v>
      </c>
      <c r="N120" s="903" t="s">
        <v>1271</v>
      </c>
      <c r="O120" s="903">
        <v>13</v>
      </c>
      <c r="P120" s="1023">
        <v>17623.8</v>
      </c>
      <c r="Q120" s="1023">
        <v>0</v>
      </c>
      <c r="R120" s="1021">
        <v>17623.8</v>
      </c>
      <c r="S120" s="1021">
        <v>10624.47</v>
      </c>
      <c r="T120" s="1021">
        <v>10624.47</v>
      </c>
      <c r="U120" s="1021">
        <v>10624.47</v>
      </c>
      <c r="V120" s="1021">
        <v>10624.47</v>
      </c>
    </row>
    <row r="121" spans="1:22" x14ac:dyDescent="0.25">
      <c r="A121" s="1088">
        <v>4089100300</v>
      </c>
      <c r="B121" s="903">
        <v>2</v>
      </c>
      <c r="C121" s="903">
        <v>4</v>
      </c>
      <c r="D121" s="903">
        <v>3</v>
      </c>
      <c r="E121" s="903" t="s">
        <v>1269</v>
      </c>
      <c r="F121" s="1127" t="s">
        <v>2225</v>
      </c>
      <c r="G121" s="903" t="s">
        <v>802</v>
      </c>
      <c r="H121" s="903">
        <v>0</v>
      </c>
      <c r="I121" s="1133" t="s">
        <v>1212</v>
      </c>
      <c r="J121" s="903">
        <v>1</v>
      </c>
      <c r="K121" s="903">
        <v>21</v>
      </c>
      <c r="L121" s="903">
        <v>1</v>
      </c>
      <c r="M121" s="903">
        <v>4</v>
      </c>
      <c r="N121" s="903" t="s">
        <v>1271</v>
      </c>
      <c r="O121" s="903">
        <v>13</v>
      </c>
      <c r="P121" s="1023">
        <v>3055.56</v>
      </c>
      <c r="Q121" s="1023">
        <v>8300</v>
      </c>
      <c r="R121" s="1021">
        <v>11355.56</v>
      </c>
      <c r="S121" s="1021">
        <v>11000</v>
      </c>
      <c r="T121" s="1021">
        <v>11000</v>
      </c>
      <c r="U121" s="1021">
        <v>11000</v>
      </c>
      <c r="V121" s="1021">
        <v>11000</v>
      </c>
    </row>
    <row r="122" spans="1:22" x14ac:dyDescent="0.25">
      <c r="A122" s="1088">
        <v>4089100300</v>
      </c>
      <c r="B122" s="903">
        <v>2</v>
      </c>
      <c r="C122" s="903">
        <v>4</v>
      </c>
      <c r="D122" s="903">
        <v>3</v>
      </c>
      <c r="E122" s="903" t="s">
        <v>1269</v>
      </c>
      <c r="F122" s="1127" t="s">
        <v>2225</v>
      </c>
      <c r="G122" s="903" t="s">
        <v>802</v>
      </c>
      <c r="H122" s="903">
        <v>0</v>
      </c>
      <c r="I122" s="1133" t="s">
        <v>1214</v>
      </c>
      <c r="J122" s="903">
        <v>1</v>
      </c>
      <c r="K122" s="903">
        <v>21</v>
      </c>
      <c r="L122" s="903">
        <v>1</v>
      </c>
      <c r="M122" s="903">
        <v>4</v>
      </c>
      <c r="N122" s="903" t="s">
        <v>1271</v>
      </c>
      <c r="O122" s="903">
        <v>13</v>
      </c>
      <c r="P122" s="1023">
        <v>451110</v>
      </c>
      <c r="Q122" s="1023">
        <v>-86874.43</v>
      </c>
      <c r="R122" s="1021">
        <v>364235.57</v>
      </c>
      <c r="S122" s="1021">
        <v>18181.97</v>
      </c>
      <c r="T122" s="1021">
        <v>18181.97</v>
      </c>
      <c r="U122" s="1021">
        <v>18181.97</v>
      </c>
      <c r="V122" s="1021">
        <v>18181.97</v>
      </c>
    </row>
    <row r="123" spans="1:22" x14ac:dyDescent="0.25">
      <c r="A123" s="1088">
        <v>4089100300</v>
      </c>
      <c r="B123" s="903">
        <v>2</v>
      </c>
      <c r="C123" s="903">
        <v>4</v>
      </c>
      <c r="D123" s="903">
        <v>3</v>
      </c>
      <c r="E123" s="903" t="s">
        <v>1269</v>
      </c>
      <c r="F123" s="1127" t="s">
        <v>2225</v>
      </c>
      <c r="G123" s="903" t="s">
        <v>802</v>
      </c>
      <c r="H123" s="903">
        <v>0</v>
      </c>
      <c r="I123" s="1133" t="s">
        <v>1216</v>
      </c>
      <c r="J123" s="903">
        <v>1</v>
      </c>
      <c r="K123" s="903">
        <v>21</v>
      </c>
      <c r="L123" s="903">
        <v>1</v>
      </c>
      <c r="M123" s="903">
        <v>4</v>
      </c>
      <c r="N123" s="903" t="s">
        <v>1271</v>
      </c>
      <c r="O123" s="903">
        <v>13</v>
      </c>
      <c r="P123" s="1023">
        <v>70354.559999999998</v>
      </c>
      <c r="Q123" s="1023">
        <v>0</v>
      </c>
      <c r="R123" s="1021">
        <v>70354.559999999998</v>
      </c>
      <c r="S123" s="1021">
        <v>43709.16</v>
      </c>
      <c r="T123" s="1021">
        <v>43709.16</v>
      </c>
      <c r="U123" s="1021">
        <v>43709.16</v>
      </c>
      <c r="V123" s="1021">
        <v>43709.16</v>
      </c>
    </row>
    <row r="124" spans="1:22" x14ac:dyDescent="0.25">
      <c r="A124" s="1088">
        <v>4089100300</v>
      </c>
      <c r="B124" s="903">
        <v>2</v>
      </c>
      <c r="C124" s="903">
        <v>4</v>
      </c>
      <c r="D124" s="903">
        <v>3</v>
      </c>
      <c r="E124" s="903" t="s">
        <v>1269</v>
      </c>
      <c r="F124" s="1127" t="s">
        <v>2225</v>
      </c>
      <c r="G124" s="903" t="s">
        <v>802</v>
      </c>
      <c r="H124" s="903">
        <v>0</v>
      </c>
      <c r="I124" s="1133" t="s">
        <v>1218</v>
      </c>
      <c r="J124" s="903">
        <v>1</v>
      </c>
      <c r="K124" s="903">
        <v>21</v>
      </c>
      <c r="L124" s="903">
        <v>1</v>
      </c>
      <c r="M124" s="903">
        <v>4</v>
      </c>
      <c r="N124" s="903" t="s">
        <v>1271</v>
      </c>
      <c r="O124" s="903">
        <v>13</v>
      </c>
      <c r="P124" s="1023">
        <v>43523.4</v>
      </c>
      <c r="Q124" s="1023">
        <v>0</v>
      </c>
      <c r="R124" s="1021">
        <v>43523.4</v>
      </c>
      <c r="S124" s="1021">
        <v>12420</v>
      </c>
      <c r="T124" s="1021">
        <v>12420</v>
      </c>
      <c r="U124" s="1021">
        <v>10212</v>
      </c>
      <c r="V124" s="1021">
        <v>10212</v>
      </c>
    </row>
    <row r="125" spans="1:22" x14ac:dyDescent="0.25">
      <c r="A125" s="1088">
        <v>4089100300</v>
      </c>
      <c r="B125" s="903">
        <v>2</v>
      </c>
      <c r="C125" s="903">
        <v>4</v>
      </c>
      <c r="D125" s="903">
        <v>3</v>
      </c>
      <c r="E125" s="903" t="s">
        <v>1269</v>
      </c>
      <c r="F125" s="1127" t="s">
        <v>2225</v>
      </c>
      <c r="G125" s="903" t="s">
        <v>802</v>
      </c>
      <c r="H125" s="903">
        <v>0</v>
      </c>
      <c r="I125" s="1133" t="s">
        <v>1284</v>
      </c>
      <c r="J125" s="903">
        <v>1</v>
      </c>
      <c r="K125" s="903">
        <v>21</v>
      </c>
      <c r="L125" s="903">
        <v>1</v>
      </c>
      <c r="M125" s="903">
        <v>4</v>
      </c>
      <c r="N125" s="903" t="s">
        <v>1271</v>
      </c>
      <c r="O125" s="903">
        <v>13</v>
      </c>
      <c r="P125" s="1023">
        <v>931.44</v>
      </c>
      <c r="Q125" s="1023">
        <v>-51.72</v>
      </c>
      <c r="R125" s="1021">
        <v>879.72</v>
      </c>
      <c r="S125" s="1021">
        <v>213.8</v>
      </c>
      <c r="T125" s="1021">
        <v>213.8</v>
      </c>
      <c r="U125" s="1021">
        <v>213.8</v>
      </c>
      <c r="V125" s="1021">
        <v>213.8</v>
      </c>
    </row>
    <row r="126" spans="1:22" x14ac:dyDescent="0.25">
      <c r="A126" s="1088">
        <v>4089100300</v>
      </c>
      <c r="B126" s="903">
        <v>2</v>
      </c>
      <c r="C126" s="903">
        <v>4</v>
      </c>
      <c r="D126" s="903">
        <v>3</v>
      </c>
      <c r="E126" s="903" t="s">
        <v>1269</v>
      </c>
      <c r="F126" s="1127" t="s">
        <v>2225</v>
      </c>
      <c r="G126" s="903" t="s">
        <v>802</v>
      </c>
      <c r="H126" s="903">
        <v>0</v>
      </c>
      <c r="I126" s="1133" t="s">
        <v>1233</v>
      </c>
      <c r="J126" s="903">
        <v>1</v>
      </c>
      <c r="K126" s="903">
        <v>21</v>
      </c>
      <c r="L126" s="903">
        <v>1</v>
      </c>
      <c r="M126" s="903">
        <v>4</v>
      </c>
      <c r="N126" s="903" t="s">
        <v>1271</v>
      </c>
      <c r="O126" s="903">
        <v>13</v>
      </c>
      <c r="P126" s="1023">
        <v>18810.72</v>
      </c>
      <c r="Q126" s="1023">
        <v>0</v>
      </c>
      <c r="R126" s="1021">
        <v>18810.72</v>
      </c>
      <c r="S126" s="1021">
        <v>9859.9</v>
      </c>
      <c r="T126" s="1021">
        <v>9859.9</v>
      </c>
      <c r="U126" s="1021">
        <v>9859.9</v>
      </c>
      <c r="V126" s="1021">
        <v>9859.9</v>
      </c>
    </row>
    <row r="127" spans="1:22" x14ac:dyDescent="0.25">
      <c r="A127" s="1088">
        <v>4089100300</v>
      </c>
      <c r="B127" s="903">
        <v>2</v>
      </c>
      <c r="C127" s="903">
        <v>4</v>
      </c>
      <c r="D127" s="903">
        <v>3</v>
      </c>
      <c r="E127" s="903" t="s">
        <v>1269</v>
      </c>
      <c r="F127" s="1127" t="s">
        <v>2225</v>
      </c>
      <c r="G127" s="903" t="s">
        <v>802</v>
      </c>
      <c r="H127" s="903">
        <v>0</v>
      </c>
      <c r="I127" s="1133" t="s">
        <v>1238</v>
      </c>
      <c r="J127" s="903">
        <v>1</v>
      </c>
      <c r="K127" s="903">
        <v>21</v>
      </c>
      <c r="L127" s="903">
        <v>1</v>
      </c>
      <c r="M127" s="903">
        <v>4</v>
      </c>
      <c r="N127" s="903" t="s">
        <v>1271</v>
      </c>
      <c r="O127" s="903">
        <v>13</v>
      </c>
      <c r="P127" s="1023">
        <v>442.56</v>
      </c>
      <c r="Q127" s="1023">
        <v>55162.86</v>
      </c>
      <c r="R127" s="1021">
        <v>55605.42</v>
      </c>
      <c r="S127" s="1021">
        <v>55605.42</v>
      </c>
      <c r="T127" s="1021">
        <v>55605.42</v>
      </c>
      <c r="U127" s="1021">
        <v>55605.42</v>
      </c>
      <c r="V127" s="1021">
        <v>55605.42</v>
      </c>
    </row>
    <row r="128" spans="1:22" x14ac:dyDescent="0.25">
      <c r="A128" s="1088">
        <v>4089100300</v>
      </c>
      <c r="B128" s="903">
        <v>2</v>
      </c>
      <c r="C128" s="903">
        <v>4</v>
      </c>
      <c r="D128" s="903">
        <v>3</v>
      </c>
      <c r="E128" s="903" t="s">
        <v>1269</v>
      </c>
      <c r="F128" s="1127" t="s">
        <v>2225</v>
      </c>
      <c r="G128" s="903" t="s">
        <v>802</v>
      </c>
      <c r="H128" s="903">
        <v>0</v>
      </c>
      <c r="I128" s="1133" t="s">
        <v>1240</v>
      </c>
      <c r="J128" s="903">
        <v>1</v>
      </c>
      <c r="K128" s="903">
        <v>21</v>
      </c>
      <c r="L128" s="903">
        <v>1</v>
      </c>
      <c r="M128" s="903">
        <v>4</v>
      </c>
      <c r="N128" s="903" t="s">
        <v>1271</v>
      </c>
      <c r="O128" s="903">
        <v>13</v>
      </c>
      <c r="P128" s="1023">
        <v>1500</v>
      </c>
      <c r="Q128" s="1023">
        <v>0</v>
      </c>
      <c r="R128" s="1021">
        <v>1500</v>
      </c>
      <c r="S128" s="1021">
        <v>1500</v>
      </c>
      <c r="T128" s="1021">
        <v>1500</v>
      </c>
      <c r="U128" s="1021">
        <v>1500</v>
      </c>
      <c r="V128" s="1021">
        <v>1500</v>
      </c>
    </row>
    <row r="129" spans="1:22" x14ac:dyDescent="0.25">
      <c r="A129" s="1088">
        <v>4089100300</v>
      </c>
      <c r="B129" s="903">
        <v>2</v>
      </c>
      <c r="C129" s="903">
        <v>4</v>
      </c>
      <c r="D129" s="903">
        <v>3</v>
      </c>
      <c r="E129" s="903" t="s">
        <v>1269</v>
      </c>
      <c r="F129" s="1127" t="s">
        <v>2225</v>
      </c>
      <c r="G129" s="903" t="s">
        <v>802</v>
      </c>
      <c r="H129" s="903">
        <v>0</v>
      </c>
      <c r="I129" s="1133" t="s">
        <v>1244</v>
      </c>
      <c r="J129" s="903">
        <v>1</v>
      </c>
      <c r="K129" s="903">
        <v>21</v>
      </c>
      <c r="L129" s="903">
        <v>1</v>
      </c>
      <c r="M129" s="903">
        <v>4</v>
      </c>
      <c r="N129" s="903" t="s">
        <v>1271</v>
      </c>
      <c r="O129" s="903">
        <v>13</v>
      </c>
      <c r="P129" s="1023">
        <v>51039.48</v>
      </c>
      <c r="Q129" s="1023">
        <v>4892</v>
      </c>
      <c r="R129" s="1021">
        <v>55931.48</v>
      </c>
      <c r="S129" s="1021">
        <v>55118</v>
      </c>
      <c r="T129" s="1021">
        <v>55118</v>
      </c>
      <c r="U129" s="1021">
        <v>55118</v>
      </c>
      <c r="V129" s="1021">
        <v>55118</v>
      </c>
    </row>
    <row r="130" spans="1:22" x14ac:dyDescent="0.25">
      <c r="A130" s="1088">
        <v>4089100300</v>
      </c>
      <c r="B130" s="903">
        <v>2</v>
      </c>
      <c r="C130" s="903">
        <v>4</v>
      </c>
      <c r="D130" s="903">
        <v>3</v>
      </c>
      <c r="E130" s="903" t="s">
        <v>1269</v>
      </c>
      <c r="F130" s="1127" t="s">
        <v>2225</v>
      </c>
      <c r="G130" s="903" t="s">
        <v>802</v>
      </c>
      <c r="H130" s="903">
        <v>0</v>
      </c>
      <c r="I130" s="1133" t="s">
        <v>1248</v>
      </c>
      <c r="J130" s="903">
        <v>1</v>
      </c>
      <c r="K130" s="903">
        <v>21</v>
      </c>
      <c r="L130" s="903">
        <v>1</v>
      </c>
      <c r="M130" s="903">
        <v>4</v>
      </c>
      <c r="N130" s="903" t="s">
        <v>1271</v>
      </c>
      <c r="O130" s="903">
        <v>13</v>
      </c>
      <c r="P130" s="1023">
        <v>161934</v>
      </c>
      <c r="Q130" s="1023">
        <v>0</v>
      </c>
      <c r="R130" s="1021">
        <v>161934</v>
      </c>
      <c r="S130" s="1021">
        <v>98475</v>
      </c>
      <c r="T130" s="1021">
        <v>98475</v>
      </c>
      <c r="U130" s="1021">
        <v>89966</v>
      </c>
      <c r="V130" s="1021">
        <v>89966</v>
      </c>
    </row>
    <row r="131" spans="1:22" x14ac:dyDescent="0.25">
      <c r="A131" s="1088">
        <v>4089100400</v>
      </c>
      <c r="B131" s="903">
        <v>2</v>
      </c>
      <c r="C131" s="903">
        <v>4</v>
      </c>
      <c r="D131" s="903">
        <v>3</v>
      </c>
      <c r="E131" s="903" t="s">
        <v>1269</v>
      </c>
      <c r="F131" s="1127" t="s">
        <v>2225</v>
      </c>
      <c r="G131" s="903" t="s">
        <v>802</v>
      </c>
      <c r="H131" s="903">
        <v>0</v>
      </c>
      <c r="I131" s="1132" t="s">
        <v>1270</v>
      </c>
      <c r="J131" s="903">
        <v>1</v>
      </c>
      <c r="K131" s="903">
        <v>21</v>
      </c>
      <c r="L131" s="903">
        <v>1</v>
      </c>
      <c r="M131" s="903">
        <v>4</v>
      </c>
      <c r="N131" s="903" t="s">
        <v>1271</v>
      </c>
      <c r="O131" s="903">
        <v>13</v>
      </c>
      <c r="P131" s="1021">
        <v>10550226.24</v>
      </c>
      <c r="Q131" s="1021">
        <v>-300000</v>
      </c>
      <c r="R131" s="1021">
        <v>10250226.24</v>
      </c>
      <c r="S131" s="1021">
        <v>10250226.24</v>
      </c>
      <c r="T131" s="1021">
        <v>7845326.5099999998</v>
      </c>
      <c r="U131" s="1021">
        <v>7845326.5099999998</v>
      </c>
      <c r="V131" s="1021">
        <v>7845326.5099999998</v>
      </c>
    </row>
    <row r="132" spans="1:22" x14ac:dyDescent="0.25">
      <c r="A132" s="1088">
        <v>4089100400</v>
      </c>
      <c r="B132" s="903">
        <v>2</v>
      </c>
      <c r="C132" s="903">
        <v>4</v>
      </c>
      <c r="D132" s="903">
        <v>3</v>
      </c>
      <c r="E132" s="903" t="s">
        <v>1269</v>
      </c>
      <c r="F132" s="1127" t="s">
        <v>2225</v>
      </c>
      <c r="G132" s="903" t="s">
        <v>802</v>
      </c>
      <c r="H132" s="903">
        <v>0</v>
      </c>
      <c r="I132" s="1132" t="s">
        <v>1272</v>
      </c>
      <c r="J132" s="903">
        <v>1</v>
      </c>
      <c r="K132" s="903">
        <v>21</v>
      </c>
      <c r="L132" s="903">
        <v>1</v>
      </c>
      <c r="M132" s="903">
        <v>4</v>
      </c>
      <c r="N132" s="903" t="s">
        <v>1271</v>
      </c>
      <c r="O132" s="903">
        <v>13</v>
      </c>
      <c r="P132" s="1021">
        <v>833266.32</v>
      </c>
      <c r="Q132" s="1021">
        <v>0</v>
      </c>
      <c r="R132" s="1021">
        <v>833266.32</v>
      </c>
      <c r="S132" s="1021">
        <v>833266.32</v>
      </c>
      <c r="T132" s="1021">
        <v>542833.73</v>
      </c>
      <c r="U132" s="1021">
        <v>526033.73</v>
      </c>
      <c r="V132" s="1021">
        <v>526033.73</v>
      </c>
    </row>
    <row r="133" spans="1:22" x14ac:dyDescent="0.25">
      <c r="A133" s="1088">
        <v>4089100400</v>
      </c>
      <c r="B133" s="903">
        <v>2</v>
      </c>
      <c r="C133" s="903">
        <v>4</v>
      </c>
      <c r="D133" s="903">
        <v>3</v>
      </c>
      <c r="E133" s="903" t="s">
        <v>1269</v>
      </c>
      <c r="F133" s="1127" t="s">
        <v>2225</v>
      </c>
      <c r="G133" s="903" t="s">
        <v>802</v>
      </c>
      <c r="H133" s="903">
        <v>0</v>
      </c>
      <c r="I133" s="1132" t="s">
        <v>1273</v>
      </c>
      <c r="J133" s="903">
        <v>1</v>
      </c>
      <c r="K133" s="903">
        <v>21</v>
      </c>
      <c r="L133" s="903">
        <v>1</v>
      </c>
      <c r="M133" s="903">
        <v>4</v>
      </c>
      <c r="N133" s="903" t="s">
        <v>1271</v>
      </c>
      <c r="O133" s="903">
        <v>13</v>
      </c>
      <c r="P133" s="1021">
        <v>767149.44</v>
      </c>
      <c r="Q133" s="1021">
        <v>0</v>
      </c>
      <c r="R133" s="1021">
        <v>767149.44</v>
      </c>
      <c r="S133" s="1021">
        <v>767149.44</v>
      </c>
      <c r="T133" s="1021">
        <v>540000</v>
      </c>
      <c r="U133" s="1021">
        <v>540000</v>
      </c>
      <c r="V133" s="1021">
        <v>540000</v>
      </c>
    </row>
    <row r="134" spans="1:22" x14ac:dyDescent="0.25">
      <c r="A134" s="1088">
        <v>4089100400</v>
      </c>
      <c r="B134" s="903">
        <v>2</v>
      </c>
      <c r="C134" s="903">
        <v>4</v>
      </c>
      <c r="D134" s="903">
        <v>3</v>
      </c>
      <c r="E134" s="903" t="s">
        <v>1269</v>
      </c>
      <c r="F134" s="1127" t="s">
        <v>2225</v>
      </c>
      <c r="G134" s="903" t="s">
        <v>802</v>
      </c>
      <c r="H134" s="903">
        <v>0</v>
      </c>
      <c r="I134" s="1132" t="s">
        <v>1274</v>
      </c>
      <c r="J134" s="903">
        <v>1</v>
      </c>
      <c r="K134" s="903">
        <v>21</v>
      </c>
      <c r="L134" s="903">
        <v>1</v>
      </c>
      <c r="M134" s="903">
        <v>4</v>
      </c>
      <c r="N134" s="903" t="s">
        <v>1271</v>
      </c>
      <c r="O134" s="903">
        <v>13</v>
      </c>
      <c r="P134" s="1021">
        <v>351678.84</v>
      </c>
      <c r="Q134" s="1021">
        <v>0</v>
      </c>
      <c r="R134" s="1021">
        <v>351678.84</v>
      </c>
      <c r="S134" s="1021">
        <v>351678.84</v>
      </c>
      <c r="T134" s="1021">
        <v>316632.42</v>
      </c>
      <c r="U134" s="1021">
        <v>316632.42</v>
      </c>
      <c r="V134" s="1021">
        <v>316632.42</v>
      </c>
    </row>
    <row r="135" spans="1:22" x14ac:dyDescent="0.25">
      <c r="A135" s="1088">
        <v>4089100400</v>
      </c>
      <c r="B135" s="903">
        <v>2</v>
      </c>
      <c r="C135" s="903">
        <v>4</v>
      </c>
      <c r="D135" s="903">
        <v>3</v>
      </c>
      <c r="E135" s="903" t="s">
        <v>1269</v>
      </c>
      <c r="F135" s="1127" t="s">
        <v>2225</v>
      </c>
      <c r="G135" s="903" t="s">
        <v>802</v>
      </c>
      <c r="H135" s="903">
        <v>0</v>
      </c>
      <c r="I135" s="1132" t="s">
        <v>1275</v>
      </c>
      <c r="J135" s="903">
        <v>1</v>
      </c>
      <c r="K135" s="903">
        <v>21</v>
      </c>
      <c r="L135" s="903">
        <v>1</v>
      </c>
      <c r="M135" s="903">
        <v>4</v>
      </c>
      <c r="N135" s="903" t="s">
        <v>1271</v>
      </c>
      <c r="O135" s="903">
        <v>13</v>
      </c>
      <c r="P135" s="1021">
        <v>1319520.3600000001</v>
      </c>
      <c r="Q135" s="1021">
        <v>-21816.76</v>
      </c>
      <c r="R135" s="1021">
        <v>1297703.6000000001</v>
      </c>
      <c r="S135" s="1021">
        <v>1297703.6000000001</v>
      </c>
      <c r="T135" s="1021">
        <v>880535.04000000004</v>
      </c>
      <c r="U135" s="1021">
        <v>880535.04000000004</v>
      </c>
      <c r="V135" s="1021">
        <v>880535.04000000004</v>
      </c>
    </row>
    <row r="136" spans="1:22" x14ac:dyDescent="0.25">
      <c r="A136" s="1088">
        <v>4089100400</v>
      </c>
      <c r="B136" s="903">
        <v>2</v>
      </c>
      <c r="C136" s="903">
        <v>4</v>
      </c>
      <c r="D136" s="903">
        <v>3</v>
      </c>
      <c r="E136" s="903" t="s">
        <v>1269</v>
      </c>
      <c r="F136" s="1127" t="s">
        <v>2225</v>
      </c>
      <c r="G136" s="903" t="s">
        <v>802</v>
      </c>
      <c r="H136" s="903">
        <v>0</v>
      </c>
      <c r="I136" s="1132" t="s">
        <v>1276</v>
      </c>
      <c r="J136" s="903">
        <v>1</v>
      </c>
      <c r="K136" s="903">
        <v>21</v>
      </c>
      <c r="L136" s="903">
        <v>1</v>
      </c>
      <c r="M136" s="903">
        <v>4</v>
      </c>
      <c r="N136" s="903" t="s">
        <v>1271</v>
      </c>
      <c r="O136" s="903">
        <v>13</v>
      </c>
      <c r="P136" s="1021">
        <v>1894090.32</v>
      </c>
      <c r="Q136" s="1021">
        <v>0</v>
      </c>
      <c r="R136" s="1021">
        <v>1894090.32</v>
      </c>
      <c r="S136" s="1021">
        <v>1894090.32</v>
      </c>
      <c r="T136" s="1021">
        <v>1284273.23</v>
      </c>
      <c r="U136" s="1021">
        <v>0</v>
      </c>
      <c r="V136" s="1021">
        <v>0</v>
      </c>
    </row>
    <row r="137" spans="1:22" x14ac:dyDescent="0.25">
      <c r="A137" s="1088">
        <v>4089100400</v>
      </c>
      <c r="B137" s="903">
        <v>2</v>
      </c>
      <c r="C137" s="903">
        <v>4</v>
      </c>
      <c r="D137" s="903">
        <v>3</v>
      </c>
      <c r="E137" s="903" t="s">
        <v>1269</v>
      </c>
      <c r="F137" s="1127" t="s">
        <v>2225</v>
      </c>
      <c r="G137" s="903" t="s">
        <v>802</v>
      </c>
      <c r="H137" s="903">
        <v>0</v>
      </c>
      <c r="I137" s="1132" t="s">
        <v>1285</v>
      </c>
      <c r="J137" s="903">
        <v>1</v>
      </c>
      <c r="K137" s="903">
        <v>21</v>
      </c>
      <c r="L137" s="903">
        <v>1</v>
      </c>
      <c r="M137" s="903">
        <v>4</v>
      </c>
      <c r="N137" s="903" t="s">
        <v>1271</v>
      </c>
      <c r="O137" s="903">
        <v>13</v>
      </c>
      <c r="P137" s="1021">
        <v>7891.2</v>
      </c>
      <c r="Q137" s="1021">
        <v>0</v>
      </c>
      <c r="R137" s="1021">
        <v>7891.2</v>
      </c>
      <c r="S137" s="1021">
        <v>7891.2</v>
      </c>
      <c r="T137" s="1021">
        <v>4139.2299999999996</v>
      </c>
      <c r="U137" s="1021">
        <v>4139.2299999999996</v>
      </c>
      <c r="V137" s="1021">
        <v>4139.2299999999996</v>
      </c>
    </row>
    <row r="138" spans="1:22" x14ac:dyDescent="0.25">
      <c r="A138" s="1088">
        <v>4089100400</v>
      </c>
      <c r="B138" s="903">
        <v>2</v>
      </c>
      <c r="C138" s="903">
        <v>4</v>
      </c>
      <c r="D138" s="903">
        <v>3</v>
      </c>
      <c r="E138" s="903" t="s">
        <v>1269</v>
      </c>
      <c r="F138" s="1127" t="s">
        <v>2225</v>
      </c>
      <c r="G138" s="903" t="s">
        <v>802</v>
      </c>
      <c r="H138" s="903">
        <v>0</v>
      </c>
      <c r="I138" s="1132" t="s">
        <v>1277</v>
      </c>
      <c r="J138" s="903">
        <v>1</v>
      </c>
      <c r="K138" s="903">
        <v>21</v>
      </c>
      <c r="L138" s="903">
        <v>1</v>
      </c>
      <c r="M138" s="903">
        <v>4</v>
      </c>
      <c r="N138" s="903" t="s">
        <v>1271</v>
      </c>
      <c r="O138" s="903">
        <v>13</v>
      </c>
      <c r="P138" s="1021">
        <v>1285599.72</v>
      </c>
      <c r="Q138" s="1021">
        <v>0</v>
      </c>
      <c r="R138" s="1021">
        <v>1285599.72</v>
      </c>
      <c r="S138" s="1021">
        <v>1285599.72</v>
      </c>
      <c r="T138" s="1021">
        <v>957503.15</v>
      </c>
      <c r="U138" s="1021">
        <v>849662.24</v>
      </c>
      <c r="V138" s="1021">
        <v>849662.24</v>
      </c>
    </row>
    <row r="139" spans="1:22" x14ac:dyDescent="0.25">
      <c r="A139" s="1088">
        <v>4089100400</v>
      </c>
      <c r="B139" s="903">
        <v>2</v>
      </c>
      <c r="C139" s="903">
        <v>4</v>
      </c>
      <c r="D139" s="903">
        <v>3</v>
      </c>
      <c r="E139" s="903" t="s">
        <v>1269</v>
      </c>
      <c r="F139" s="1127" t="s">
        <v>2225</v>
      </c>
      <c r="G139" s="903" t="s">
        <v>802</v>
      </c>
      <c r="H139" s="903">
        <v>0</v>
      </c>
      <c r="I139" s="1132" t="s">
        <v>1278</v>
      </c>
      <c r="J139" s="903">
        <v>1</v>
      </c>
      <c r="K139" s="903">
        <v>21</v>
      </c>
      <c r="L139" s="903">
        <v>1</v>
      </c>
      <c r="M139" s="903">
        <v>4</v>
      </c>
      <c r="N139" s="903" t="s">
        <v>1271</v>
      </c>
      <c r="O139" s="903">
        <v>13</v>
      </c>
      <c r="P139" s="1021">
        <v>594220.92000000004</v>
      </c>
      <c r="Q139" s="1021">
        <v>0</v>
      </c>
      <c r="R139" s="1021">
        <v>594220.92000000004</v>
      </c>
      <c r="S139" s="1021">
        <v>594220.92000000004</v>
      </c>
      <c r="T139" s="1021">
        <v>413126</v>
      </c>
      <c r="U139" s="1021">
        <v>365579.45</v>
      </c>
      <c r="V139" s="1021">
        <v>365579.45</v>
      </c>
    </row>
    <row r="140" spans="1:22" x14ac:dyDescent="0.25">
      <c r="A140" s="1088">
        <v>4089100400</v>
      </c>
      <c r="B140" s="903">
        <v>2</v>
      </c>
      <c r="C140" s="903">
        <v>4</v>
      </c>
      <c r="D140" s="903">
        <v>3</v>
      </c>
      <c r="E140" s="903" t="s">
        <v>1269</v>
      </c>
      <c r="F140" s="1127" t="s">
        <v>2225</v>
      </c>
      <c r="G140" s="903" t="s">
        <v>802</v>
      </c>
      <c r="H140" s="903">
        <v>0</v>
      </c>
      <c r="I140" s="1132" t="s">
        <v>1279</v>
      </c>
      <c r="J140" s="903">
        <v>1</v>
      </c>
      <c r="K140" s="903">
        <v>21</v>
      </c>
      <c r="L140" s="903">
        <v>1</v>
      </c>
      <c r="M140" s="903">
        <v>4</v>
      </c>
      <c r="N140" s="903" t="s">
        <v>1271</v>
      </c>
      <c r="O140" s="903">
        <v>13</v>
      </c>
      <c r="P140" s="1021">
        <v>745694.16</v>
      </c>
      <c r="Q140" s="1021">
        <v>0</v>
      </c>
      <c r="R140" s="1021">
        <v>745694.16</v>
      </c>
      <c r="S140" s="1021">
        <v>745694.16</v>
      </c>
      <c r="T140" s="1021">
        <v>518247.03</v>
      </c>
      <c r="U140" s="1021">
        <v>458576.14</v>
      </c>
      <c r="V140" s="1021">
        <v>458576.14</v>
      </c>
    </row>
    <row r="141" spans="1:22" x14ac:dyDescent="0.25">
      <c r="A141" s="1088">
        <v>4089100400</v>
      </c>
      <c r="B141" s="903">
        <v>2</v>
      </c>
      <c r="C141" s="903">
        <v>4</v>
      </c>
      <c r="D141" s="903">
        <v>3</v>
      </c>
      <c r="E141" s="903" t="s">
        <v>1269</v>
      </c>
      <c r="F141" s="1127" t="s">
        <v>2225</v>
      </c>
      <c r="G141" s="903" t="s">
        <v>802</v>
      </c>
      <c r="H141" s="903">
        <v>0</v>
      </c>
      <c r="I141" s="1132" t="s">
        <v>1280</v>
      </c>
      <c r="J141" s="903">
        <v>1</v>
      </c>
      <c r="K141" s="903">
        <v>21</v>
      </c>
      <c r="L141" s="903">
        <v>1</v>
      </c>
      <c r="M141" s="903">
        <v>4</v>
      </c>
      <c r="N141" s="903" t="s">
        <v>1271</v>
      </c>
      <c r="O141" s="903">
        <v>13</v>
      </c>
      <c r="P141" s="1021">
        <v>984501.12</v>
      </c>
      <c r="Q141" s="1021">
        <v>0</v>
      </c>
      <c r="R141" s="1021">
        <v>984501.12</v>
      </c>
      <c r="S141" s="1021">
        <v>984501.12</v>
      </c>
      <c r="T141" s="1021">
        <v>758424.95</v>
      </c>
      <c r="U141" s="1021">
        <v>0</v>
      </c>
      <c r="V141" s="1021">
        <v>0</v>
      </c>
    </row>
    <row r="142" spans="1:22" x14ac:dyDescent="0.25">
      <c r="A142" s="1088">
        <v>4089100400</v>
      </c>
      <c r="B142" s="903">
        <v>2</v>
      </c>
      <c r="C142" s="903">
        <v>4</v>
      </c>
      <c r="D142" s="903">
        <v>3</v>
      </c>
      <c r="E142" s="903" t="s">
        <v>1269</v>
      </c>
      <c r="F142" s="1127" t="s">
        <v>2225</v>
      </c>
      <c r="G142" s="903" t="s">
        <v>802</v>
      </c>
      <c r="H142" s="903">
        <v>0</v>
      </c>
      <c r="I142" s="1132" t="s">
        <v>1287</v>
      </c>
      <c r="J142" s="903">
        <v>1</v>
      </c>
      <c r="K142" s="903">
        <v>21</v>
      </c>
      <c r="L142" s="903">
        <v>1</v>
      </c>
      <c r="M142" s="903">
        <v>4</v>
      </c>
      <c r="N142" s="903" t="s">
        <v>1271</v>
      </c>
      <c r="O142" s="903">
        <v>13</v>
      </c>
      <c r="P142" s="1021">
        <v>303266.52</v>
      </c>
      <c r="Q142" s="1021">
        <v>-23985.13</v>
      </c>
      <c r="R142" s="1021">
        <v>279281.39</v>
      </c>
      <c r="S142" s="1021">
        <v>279281.39</v>
      </c>
      <c r="T142" s="1021">
        <v>77256.84</v>
      </c>
      <c r="U142" s="1021">
        <v>77256.84</v>
      </c>
      <c r="V142" s="1021">
        <v>77256.84</v>
      </c>
    </row>
    <row r="143" spans="1:22" x14ac:dyDescent="0.25">
      <c r="A143" s="1088">
        <v>4089100400</v>
      </c>
      <c r="B143" s="903">
        <v>2</v>
      </c>
      <c r="C143" s="903">
        <v>4</v>
      </c>
      <c r="D143" s="903">
        <v>3</v>
      </c>
      <c r="E143" s="903" t="s">
        <v>1269</v>
      </c>
      <c r="F143" s="1127" t="s">
        <v>2225</v>
      </c>
      <c r="G143" s="903" t="s">
        <v>802</v>
      </c>
      <c r="H143" s="903">
        <v>0</v>
      </c>
      <c r="I143" s="1132" t="s">
        <v>1281</v>
      </c>
      <c r="J143" s="903">
        <v>1</v>
      </c>
      <c r="K143" s="903">
        <v>21</v>
      </c>
      <c r="L143" s="903">
        <v>1</v>
      </c>
      <c r="M143" s="903">
        <v>4</v>
      </c>
      <c r="N143" s="903" t="s">
        <v>1271</v>
      </c>
      <c r="O143" s="903">
        <v>13</v>
      </c>
      <c r="P143" s="1021">
        <v>322763.15999999997</v>
      </c>
      <c r="Q143" s="1021">
        <v>300000</v>
      </c>
      <c r="R143" s="1021">
        <v>622763.16</v>
      </c>
      <c r="S143" s="1021">
        <v>622763.16</v>
      </c>
      <c r="T143" s="1021">
        <v>601554.13</v>
      </c>
      <c r="U143" s="1021">
        <v>451083.07</v>
      </c>
      <c r="V143" s="1021">
        <v>451083.07</v>
      </c>
    </row>
    <row r="144" spans="1:22" x14ac:dyDescent="0.25">
      <c r="A144" s="1088">
        <v>4089100400</v>
      </c>
      <c r="B144" s="903">
        <v>2</v>
      </c>
      <c r="C144" s="903">
        <v>4</v>
      </c>
      <c r="D144" s="903">
        <v>3</v>
      </c>
      <c r="E144" s="903" t="s">
        <v>1269</v>
      </c>
      <c r="F144" s="1127" t="s">
        <v>2225</v>
      </c>
      <c r="G144" s="903" t="s">
        <v>802</v>
      </c>
      <c r="H144" s="903">
        <v>0</v>
      </c>
      <c r="I144" s="1132" t="s">
        <v>1282</v>
      </c>
      <c r="J144" s="903">
        <v>1</v>
      </c>
      <c r="K144" s="903">
        <v>21</v>
      </c>
      <c r="L144" s="903">
        <v>1</v>
      </c>
      <c r="M144" s="903">
        <v>4</v>
      </c>
      <c r="N144" s="903" t="s">
        <v>1271</v>
      </c>
      <c r="O144" s="903">
        <v>13</v>
      </c>
      <c r="P144" s="1021">
        <v>570040.80000000005</v>
      </c>
      <c r="Q144" s="1021">
        <v>-75195.14</v>
      </c>
      <c r="R144" s="1021">
        <v>494845.66</v>
      </c>
      <c r="S144" s="1021">
        <v>494845.66</v>
      </c>
      <c r="T144" s="1021">
        <v>494845.66</v>
      </c>
      <c r="U144" s="1021">
        <v>494845.66</v>
      </c>
      <c r="V144" s="1021">
        <v>494845.66</v>
      </c>
    </row>
    <row r="145" spans="1:22" x14ac:dyDescent="0.25">
      <c r="A145" s="1088">
        <v>4089100400</v>
      </c>
      <c r="B145" s="903">
        <v>2</v>
      </c>
      <c r="C145" s="903">
        <v>4</v>
      </c>
      <c r="D145" s="903">
        <v>3</v>
      </c>
      <c r="E145" s="903" t="s">
        <v>1269</v>
      </c>
      <c r="F145" s="1127" t="s">
        <v>2225</v>
      </c>
      <c r="G145" s="903" t="s">
        <v>802</v>
      </c>
      <c r="H145" s="903">
        <v>0</v>
      </c>
      <c r="I145" s="1132" t="s">
        <v>1121</v>
      </c>
      <c r="J145" s="903">
        <v>1</v>
      </c>
      <c r="K145" s="903">
        <v>21</v>
      </c>
      <c r="L145" s="903">
        <v>1</v>
      </c>
      <c r="M145" s="903">
        <v>4</v>
      </c>
      <c r="N145" s="903" t="s">
        <v>1271</v>
      </c>
      <c r="O145" s="903">
        <v>13</v>
      </c>
      <c r="P145" s="1021">
        <v>38754</v>
      </c>
      <c r="Q145" s="1021">
        <v>-38754</v>
      </c>
      <c r="R145" s="1021">
        <v>0</v>
      </c>
      <c r="S145" s="1021">
        <v>0</v>
      </c>
      <c r="T145" s="1021">
        <v>0</v>
      </c>
      <c r="U145" s="1021">
        <v>0</v>
      </c>
      <c r="V145" s="1021">
        <v>0</v>
      </c>
    </row>
    <row r="146" spans="1:22" x14ac:dyDescent="0.25">
      <c r="A146" s="1088">
        <v>4089100400</v>
      </c>
      <c r="B146" s="903">
        <v>2</v>
      </c>
      <c r="C146" s="903">
        <v>4</v>
      </c>
      <c r="D146" s="903">
        <v>3</v>
      </c>
      <c r="E146" s="903" t="s">
        <v>1269</v>
      </c>
      <c r="F146" s="1127" t="s">
        <v>2225</v>
      </c>
      <c r="G146" s="903" t="s">
        <v>802</v>
      </c>
      <c r="H146" s="903">
        <v>0</v>
      </c>
      <c r="I146" s="1132" t="s">
        <v>1127</v>
      </c>
      <c r="J146" s="903">
        <v>1</v>
      </c>
      <c r="K146" s="903">
        <v>21</v>
      </c>
      <c r="L146" s="903">
        <v>1</v>
      </c>
      <c r="M146" s="903">
        <v>4</v>
      </c>
      <c r="N146" s="903" t="s">
        <v>1271</v>
      </c>
      <c r="O146" s="903">
        <v>13</v>
      </c>
      <c r="P146" s="1021">
        <v>2757.6</v>
      </c>
      <c r="Q146" s="1021">
        <v>-477.73</v>
      </c>
      <c r="R146" s="1021">
        <v>2279.87</v>
      </c>
      <c r="S146" s="1021">
        <v>525</v>
      </c>
      <c r="T146" s="1021">
        <v>525</v>
      </c>
      <c r="U146" s="1021">
        <v>525</v>
      </c>
      <c r="V146" s="1021">
        <v>525</v>
      </c>
    </row>
    <row r="147" spans="1:22" x14ac:dyDescent="0.25">
      <c r="A147" s="1088">
        <v>4089100400</v>
      </c>
      <c r="B147" s="903">
        <v>2</v>
      </c>
      <c r="C147" s="903">
        <v>4</v>
      </c>
      <c r="D147" s="903">
        <v>3</v>
      </c>
      <c r="E147" s="903" t="s">
        <v>1269</v>
      </c>
      <c r="F147" s="1127" t="s">
        <v>2225</v>
      </c>
      <c r="G147" s="903" t="s">
        <v>802</v>
      </c>
      <c r="H147" s="903">
        <v>0</v>
      </c>
      <c r="I147" s="1132" t="s">
        <v>1131</v>
      </c>
      <c r="J147" s="903">
        <v>1</v>
      </c>
      <c r="K147" s="903">
        <v>21</v>
      </c>
      <c r="L147" s="903">
        <v>1</v>
      </c>
      <c r="M147" s="903">
        <v>4</v>
      </c>
      <c r="N147" s="903" t="s">
        <v>1271</v>
      </c>
      <c r="O147" s="903">
        <v>13</v>
      </c>
      <c r="P147" s="1021">
        <v>5453.64</v>
      </c>
      <c r="Q147" s="1021">
        <v>0</v>
      </c>
      <c r="R147" s="1021">
        <v>5453.64</v>
      </c>
      <c r="S147" s="1021">
        <v>2853.1</v>
      </c>
      <c r="T147" s="1021">
        <v>2853.1</v>
      </c>
      <c r="U147" s="1021">
        <v>2853.1</v>
      </c>
      <c r="V147" s="1021">
        <v>2853.11</v>
      </c>
    </row>
    <row r="148" spans="1:22" x14ac:dyDescent="0.25">
      <c r="A148" s="1088">
        <v>4089100400</v>
      </c>
      <c r="B148" s="903">
        <v>2</v>
      </c>
      <c r="C148" s="903">
        <v>4</v>
      </c>
      <c r="D148" s="903">
        <v>3</v>
      </c>
      <c r="E148" s="903" t="s">
        <v>1269</v>
      </c>
      <c r="F148" s="1127" t="s">
        <v>2225</v>
      </c>
      <c r="G148" s="903" t="s">
        <v>802</v>
      </c>
      <c r="H148" s="903">
        <v>0</v>
      </c>
      <c r="I148" s="1132" t="s">
        <v>1145</v>
      </c>
      <c r="J148" s="903">
        <v>1</v>
      </c>
      <c r="K148" s="903">
        <v>21</v>
      </c>
      <c r="L148" s="903">
        <v>1</v>
      </c>
      <c r="M148" s="903">
        <v>4</v>
      </c>
      <c r="N148" s="903" t="s">
        <v>1271</v>
      </c>
      <c r="O148" s="903">
        <v>13</v>
      </c>
      <c r="P148" s="1021">
        <v>116128.2</v>
      </c>
      <c r="Q148" s="1021">
        <v>0</v>
      </c>
      <c r="R148" s="1021">
        <v>116128.2</v>
      </c>
      <c r="S148" s="1021">
        <v>82950</v>
      </c>
      <c r="T148" s="1021">
        <v>82950</v>
      </c>
      <c r="U148" s="1021">
        <v>82950</v>
      </c>
      <c r="V148" s="1021">
        <v>82950</v>
      </c>
    </row>
    <row r="149" spans="1:22" x14ac:dyDescent="0.25">
      <c r="A149" s="1088">
        <v>4089100400</v>
      </c>
      <c r="B149" s="903">
        <v>2</v>
      </c>
      <c r="C149" s="903">
        <v>4</v>
      </c>
      <c r="D149" s="903">
        <v>3</v>
      </c>
      <c r="E149" s="903" t="s">
        <v>1269</v>
      </c>
      <c r="F149" s="1127" t="s">
        <v>2225</v>
      </c>
      <c r="G149" s="903" t="s">
        <v>802</v>
      </c>
      <c r="H149" s="903">
        <v>0</v>
      </c>
      <c r="I149" s="1132" t="s">
        <v>1153</v>
      </c>
      <c r="J149" s="903">
        <v>1</v>
      </c>
      <c r="K149" s="903">
        <v>21</v>
      </c>
      <c r="L149" s="903">
        <v>1</v>
      </c>
      <c r="M149" s="903">
        <v>4</v>
      </c>
      <c r="N149" s="903" t="s">
        <v>1271</v>
      </c>
      <c r="O149" s="903">
        <v>13</v>
      </c>
      <c r="P149" s="1021">
        <v>134.88</v>
      </c>
      <c r="Q149" s="1021">
        <v>0</v>
      </c>
      <c r="R149" s="1021">
        <v>134.88</v>
      </c>
      <c r="S149" s="1021">
        <v>0</v>
      </c>
      <c r="T149" s="1021">
        <v>0</v>
      </c>
      <c r="U149" s="1021">
        <v>0</v>
      </c>
      <c r="V149" s="1021">
        <v>0</v>
      </c>
    </row>
    <row r="150" spans="1:22" x14ac:dyDescent="0.25">
      <c r="A150" s="1088">
        <v>4089100400</v>
      </c>
      <c r="B150" s="903">
        <v>2</v>
      </c>
      <c r="C150" s="903">
        <v>4</v>
      </c>
      <c r="D150" s="903">
        <v>3</v>
      </c>
      <c r="E150" s="903" t="s">
        <v>1269</v>
      </c>
      <c r="F150" s="1127" t="s">
        <v>2225</v>
      </c>
      <c r="G150" s="903" t="s">
        <v>802</v>
      </c>
      <c r="H150" s="903">
        <v>0</v>
      </c>
      <c r="I150" s="1132" t="s">
        <v>1155</v>
      </c>
      <c r="J150" s="903">
        <v>1</v>
      </c>
      <c r="K150" s="903">
        <v>21</v>
      </c>
      <c r="L150" s="903">
        <v>1</v>
      </c>
      <c r="M150" s="903">
        <v>4</v>
      </c>
      <c r="N150" s="903" t="s">
        <v>1271</v>
      </c>
      <c r="O150" s="903">
        <v>13</v>
      </c>
      <c r="P150" s="1021">
        <v>2337.48</v>
      </c>
      <c r="Q150" s="1021">
        <v>0</v>
      </c>
      <c r="R150" s="1021">
        <v>2337.48</v>
      </c>
      <c r="S150" s="1021">
        <v>1314.66</v>
      </c>
      <c r="T150" s="1021">
        <v>1314.66</v>
      </c>
      <c r="U150" s="1021">
        <v>1314.66</v>
      </c>
      <c r="V150" s="1021">
        <v>1314.66</v>
      </c>
    </row>
    <row r="151" spans="1:22" x14ac:dyDescent="0.25">
      <c r="A151" s="1088">
        <v>4089100400</v>
      </c>
      <c r="B151" s="903">
        <v>2</v>
      </c>
      <c r="C151" s="903">
        <v>4</v>
      </c>
      <c r="D151" s="903">
        <v>3</v>
      </c>
      <c r="E151" s="903" t="s">
        <v>1269</v>
      </c>
      <c r="F151" s="1127" t="s">
        <v>2225</v>
      </c>
      <c r="G151" s="903" t="s">
        <v>802</v>
      </c>
      <c r="H151" s="903">
        <v>0</v>
      </c>
      <c r="I151" s="1132" t="s">
        <v>1161</v>
      </c>
      <c r="J151" s="903">
        <v>1</v>
      </c>
      <c r="K151" s="903">
        <v>21</v>
      </c>
      <c r="L151" s="903">
        <v>1</v>
      </c>
      <c r="M151" s="903">
        <v>4</v>
      </c>
      <c r="N151" s="903" t="s">
        <v>1271</v>
      </c>
      <c r="O151" s="903">
        <v>13</v>
      </c>
      <c r="P151" s="1021">
        <v>184448.64000000001</v>
      </c>
      <c r="Q151" s="1021">
        <v>0</v>
      </c>
      <c r="R151" s="1021">
        <v>184448.64000000001</v>
      </c>
      <c r="S151" s="1021">
        <v>125322.6</v>
      </c>
      <c r="T151" s="1021">
        <v>125322.6</v>
      </c>
      <c r="U151" s="1021">
        <v>125322.6</v>
      </c>
      <c r="V151" s="1021">
        <v>125322.6</v>
      </c>
    </row>
    <row r="152" spans="1:22" x14ac:dyDescent="0.25">
      <c r="A152" s="1088">
        <v>4089100400</v>
      </c>
      <c r="B152" s="903">
        <v>2</v>
      </c>
      <c r="C152" s="903">
        <v>4</v>
      </c>
      <c r="D152" s="903">
        <v>3</v>
      </c>
      <c r="E152" s="903" t="s">
        <v>1269</v>
      </c>
      <c r="F152" s="1127" t="s">
        <v>2225</v>
      </c>
      <c r="G152" s="903" t="s">
        <v>802</v>
      </c>
      <c r="H152" s="903">
        <v>0</v>
      </c>
      <c r="I152" s="1132" t="s">
        <v>1163</v>
      </c>
      <c r="J152" s="903">
        <v>1</v>
      </c>
      <c r="K152" s="903">
        <v>21</v>
      </c>
      <c r="L152" s="903">
        <v>1</v>
      </c>
      <c r="M152" s="903">
        <v>4</v>
      </c>
      <c r="N152" s="903" t="s">
        <v>1271</v>
      </c>
      <c r="O152" s="903">
        <v>13</v>
      </c>
      <c r="P152" s="1021">
        <v>19904.88</v>
      </c>
      <c r="Q152" s="1021">
        <v>0</v>
      </c>
      <c r="R152" s="1021">
        <v>19904.88</v>
      </c>
      <c r="S152" s="1021">
        <v>8703.51</v>
      </c>
      <c r="T152" s="1021">
        <v>8703.51</v>
      </c>
      <c r="U152" s="1021">
        <v>8703.51</v>
      </c>
      <c r="V152" s="1021">
        <v>8703.51</v>
      </c>
    </row>
    <row r="153" spans="1:22" x14ac:dyDescent="0.25">
      <c r="A153" s="1088">
        <v>4089100400</v>
      </c>
      <c r="B153" s="903">
        <v>2</v>
      </c>
      <c r="C153" s="903">
        <v>4</v>
      </c>
      <c r="D153" s="903">
        <v>3</v>
      </c>
      <c r="E153" s="903" t="s">
        <v>1269</v>
      </c>
      <c r="F153" s="1127" t="s">
        <v>2225</v>
      </c>
      <c r="G153" s="903" t="s">
        <v>802</v>
      </c>
      <c r="H153" s="903">
        <v>0</v>
      </c>
      <c r="I153" s="1132" t="s">
        <v>1165</v>
      </c>
      <c r="J153" s="903">
        <v>1</v>
      </c>
      <c r="K153" s="903">
        <v>21</v>
      </c>
      <c r="L153" s="903">
        <v>1</v>
      </c>
      <c r="M153" s="903">
        <v>4</v>
      </c>
      <c r="N153" s="903" t="s">
        <v>1271</v>
      </c>
      <c r="O153" s="903">
        <v>13</v>
      </c>
      <c r="P153" s="1021">
        <v>62949.24</v>
      </c>
      <c r="Q153" s="1021">
        <v>0</v>
      </c>
      <c r="R153" s="1021">
        <v>62949.24</v>
      </c>
      <c r="S153" s="1021">
        <v>40295.5</v>
      </c>
      <c r="T153" s="1021">
        <v>40295.5</v>
      </c>
      <c r="U153" s="1021">
        <v>40295.5</v>
      </c>
      <c r="V153" s="1021">
        <v>40295.5</v>
      </c>
    </row>
    <row r="154" spans="1:22" x14ac:dyDescent="0.25">
      <c r="A154" s="1088">
        <v>4089100400</v>
      </c>
      <c r="B154" s="903">
        <v>2</v>
      </c>
      <c r="C154" s="903">
        <v>4</v>
      </c>
      <c r="D154" s="903">
        <v>3</v>
      </c>
      <c r="E154" s="903" t="s">
        <v>1269</v>
      </c>
      <c r="F154" s="1127" t="s">
        <v>2225</v>
      </c>
      <c r="G154" s="903" t="s">
        <v>802</v>
      </c>
      <c r="H154" s="903">
        <v>0</v>
      </c>
      <c r="I154" s="1132" t="s">
        <v>1167</v>
      </c>
      <c r="J154" s="903">
        <v>1</v>
      </c>
      <c r="K154" s="903">
        <v>21</v>
      </c>
      <c r="L154" s="903">
        <v>1</v>
      </c>
      <c r="M154" s="903">
        <v>4</v>
      </c>
      <c r="N154" s="903" t="s">
        <v>1271</v>
      </c>
      <c r="O154" s="903">
        <v>13</v>
      </c>
      <c r="P154" s="1021">
        <v>3177.48</v>
      </c>
      <c r="Q154" s="1021">
        <v>0</v>
      </c>
      <c r="R154" s="1021">
        <v>3177.48</v>
      </c>
      <c r="S154" s="1021">
        <v>0</v>
      </c>
      <c r="T154" s="1021">
        <v>0</v>
      </c>
      <c r="U154" s="1021">
        <v>0</v>
      </c>
      <c r="V154" s="1024">
        <v>0</v>
      </c>
    </row>
    <row r="155" spans="1:22" x14ac:dyDescent="0.25">
      <c r="A155" s="1088">
        <v>4089100400</v>
      </c>
      <c r="B155" s="903">
        <v>2</v>
      </c>
      <c r="C155" s="903">
        <v>4</v>
      </c>
      <c r="D155" s="903">
        <v>3</v>
      </c>
      <c r="E155" s="903" t="s">
        <v>1269</v>
      </c>
      <c r="F155" s="1127" t="s">
        <v>2225</v>
      </c>
      <c r="G155" s="903" t="s">
        <v>802</v>
      </c>
      <c r="H155" s="903">
        <v>0</v>
      </c>
      <c r="I155" s="1132" t="s">
        <v>1169</v>
      </c>
      <c r="J155" s="903">
        <v>1</v>
      </c>
      <c r="K155" s="903">
        <v>21</v>
      </c>
      <c r="L155" s="903">
        <v>1</v>
      </c>
      <c r="M155" s="903">
        <v>4</v>
      </c>
      <c r="N155" s="903" t="s">
        <v>1271</v>
      </c>
      <c r="O155" s="903">
        <v>13</v>
      </c>
      <c r="P155" s="1021">
        <v>126099</v>
      </c>
      <c r="Q155" s="1021">
        <v>0</v>
      </c>
      <c r="R155" s="1021">
        <v>126099</v>
      </c>
      <c r="S155" s="1021">
        <v>80381.850000000006</v>
      </c>
      <c r="T155" s="1021">
        <v>80381.850000000006</v>
      </c>
      <c r="U155" s="1021">
        <v>80381.850000000006</v>
      </c>
      <c r="V155" s="1021">
        <v>80381.850000000006</v>
      </c>
    </row>
    <row r="156" spans="1:22" x14ac:dyDescent="0.25">
      <c r="A156" s="1088">
        <v>4089100400</v>
      </c>
      <c r="B156" s="903">
        <v>2</v>
      </c>
      <c r="C156" s="903">
        <v>4</v>
      </c>
      <c r="D156" s="903">
        <v>3</v>
      </c>
      <c r="E156" s="903" t="s">
        <v>1269</v>
      </c>
      <c r="F156" s="1127" t="s">
        <v>2225</v>
      </c>
      <c r="G156" s="903" t="s">
        <v>802</v>
      </c>
      <c r="H156" s="903">
        <v>0</v>
      </c>
      <c r="I156" s="1132" t="s">
        <v>1171</v>
      </c>
      <c r="J156" s="903">
        <v>1</v>
      </c>
      <c r="K156" s="903">
        <v>21</v>
      </c>
      <c r="L156" s="903">
        <v>1</v>
      </c>
      <c r="M156" s="903">
        <v>4</v>
      </c>
      <c r="N156" s="903" t="s">
        <v>1271</v>
      </c>
      <c r="O156" s="903">
        <v>13</v>
      </c>
      <c r="P156" s="1021">
        <v>1977.96</v>
      </c>
      <c r="Q156" s="1021">
        <v>-1325.35</v>
      </c>
      <c r="R156" s="1021">
        <v>652.61</v>
      </c>
      <c r="S156" s="1021">
        <v>172.41</v>
      </c>
      <c r="T156" s="1021">
        <v>172.41</v>
      </c>
      <c r="U156" s="1021">
        <v>172.41</v>
      </c>
      <c r="V156" s="1021">
        <v>172.41</v>
      </c>
    </row>
    <row r="157" spans="1:22" x14ac:dyDescent="0.25">
      <c r="A157" s="1088">
        <v>4089100400</v>
      </c>
      <c r="B157" s="903">
        <v>2</v>
      </c>
      <c r="C157" s="903">
        <v>4</v>
      </c>
      <c r="D157" s="903">
        <v>3</v>
      </c>
      <c r="E157" s="903" t="s">
        <v>1269</v>
      </c>
      <c r="F157" s="1127" t="s">
        <v>2225</v>
      </c>
      <c r="G157" s="903" t="s">
        <v>802</v>
      </c>
      <c r="H157" s="903">
        <v>0</v>
      </c>
      <c r="I157" s="1132" t="s">
        <v>1181</v>
      </c>
      <c r="J157" s="903">
        <v>1</v>
      </c>
      <c r="K157" s="903">
        <v>21</v>
      </c>
      <c r="L157" s="903">
        <v>1</v>
      </c>
      <c r="M157" s="903">
        <v>4</v>
      </c>
      <c r="N157" s="903" t="s">
        <v>1271</v>
      </c>
      <c r="O157" s="903">
        <v>13</v>
      </c>
      <c r="P157" s="1021">
        <v>27120.240000000002</v>
      </c>
      <c r="Q157" s="1021">
        <v>0</v>
      </c>
      <c r="R157" s="1021">
        <v>27120.240000000002</v>
      </c>
      <c r="S157" s="1021">
        <v>18781.13</v>
      </c>
      <c r="T157" s="1021">
        <v>18781.13</v>
      </c>
      <c r="U157" s="1021">
        <v>16597.73</v>
      </c>
      <c r="V157" s="1021">
        <v>16597.73</v>
      </c>
    </row>
    <row r="158" spans="1:22" x14ac:dyDescent="0.25">
      <c r="A158" s="1088">
        <v>4089100400</v>
      </c>
      <c r="B158" s="903">
        <v>2</v>
      </c>
      <c r="C158" s="903">
        <v>4</v>
      </c>
      <c r="D158" s="903">
        <v>3</v>
      </c>
      <c r="E158" s="903" t="s">
        <v>1269</v>
      </c>
      <c r="F158" s="1127" t="s">
        <v>2225</v>
      </c>
      <c r="G158" s="903" t="s">
        <v>802</v>
      </c>
      <c r="H158" s="903">
        <v>0</v>
      </c>
      <c r="I158" s="1132" t="s">
        <v>1189</v>
      </c>
      <c r="J158" s="903">
        <v>1</v>
      </c>
      <c r="K158" s="903">
        <v>21</v>
      </c>
      <c r="L158" s="903">
        <v>1</v>
      </c>
      <c r="M158" s="903">
        <v>4</v>
      </c>
      <c r="N158" s="903" t="s">
        <v>1271</v>
      </c>
      <c r="O158" s="903">
        <v>13</v>
      </c>
      <c r="P158" s="1021">
        <v>51634.32</v>
      </c>
      <c r="Q158" s="1021">
        <v>36477.599999999999</v>
      </c>
      <c r="R158" s="1021">
        <v>88111.92</v>
      </c>
      <c r="S158" s="1021">
        <v>88111.92</v>
      </c>
      <c r="T158" s="1021">
        <v>66083.94</v>
      </c>
      <c r="U158" s="1021">
        <v>66083.94</v>
      </c>
      <c r="V158" s="1021">
        <v>66083.94</v>
      </c>
    </row>
    <row r="159" spans="1:22" x14ac:dyDescent="0.25">
      <c r="A159" s="1088">
        <v>4089100400</v>
      </c>
      <c r="B159" s="903">
        <v>2</v>
      </c>
      <c r="C159" s="903">
        <v>4</v>
      </c>
      <c r="D159" s="903">
        <v>3</v>
      </c>
      <c r="E159" s="903" t="s">
        <v>1269</v>
      </c>
      <c r="F159" s="1127" t="s">
        <v>2225</v>
      </c>
      <c r="G159" s="903" t="s">
        <v>802</v>
      </c>
      <c r="H159" s="903">
        <v>0</v>
      </c>
      <c r="I159" s="1132" t="s">
        <v>1203</v>
      </c>
      <c r="J159" s="903">
        <v>1</v>
      </c>
      <c r="K159" s="903">
        <v>21</v>
      </c>
      <c r="L159" s="903">
        <v>1</v>
      </c>
      <c r="M159" s="903">
        <v>4</v>
      </c>
      <c r="N159" s="903" t="s">
        <v>1271</v>
      </c>
      <c r="O159" s="903">
        <v>13</v>
      </c>
      <c r="P159" s="1021">
        <v>37023.96</v>
      </c>
      <c r="Q159" s="1021">
        <v>2795.98</v>
      </c>
      <c r="R159" s="1021">
        <v>39819.94</v>
      </c>
      <c r="S159" s="1021">
        <v>38195.5</v>
      </c>
      <c r="T159" s="1021">
        <v>38195.5</v>
      </c>
      <c r="U159" s="1021">
        <v>38195.5</v>
      </c>
      <c r="V159" s="1021">
        <v>38195.5</v>
      </c>
    </row>
    <row r="160" spans="1:22" x14ac:dyDescent="0.25">
      <c r="A160" s="1088">
        <v>4089100400</v>
      </c>
      <c r="B160" s="903">
        <v>2</v>
      </c>
      <c r="C160" s="903">
        <v>4</v>
      </c>
      <c r="D160" s="903">
        <v>3</v>
      </c>
      <c r="E160" s="903" t="s">
        <v>1269</v>
      </c>
      <c r="F160" s="1127" t="s">
        <v>2225</v>
      </c>
      <c r="G160" s="903" t="s">
        <v>802</v>
      </c>
      <c r="H160" s="903">
        <v>0</v>
      </c>
      <c r="I160" s="1132" t="s">
        <v>1210</v>
      </c>
      <c r="J160" s="903">
        <v>1</v>
      </c>
      <c r="K160" s="903">
        <v>21</v>
      </c>
      <c r="L160" s="903">
        <v>1</v>
      </c>
      <c r="M160" s="903">
        <v>4</v>
      </c>
      <c r="N160" s="903" t="s">
        <v>1271</v>
      </c>
      <c r="O160" s="903">
        <v>13</v>
      </c>
      <c r="P160" s="1021">
        <v>31800.720000000001</v>
      </c>
      <c r="Q160" s="1021">
        <v>-9236.39</v>
      </c>
      <c r="R160" s="1021">
        <v>22564.33</v>
      </c>
      <c r="S160" s="1021">
        <v>21272.5</v>
      </c>
      <c r="T160" s="1021">
        <v>21272.5</v>
      </c>
      <c r="U160" s="1021">
        <v>21272.5</v>
      </c>
      <c r="V160" s="1021">
        <v>21272.5</v>
      </c>
    </row>
    <row r="161" spans="1:22" x14ac:dyDescent="0.25">
      <c r="A161" s="1088">
        <v>4089100400</v>
      </c>
      <c r="B161" s="903">
        <v>2</v>
      </c>
      <c r="C161" s="903">
        <v>4</v>
      </c>
      <c r="D161" s="903">
        <v>3</v>
      </c>
      <c r="E161" s="903" t="s">
        <v>1269</v>
      </c>
      <c r="F161" s="1127" t="s">
        <v>2225</v>
      </c>
      <c r="G161" s="903" t="s">
        <v>802</v>
      </c>
      <c r="H161" s="903">
        <v>0</v>
      </c>
      <c r="I161" s="1132" t="s">
        <v>1212</v>
      </c>
      <c r="J161" s="903">
        <v>1</v>
      </c>
      <c r="K161" s="903">
        <v>21</v>
      </c>
      <c r="L161" s="903">
        <v>1</v>
      </c>
      <c r="M161" s="903">
        <v>4</v>
      </c>
      <c r="N161" s="903" t="s">
        <v>1271</v>
      </c>
      <c r="O161" s="903">
        <v>13</v>
      </c>
      <c r="P161" s="1021">
        <v>4652.5200000000004</v>
      </c>
      <c r="Q161" s="1021">
        <v>40890</v>
      </c>
      <c r="R161" s="1021">
        <v>45542.52</v>
      </c>
      <c r="S161" s="1021">
        <v>42450</v>
      </c>
      <c r="T161" s="1021">
        <v>42450</v>
      </c>
      <c r="U161" s="1021">
        <v>42450</v>
      </c>
      <c r="V161" s="1021">
        <v>42450</v>
      </c>
    </row>
    <row r="162" spans="1:22" x14ac:dyDescent="0.25">
      <c r="A162" s="1088">
        <v>4089100400</v>
      </c>
      <c r="B162" s="903">
        <v>2</v>
      </c>
      <c r="C162" s="903">
        <v>4</v>
      </c>
      <c r="D162" s="903">
        <v>3</v>
      </c>
      <c r="E162" s="903" t="s">
        <v>1269</v>
      </c>
      <c r="F162" s="1127" t="s">
        <v>2225</v>
      </c>
      <c r="G162" s="903" t="s">
        <v>802</v>
      </c>
      <c r="H162" s="903">
        <v>0</v>
      </c>
      <c r="I162" s="1132" t="s">
        <v>1216</v>
      </c>
      <c r="J162" s="903">
        <v>1</v>
      </c>
      <c r="K162" s="903">
        <v>21</v>
      </c>
      <c r="L162" s="903">
        <v>1</v>
      </c>
      <c r="M162" s="903">
        <v>4</v>
      </c>
      <c r="N162" s="903" t="s">
        <v>1271</v>
      </c>
      <c r="O162" s="903">
        <v>13</v>
      </c>
      <c r="P162" s="1021">
        <v>44155.08</v>
      </c>
      <c r="Q162" s="1021">
        <v>6200</v>
      </c>
      <c r="R162" s="1021">
        <v>50355.08</v>
      </c>
      <c r="S162" s="1021">
        <v>46994.44</v>
      </c>
      <c r="T162" s="1021">
        <v>46994.44</v>
      </c>
      <c r="U162" s="1021">
        <v>46994.44</v>
      </c>
      <c r="V162" s="1021">
        <v>46994.44</v>
      </c>
    </row>
    <row r="163" spans="1:22" x14ac:dyDescent="0.25">
      <c r="A163" s="1088">
        <v>4089100400</v>
      </c>
      <c r="B163" s="903">
        <v>2</v>
      </c>
      <c r="C163" s="903">
        <v>4</v>
      </c>
      <c r="D163" s="903">
        <v>3</v>
      </c>
      <c r="E163" s="903" t="s">
        <v>1269</v>
      </c>
      <c r="F163" s="1127" t="s">
        <v>2225</v>
      </c>
      <c r="G163" s="903" t="s">
        <v>802</v>
      </c>
      <c r="H163" s="903">
        <v>0</v>
      </c>
      <c r="I163" s="1132" t="s">
        <v>1218</v>
      </c>
      <c r="J163" s="903">
        <v>1</v>
      </c>
      <c r="K163" s="903">
        <v>21</v>
      </c>
      <c r="L163" s="903">
        <v>1</v>
      </c>
      <c r="M163" s="903">
        <v>4</v>
      </c>
      <c r="N163" s="903" t="s">
        <v>1271</v>
      </c>
      <c r="O163" s="903">
        <v>13</v>
      </c>
      <c r="P163" s="1021">
        <v>98054.52</v>
      </c>
      <c r="Q163" s="1021">
        <v>-6891.5</v>
      </c>
      <c r="R163" s="1021">
        <v>91163.02</v>
      </c>
      <c r="S163" s="1021">
        <v>26082</v>
      </c>
      <c r="T163" s="1021">
        <v>26082</v>
      </c>
      <c r="U163" s="1021">
        <v>21445.200000000001</v>
      </c>
      <c r="V163" s="1021">
        <v>21445.200000000001</v>
      </c>
    </row>
    <row r="164" spans="1:22" x14ac:dyDescent="0.25">
      <c r="A164" s="1088">
        <v>4089100400</v>
      </c>
      <c r="B164" s="903">
        <v>2</v>
      </c>
      <c r="C164" s="903">
        <v>4</v>
      </c>
      <c r="D164" s="903">
        <v>3</v>
      </c>
      <c r="E164" s="903" t="s">
        <v>1269</v>
      </c>
      <c r="F164" s="1127" t="s">
        <v>2225</v>
      </c>
      <c r="G164" s="903" t="s">
        <v>802</v>
      </c>
      <c r="H164" s="903">
        <v>0</v>
      </c>
      <c r="I164" s="1132" t="s">
        <v>1224</v>
      </c>
      <c r="J164" s="903">
        <v>1</v>
      </c>
      <c r="K164" s="903">
        <v>21</v>
      </c>
      <c r="L164" s="903">
        <v>1</v>
      </c>
      <c r="M164" s="903">
        <v>4</v>
      </c>
      <c r="N164" s="903" t="s">
        <v>1271</v>
      </c>
      <c r="O164" s="903">
        <v>13</v>
      </c>
      <c r="P164" s="1021">
        <v>0</v>
      </c>
      <c r="Q164" s="1021">
        <v>6891.5</v>
      </c>
      <c r="R164" s="1021">
        <v>6891.5</v>
      </c>
      <c r="S164" s="1021">
        <v>6891.5</v>
      </c>
      <c r="T164" s="1021">
        <v>6891.5</v>
      </c>
      <c r="U164" s="1021">
        <v>6891.5</v>
      </c>
      <c r="V164" s="1021">
        <v>6891.5</v>
      </c>
    </row>
    <row r="165" spans="1:22" x14ac:dyDescent="0.25">
      <c r="A165" s="1088">
        <v>4089100400</v>
      </c>
      <c r="B165" s="903">
        <v>2</v>
      </c>
      <c r="C165" s="903">
        <v>4</v>
      </c>
      <c r="D165" s="903">
        <v>3</v>
      </c>
      <c r="E165" s="903" t="s">
        <v>1269</v>
      </c>
      <c r="F165" s="1127" t="s">
        <v>2225</v>
      </c>
      <c r="G165" s="903" t="s">
        <v>802</v>
      </c>
      <c r="H165" s="903">
        <v>0</v>
      </c>
      <c r="I165" s="1132" t="s">
        <v>1226</v>
      </c>
      <c r="J165" s="903">
        <v>1</v>
      </c>
      <c r="K165" s="903">
        <v>21</v>
      </c>
      <c r="L165" s="903">
        <v>1</v>
      </c>
      <c r="M165" s="903">
        <v>4</v>
      </c>
      <c r="N165" s="903" t="s">
        <v>1271</v>
      </c>
      <c r="O165" s="903">
        <v>13</v>
      </c>
      <c r="P165" s="1021">
        <v>5250</v>
      </c>
      <c r="Q165" s="1021">
        <v>0</v>
      </c>
      <c r="R165" s="1021">
        <v>5250</v>
      </c>
      <c r="S165" s="1021">
        <v>0</v>
      </c>
      <c r="T165" s="1021">
        <v>0</v>
      </c>
      <c r="U165" s="1021">
        <v>0</v>
      </c>
      <c r="V165" s="1021">
        <v>0</v>
      </c>
    </row>
    <row r="166" spans="1:22" x14ac:dyDescent="0.25">
      <c r="A166" s="1088">
        <v>4089100400</v>
      </c>
      <c r="B166" s="903">
        <v>2</v>
      </c>
      <c r="C166" s="903">
        <v>4</v>
      </c>
      <c r="D166" s="903">
        <v>3</v>
      </c>
      <c r="E166" s="903" t="s">
        <v>1269</v>
      </c>
      <c r="F166" s="1127" t="s">
        <v>2225</v>
      </c>
      <c r="G166" s="903" t="s">
        <v>802</v>
      </c>
      <c r="H166" s="903">
        <v>0</v>
      </c>
      <c r="I166" s="1132" t="s">
        <v>1228</v>
      </c>
      <c r="J166" s="903">
        <v>1</v>
      </c>
      <c r="K166" s="903">
        <v>21</v>
      </c>
      <c r="L166" s="903">
        <v>1</v>
      </c>
      <c r="M166" s="903">
        <v>4</v>
      </c>
      <c r="N166" s="903" t="s">
        <v>1271</v>
      </c>
      <c r="O166" s="903">
        <v>13</v>
      </c>
      <c r="P166" s="1021">
        <v>22050</v>
      </c>
      <c r="Q166" s="1021">
        <v>0</v>
      </c>
      <c r="R166" s="1021">
        <v>22050</v>
      </c>
      <c r="S166" s="1021">
        <v>18450</v>
      </c>
      <c r="T166" s="1021">
        <v>18450</v>
      </c>
      <c r="U166" s="1021">
        <v>18450</v>
      </c>
      <c r="V166" s="1021">
        <v>18450</v>
      </c>
    </row>
    <row r="167" spans="1:22" x14ac:dyDescent="0.25">
      <c r="A167" s="1088">
        <v>4089100400</v>
      </c>
      <c r="B167" s="903">
        <v>2</v>
      </c>
      <c r="C167" s="903">
        <v>4</v>
      </c>
      <c r="D167" s="903">
        <v>3</v>
      </c>
      <c r="E167" s="903" t="s">
        <v>1269</v>
      </c>
      <c r="F167" s="1127" t="s">
        <v>2225</v>
      </c>
      <c r="G167" s="903" t="s">
        <v>802</v>
      </c>
      <c r="H167" s="903">
        <v>0</v>
      </c>
      <c r="I167" s="1132" t="s">
        <v>1284</v>
      </c>
      <c r="J167" s="903">
        <v>1</v>
      </c>
      <c r="K167" s="903">
        <v>21</v>
      </c>
      <c r="L167" s="903">
        <v>1</v>
      </c>
      <c r="M167" s="903">
        <v>4</v>
      </c>
      <c r="N167" s="903" t="s">
        <v>1271</v>
      </c>
      <c r="O167" s="903">
        <v>13</v>
      </c>
      <c r="P167" s="1021">
        <v>0</v>
      </c>
      <c r="Q167" s="1021">
        <v>51.72</v>
      </c>
      <c r="R167" s="1021">
        <v>51.72</v>
      </c>
      <c r="S167" s="1021">
        <v>51.72</v>
      </c>
      <c r="T167" s="1021">
        <v>51.72</v>
      </c>
      <c r="U167" s="1021">
        <v>51.72</v>
      </c>
      <c r="V167" s="1021">
        <v>51.72</v>
      </c>
    </row>
    <row r="168" spans="1:22" x14ac:dyDescent="0.25">
      <c r="A168" s="1088">
        <v>4089100400</v>
      </c>
      <c r="B168" s="903">
        <v>2</v>
      </c>
      <c r="C168" s="903">
        <v>4</v>
      </c>
      <c r="D168" s="903">
        <v>3</v>
      </c>
      <c r="E168" s="903" t="s">
        <v>1269</v>
      </c>
      <c r="F168" s="1127" t="s">
        <v>2225</v>
      </c>
      <c r="G168" s="903" t="s">
        <v>802</v>
      </c>
      <c r="H168" s="903">
        <v>0</v>
      </c>
      <c r="I168" s="1132" t="s">
        <v>1233</v>
      </c>
      <c r="J168" s="903">
        <v>1</v>
      </c>
      <c r="K168" s="903">
        <v>21</v>
      </c>
      <c r="L168" s="903">
        <v>1</v>
      </c>
      <c r="M168" s="903">
        <v>4</v>
      </c>
      <c r="N168" s="903" t="s">
        <v>1271</v>
      </c>
      <c r="O168" s="903">
        <v>13</v>
      </c>
      <c r="P168" s="1021">
        <v>20646.48</v>
      </c>
      <c r="Q168" s="1021">
        <v>-11461.4</v>
      </c>
      <c r="R168" s="1021">
        <v>9185.08</v>
      </c>
      <c r="S168" s="1021">
        <v>1844.81</v>
      </c>
      <c r="T168" s="1021">
        <v>1844.81</v>
      </c>
      <c r="U168" s="1021">
        <v>1844.81</v>
      </c>
      <c r="V168" s="1021">
        <v>1844.81</v>
      </c>
    </row>
    <row r="169" spans="1:22" x14ac:dyDescent="0.25">
      <c r="A169" s="1088">
        <v>4089100400</v>
      </c>
      <c r="B169" s="903">
        <v>2</v>
      </c>
      <c r="C169" s="903">
        <v>4</v>
      </c>
      <c r="D169" s="903">
        <v>3</v>
      </c>
      <c r="E169" s="903" t="s">
        <v>1269</v>
      </c>
      <c r="F169" s="1127" t="s">
        <v>2225</v>
      </c>
      <c r="G169" s="903" t="s">
        <v>802</v>
      </c>
      <c r="H169" s="903">
        <v>0</v>
      </c>
      <c r="I169" s="1132" t="s">
        <v>1238</v>
      </c>
      <c r="J169" s="903">
        <v>1</v>
      </c>
      <c r="K169" s="903">
        <v>21</v>
      </c>
      <c r="L169" s="903">
        <v>1</v>
      </c>
      <c r="M169" s="903">
        <v>4</v>
      </c>
      <c r="N169" s="903" t="s">
        <v>1271</v>
      </c>
      <c r="O169" s="903">
        <v>13</v>
      </c>
      <c r="P169" s="1021">
        <v>4582.08</v>
      </c>
      <c r="Q169" s="1021">
        <v>0</v>
      </c>
      <c r="R169" s="1021">
        <v>4582.08</v>
      </c>
      <c r="S169" s="1021">
        <v>0</v>
      </c>
      <c r="T169" s="1021">
        <v>0</v>
      </c>
      <c r="U169" s="1021">
        <v>0</v>
      </c>
      <c r="V169" s="1021">
        <v>0</v>
      </c>
    </row>
    <row r="170" spans="1:22" x14ac:dyDescent="0.25">
      <c r="A170" s="1088">
        <v>4089100400</v>
      </c>
      <c r="B170" s="903">
        <v>2</v>
      </c>
      <c r="C170" s="903">
        <v>4</v>
      </c>
      <c r="D170" s="903">
        <v>3</v>
      </c>
      <c r="E170" s="903" t="s">
        <v>1269</v>
      </c>
      <c r="F170" s="1127" t="s">
        <v>2225</v>
      </c>
      <c r="G170" s="903" t="s">
        <v>802</v>
      </c>
      <c r="H170" s="903">
        <v>0</v>
      </c>
      <c r="I170" s="1132" t="s">
        <v>1240</v>
      </c>
      <c r="J170" s="903">
        <v>1</v>
      </c>
      <c r="K170" s="903">
        <v>21</v>
      </c>
      <c r="L170" s="903">
        <v>1</v>
      </c>
      <c r="M170" s="903">
        <v>4</v>
      </c>
      <c r="N170" s="903" t="s">
        <v>1271</v>
      </c>
      <c r="O170" s="903">
        <v>13</v>
      </c>
      <c r="P170" s="1021">
        <v>3150</v>
      </c>
      <c r="Q170" s="1021">
        <v>0</v>
      </c>
      <c r="R170" s="1021">
        <v>3150</v>
      </c>
      <c r="S170" s="1021">
        <v>3150</v>
      </c>
      <c r="T170" s="1021">
        <v>3150</v>
      </c>
      <c r="U170" s="1021">
        <v>3150</v>
      </c>
      <c r="V170" s="1021">
        <v>3150</v>
      </c>
    </row>
    <row r="171" spans="1:22" x14ac:dyDescent="0.25">
      <c r="A171" s="1088">
        <v>4089100400</v>
      </c>
      <c r="B171" s="903">
        <v>2</v>
      </c>
      <c r="C171" s="903">
        <v>4</v>
      </c>
      <c r="D171" s="903">
        <v>3</v>
      </c>
      <c r="E171" s="903" t="s">
        <v>1269</v>
      </c>
      <c r="F171" s="1127" t="s">
        <v>2225</v>
      </c>
      <c r="G171" s="903" t="s">
        <v>802</v>
      </c>
      <c r="H171" s="903">
        <v>0</v>
      </c>
      <c r="I171" s="1132" t="s">
        <v>1244</v>
      </c>
      <c r="J171" s="903">
        <v>1</v>
      </c>
      <c r="K171" s="903">
        <v>21</v>
      </c>
      <c r="L171" s="903">
        <v>1</v>
      </c>
      <c r="M171" s="903">
        <v>4</v>
      </c>
      <c r="N171" s="903" t="s">
        <v>1271</v>
      </c>
      <c r="O171" s="903">
        <v>13</v>
      </c>
      <c r="P171" s="1021">
        <v>0</v>
      </c>
      <c r="Q171" s="1021">
        <v>11664</v>
      </c>
      <c r="R171" s="1021">
        <v>11664</v>
      </c>
      <c r="S171" s="1021">
        <v>11664</v>
      </c>
      <c r="T171" s="1021">
        <v>11664</v>
      </c>
      <c r="U171" s="1021">
        <v>11664</v>
      </c>
      <c r="V171" s="1021">
        <v>11664</v>
      </c>
    </row>
    <row r="172" spans="1:22" x14ac:dyDescent="0.25">
      <c r="A172" s="1088">
        <v>4089100400</v>
      </c>
      <c r="B172" s="903">
        <v>2</v>
      </c>
      <c r="C172" s="903">
        <v>4</v>
      </c>
      <c r="D172" s="903">
        <v>3</v>
      </c>
      <c r="E172" s="903" t="s">
        <v>1269</v>
      </c>
      <c r="F172" s="1127" t="s">
        <v>2225</v>
      </c>
      <c r="G172" s="903" t="s">
        <v>802</v>
      </c>
      <c r="H172" s="903">
        <v>0</v>
      </c>
      <c r="I172" s="1132" t="s">
        <v>1248</v>
      </c>
      <c r="J172" s="903">
        <v>1</v>
      </c>
      <c r="K172" s="903">
        <v>21</v>
      </c>
      <c r="L172" s="903">
        <v>1</v>
      </c>
      <c r="M172" s="903">
        <v>4</v>
      </c>
      <c r="N172" s="903" t="s">
        <v>1271</v>
      </c>
      <c r="O172" s="903">
        <v>13</v>
      </c>
      <c r="P172" s="1021">
        <v>457868.28</v>
      </c>
      <c r="Q172" s="1021">
        <v>0</v>
      </c>
      <c r="R172" s="1021">
        <v>457868.28</v>
      </c>
      <c r="S172" s="1021">
        <v>308466</v>
      </c>
      <c r="T172" s="1021">
        <v>308466</v>
      </c>
      <c r="U172" s="1021">
        <v>276676</v>
      </c>
      <c r="V172" s="1021">
        <v>276676</v>
      </c>
    </row>
    <row r="173" spans="1:22" x14ac:dyDescent="0.25">
      <c r="A173" s="1088">
        <v>4089100500</v>
      </c>
      <c r="B173" s="903">
        <v>2</v>
      </c>
      <c r="C173" s="903">
        <v>4</v>
      </c>
      <c r="D173" s="903">
        <v>3</v>
      </c>
      <c r="E173" s="903" t="s">
        <v>1269</v>
      </c>
      <c r="F173" s="1127" t="s">
        <v>2225</v>
      </c>
      <c r="G173" s="903" t="s">
        <v>802</v>
      </c>
      <c r="H173" s="903">
        <v>0</v>
      </c>
      <c r="I173" s="1134" t="s">
        <v>1270</v>
      </c>
      <c r="J173" s="903">
        <v>1</v>
      </c>
      <c r="K173" s="903">
        <v>21</v>
      </c>
      <c r="L173" s="903">
        <v>1</v>
      </c>
      <c r="M173" s="903">
        <v>4</v>
      </c>
      <c r="N173" s="903" t="s">
        <v>1271</v>
      </c>
      <c r="O173" s="903">
        <v>13</v>
      </c>
      <c r="P173" s="1021">
        <v>1341612.8400000001</v>
      </c>
      <c r="Q173" s="1021">
        <v>0</v>
      </c>
      <c r="R173" s="1021">
        <v>1341612.8400000001</v>
      </c>
      <c r="S173" s="1021">
        <v>1341612.8400000001</v>
      </c>
      <c r="T173" s="1021">
        <v>852697.07</v>
      </c>
      <c r="U173" s="1021">
        <v>852697.07</v>
      </c>
      <c r="V173" s="1021">
        <v>852697.07</v>
      </c>
    </row>
    <row r="174" spans="1:22" x14ac:dyDescent="0.25">
      <c r="A174" s="1088">
        <v>4089100500</v>
      </c>
      <c r="B174" s="903">
        <v>2</v>
      </c>
      <c r="C174" s="903">
        <v>4</v>
      </c>
      <c r="D174" s="903">
        <v>3</v>
      </c>
      <c r="E174" s="903" t="s">
        <v>1269</v>
      </c>
      <c r="F174" s="1127" t="s">
        <v>2225</v>
      </c>
      <c r="G174" s="903" t="s">
        <v>802</v>
      </c>
      <c r="H174" s="903">
        <v>0</v>
      </c>
      <c r="I174" s="1134" t="s">
        <v>1272</v>
      </c>
      <c r="J174" s="903">
        <v>1</v>
      </c>
      <c r="K174" s="903">
        <v>21</v>
      </c>
      <c r="L174" s="903">
        <v>1</v>
      </c>
      <c r="M174" s="903">
        <v>4</v>
      </c>
      <c r="N174" s="903" t="s">
        <v>1271</v>
      </c>
      <c r="O174" s="903">
        <v>13</v>
      </c>
      <c r="P174" s="1021">
        <v>340244.4</v>
      </c>
      <c r="Q174" s="1021">
        <v>0</v>
      </c>
      <c r="R174" s="1021">
        <v>340244.4</v>
      </c>
      <c r="S174" s="1021">
        <v>340244.4</v>
      </c>
      <c r="T174" s="1021">
        <v>82981.16</v>
      </c>
      <c r="U174" s="1021">
        <v>82981.16</v>
      </c>
      <c r="V174" s="1021">
        <v>82981.16</v>
      </c>
    </row>
    <row r="175" spans="1:22" x14ac:dyDescent="0.25">
      <c r="A175" s="1088">
        <v>4089100500</v>
      </c>
      <c r="B175" s="903">
        <v>2</v>
      </c>
      <c r="C175" s="903">
        <v>4</v>
      </c>
      <c r="D175" s="903">
        <v>3</v>
      </c>
      <c r="E175" s="903" t="s">
        <v>1269</v>
      </c>
      <c r="F175" s="1127" t="s">
        <v>2225</v>
      </c>
      <c r="G175" s="903" t="s">
        <v>802</v>
      </c>
      <c r="H175" s="903">
        <v>0</v>
      </c>
      <c r="I175" s="1134" t="s">
        <v>1273</v>
      </c>
      <c r="J175" s="903">
        <v>1</v>
      </c>
      <c r="K175" s="903">
        <v>21</v>
      </c>
      <c r="L175" s="903">
        <v>1</v>
      </c>
      <c r="M175" s="903">
        <v>4</v>
      </c>
      <c r="N175" s="903" t="s">
        <v>1271</v>
      </c>
      <c r="O175" s="903">
        <v>13</v>
      </c>
      <c r="P175" s="1021">
        <v>73364.88</v>
      </c>
      <c r="Q175" s="1021">
        <v>0</v>
      </c>
      <c r="R175" s="1021">
        <v>73364.88</v>
      </c>
      <c r="S175" s="1021">
        <v>73364.88</v>
      </c>
      <c r="T175" s="1021">
        <v>40500</v>
      </c>
      <c r="U175" s="1021">
        <v>40500</v>
      </c>
      <c r="V175" s="1021">
        <v>40500</v>
      </c>
    </row>
    <row r="176" spans="1:22" x14ac:dyDescent="0.25">
      <c r="A176" s="1088">
        <v>4089100500</v>
      </c>
      <c r="B176" s="903">
        <v>2</v>
      </c>
      <c r="C176" s="903">
        <v>4</v>
      </c>
      <c r="D176" s="903">
        <v>3</v>
      </c>
      <c r="E176" s="903" t="s">
        <v>1269</v>
      </c>
      <c r="F176" s="1127" t="s">
        <v>2225</v>
      </c>
      <c r="G176" s="903" t="s">
        <v>802</v>
      </c>
      <c r="H176" s="903">
        <v>0</v>
      </c>
      <c r="I176" s="1134" t="s">
        <v>1274</v>
      </c>
      <c r="J176" s="903">
        <v>1</v>
      </c>
      <c r="K176" s="903">
        <v>21</v>
      </c>
      <c r="L176" s="903">
        <v>1</v>
      </c>
      <c r="M176" s="903">
        <v>4</v>
      </c>
      <c r="N176" s="903" t="s">
        <v>1271</v>
      </c>
      <c r="O176" s="903">
        <v>13</v>
      </c>
      <c r="P176" s="1021">
        <v>22050</v>
      </c>
      <c r="Q176" s="1021">
        <v>-22050</v>
      </c>
      <c r="R176" s="1021">
        <v>0</v>
      </c>
      <c r="S176" s="1021">
        <v>0</v>
      </c>
      <c r="T176" s="1021">
        <v>0</v>
      </c>
      <c r="U176" s="1021">
        <v>0</v>
      </c>
      <c r="V176" s="1021">
        <v>0</v>
      </c>
    </row>
    <row r="177" spans="1:22" x14ac:dyDescent="0.25">
      <c r="A177" s="1088">
        <v>4089100500</v>
      </c>
      <c r="B177" s="903">
        <v>2</v>
      </c>
      <c r="C177" s="903">
        <v>4</v>
      </c>
      <c r="D177" s="903">
        <v>3</v>
      </c>
      <c r="E177" s="903" t="s">
        <v>1269</v>
      </c>
      <c r="F177" s="1127" t="s">
        <v>2225</v>
      </c>
      <c r="G177" s="903" t="s">
        <v>802</v>
      </c>
      <c r="H177" s="903">
        <v>0</v>
      </c>
      <c r="I177" s="1134" t="s">
        <v>1275</v>
      </c>
      <c r="J177" s="903">
        <v>1</v>
      </c>
      <c r="K177" s="903">
        <v>21</v>
      </c>
      <c r="L177" s="903">
        <v>1</v>
      </c>
      <c r="M177" s="903">
        <v>4</v>
      </c>
      <c r="N177" s="903" t="s">
        <v>1271</v>
      </c>
      <c r="O177" s="903">
        <v>13</v>
      </c>
      <c r="P177" s="1021">
        <v>57585.24</v>
      </c>
      <c r="Q177" s="1021">
        <v>0</v>
      </c>
      <c r="R177" s="1021">
        <v>57585.24</v>
      </c>
      <c r="S177" s="1021">
        <v>57585.24</v>
      </c>
      <c r="T177" s="1021">
        <v>16279.81</v>
      </c>
      <c r="U177" s="1021">
        <v>16279.81</v>
      </c>
      <c r="V177" s="1021">
        <v>16279.81</v>
      </c>
    </row>
    <row r="178" spans="1:22" x14ac:dyDescent="0.25">
      <c r="A178" s="1088">
        <v>4089100500</v>
      </c>
      <c r="B178" s="903">
        <v>2</v>
      </c>
      <c r="C178" s="903">
        <v>4</v>
      </c>
      <c r="D178" s="903">
        <v>3</v>
      </c>
      <c r="E178" s="903" t="s">
        <v>1269</v>
      </c>
      <c r="F178" s="1127" t="s">
        <v>2225</v>
      </c>
      <c r="G178" s="903" t="s">
        <v>802</v>
      </c>
      <c r="H178" s="903">
        <v>0</v>
      </c>
      <c r="I178" s="1134" t="s">
        <v>1276</v>
      </c>
      <c r="J178" s="903">
        <v>1</v>
      </c>
      <c r="K178" s="903">
        <v>21</v>
      </c>
      <c r="L178" s="903">
        <v>1</v>
      </c>
      <c r="M178" s="903">
        <v>4</v>
      </c>
      <c r="N178" s="903" t="s">
        <v>1271</v>
      </c>
      <c r="O178" s="903">
        <v>13</v>
      </c>
      <c r="P178" s="1021">
        <v>271688.15999999997</v>
      </c>
      <c r="Q178" s="1021">
        <v>0</v>
      </c>
      <c r="R178" s="1021">
        <v>271688.15999999997</v>
      </c>
      <c r="S178" s="1021">
        <v>271688.15999999997</v>
      </c>
      <c r="T178" s="1021">
        <v>149702.65</v>
      </c>
      <c r="U178" s="1021">
        <v>0</v>
      </c>
      <c r="V178" s="1021">
        <v>0</v>
      </c>
    </row>
    <row r="179" spans="1:22" x14ac:dyDescent="0.25">
      <c r="A179" s="1088">
        <v>4089100500</v>
      </c>
      <c r="B179" s="903">
        <v>2</v>
      </c>
      <c r="C179" s="903">
        <v>4</v>
      </c>
      <c r="D179" s="903">
        <v>3</v>
      </c>
      <c r="E179" s="903" t="s">
        <v>1269</v>
      </c>
      <c r="F179" s="1127" t="s">
        <v>2225</v>
      </c>
      <c r="G179" s="903" t="s">
        <v>802</v>
      </c>
      <c r="H179" s="903">
        <v>0</v>
      </c>
      <c r="I179" s="1134" t="s">
        <v>1277</v>
      </c>
      <c r="J179" s="903">
        <v>1</v>
      </c>
      <c r="K179" s="903">
        <v>21</v>
      </c>
      <c r="L179" s="903">
        <v>1</v>
      </c>
      <c r="M179" s="903">
        <v>4</v>
      </c>
      <c r="N179" s="903" t="s">
        <v>1271</v>
      </c>
      <c r="O179" s="903">
        <v>13</v>
      </c>
      <c r="P179" s="1021">
        <v>182450.16</v>
      </c>
      <c r="Q179" s="1021">
        <v>0</v>
      </c>
      <c r="R179" s="1021">
        <v>182450.16</v>
      </c>
      <c r="S179" s="1021">
        <v>182450.16</v>
      </c>
      <c r="T179" s="1021">
        <v>107213.62</v>
      </c>
      <c r="U179" s="1021">
        <v>92557.17</v>
      </c>
      <c r="V179" s="1021">
        <v>92557.17</v>
      </c>
    </row>
    <row r="180" spans="1:22" x14ac:dyDescent="0.25">
      <c r="A180" s="1088">
        <v>4089100500</v>
      </c>
      <c r="B180" s="903">
        <v>2</v>
      </c>
      <c r="C180" s="903">
        <v>4</v>
      </c>
      <c r="D180" s="903">
        <v>3</v>
      </c>
      <c r="E180" s="903" t="s">
        <v>1269</v>
      </c>
      <c r="F180" s="1127" t="s">
        <v>2225</v>
      </c>
      <c r="G180" s="903" t="s">
        <v>802</v>
      </c>
      <c r="H180" s="903">
        <v>0</v>
      </c>
      <c r="I180" s="1134" t="s">
        <v>1278</v>
      </c>
      <c r="J180" s="903">
        <v>1</v>
      </c>
      <c r="K180" s="903">
        <v>21</v>
      </c>
      <c r="L180" s="903">
        <v>1</v>
      </c>
      <c r="M180" s="903">
        <v>4</v>
      </c>
      <c r="N180" s="903" t="s">
        <v>1271</v>
      </c>
      <c r="O180" s="903">
        <v>13</v>
      </c>
      <c r="P180" s="1021">
        <v>96865.08</v>
      </c>
      <c r="Q180" s="1021">
        <v>0</v>
      </c>
      <c r="R180" s="1021">
        <v>96865.08</v>
      </c>
      <c r="S180" s="1021">
        <v>96865.08</v>
      </c>
      <c r="T180" s="1021">
        <v>59548.07</v>
      </c>
      <c r="U180" s="1021">
        <v>52884.88</v>
      </c>
      <c r="V180" s="1021">
        <v>52884.88</v>
      </c>
    </row>
    <row r="181" spans="1:22" x14ac:dyDescent="0.25">
      <c r="A181" s="1088">
        <v>4089100500</v>
      </c>
      <c r="B181" s="903">
        <v>2</v>
      </c>
      <c r="C181" s="903">
        <v>4</v>
      </c>
      <c r="D181" s="903">
        <v>3</v>
      </c>
      <c r="E181" s="903" t="s">
        <v>1269</v>
      </c>
      <c r="F181" s="1127" t="s">
        <v>2225</v>
      </c>
      <c r="G181" s="903" t="s">
        <v>802</v>
      </c>
      <c r="H181" s="903">
        <v>0</v>
      </c>
      <c r="I181" s="1134" t="s">
        <v>1279</v>
      </c>
      <c r="J181" s="903">
        <v>1</v>
      </c>
      <c r="K181" s="903">
        <v>21</v>
      </c>
      <c r="L181" s="903">
        <v>1</v>
      </c>
      <c r="M181" s="903">
        <v>4</v>
      </c>
      <c r="N181" s="903" t="s">
        <v>1271</v>
      </c>
      <c r="O181" s="903">
        <v>13</v>
      </c>
      <c r="P181" s="1021">
        <v>114876.72</v>
      </c>
      <c r="Q181" s="1021">
        <v>0</v>
      </c>
      <c r="R181" s="1021">
        <v>114876.72</v>
      </c>
      <c r="S181" s="1021">
        <v>114876.72</v>
      </c>
      <c r="T181" s="1021">
        <v>66114.98</v>
      </c>
      <c r="U181" s="1021">
        <v>57770.38</v>
      </c>
      <c r="V181" s="1021">
        <v>57770.38</v>
      </c>
    </row>
    <row r="182" spans="1:22" x14ac:dyDescent="0.25">
      <c r="A182" s="1088">
        <v>4089100500</v>
      </c>
      <c r="B182" s="903">
        <v>2</v>
      </c>
      <c r="C182" s="903">
        <v>4</v>
      </c>
      <c r="D182" s="903">
        <v>3</v>
      </c>
      <c r="E182" s="903" t="s">
        <v>1269</v>
      </c>
      <c r="F182" s="1127" t="s">
        <v>2225</v>
      </c>
      <c r="G182" s="903" t="s">
        <v>802</v>
      </c>
      <c r="H182" s="903">
        <v>0</v>
      </c>
      <c r="I182" s="1134" t="s">
        <v>1280</v>
      </c>
      <c r="J182" s="903">
        <v>1</v>
      </c>
      <c r="K182" s="903">
        <v>21</v>
      </c>
      <c r="L182" s="903">
        <v>1</v>
      </c>
      <c r="M182" s="903">
        <v>4</v>
      </c>
      <c r="N182" s="903" t="s">
        <v>1271</v>
      </c>
      <c r="O182" s="903">
        <v>13</v>
      </c>
      <c r="P182" s="1021">
        <v>80442.48</v>
      </c>
      <c r="Q182" s="1021">
        <v>0</v>
      </c>
      <c r="R182" s="1021">
        <v>80442.48</v>
      </c>
      <c r="S182" s="1021">
        <v>80442.48</v>
      </c>
      <c r="T182" s="1021">
        <v>39845.74</v>
      </c>
      <c r="U182" s="1021">
        <v>0</v>
      </c>
      <c r="V182" s="1021">
        <v>0</v>
      </c>
    </row>
    <row r="183" spans="1:22" x14ac:dyDescent="0.25">
      <c r="A183" s="1088">
        <v>4089100500</v>
      </c>
      <c r="B183" s="903">
        <v>2</v>
      </c>
      <c r="C183" s="903">
        <v>4</v>
      </c>
      <c r="D183" s="903">
        <v>3</v>
      </c>
      <c r="E183" s="903" t="s">
        <v>1269</v>
      </c>
      <c r="F183" s="1127" t="s">
        <v>2225</v>
      </c>
      <c r="G183" s="903" t="s">
        <v>802</v>
      </c>
      <c r="H183" s="903">
        <v>0</v>
      </c>
      <c r="I183" s="1134" t="s">
        <v>1281</v>
      </c>
      <c r="J183" s="903">
        <v>1</v>
      </c>
      <c r="K183" s="903">
        <v>21</v>
      </c>
      <c r="L183" s="903">
        <v>1</v>
      </c>
      <c r="M183" s="903">
        <v>4</v>
      </c>
      <c r="N183" s="903" t="s">
        <v>1271</v>
      </c>
      <c r="O183" s="903">
        <v>13</v>
      </c>
      <c r="P183" s="1021">
        <v>43949.88</v>
      </c>
      <c r="Q183" s="1021">
        <v>0</v>
      </c>
      <c r="R183" s="1021">
        <v>43949.88</v>
      </c>
      <c r="S183" s="1021">
        <v>43949.88</v>
      </c>
      <c r="T183" s="1021">
        <v>0</v>
      </c>
      <c r="U183" s="1021">
        <v>0</v>
      </c>
      <c r="V183" s="1021">
        <v>0</v>
      </c>
    </row>
    <row r="184" spans="1:22" x14ac:dyDescent="0.25">
      <c r="A184" s="1088">
        <v>4089100500</v>
      </c>
      <c r="B184" s="903">
        <v>2</v>
      </c>
      <c r="C184" s="903">
        <v>4</v>
      </c>
      <c r="D184" s="903">
        <v>3</v>
      </c>
      <c r="E184" s="903" t="s">
        <v>1269</v>
      </c>
      <c r="F184" s="1127" t="s">
        <v>2225</v>
      </c>
      <c r="G184" s="903" t="s">
        <v>802</v>
      </c>
      <c r="H184" s="903">
        <v>0</v>
      </c>
      <c r="I184" s="1134" t="s">
        <v>1282</v>
      </c>
      <c r="J184" s="903">
        <v>1</v>
      </c>
      <c r="K184" s="903">
        <v>21</v>
      </c>
      <c r="L184" s="903">
        <v>1</v>
      </c>
      <c r="M184" s="903">
        <v>4</v>
      </c>
      <c r="N184" s="903" t="s">
        <v>1271</v>
      </c>
      <c r="O184" s="903">
        <v>13</v>
      </c>
      <c r="P184" s="1021">
        <v>68781.48</v>
      </c>
      <c r="Q184" s="1021">
        <v>-14282.43</v>
      </c>
      <c r="R184" s="1021">
        <v>54499.05</v>
      </c>
      <c r="S184" s="1021">
        <v>54499.05</v>
      </c>
      <c r="T184" s="1021">
        <v>54499.05</v>
      </c>
      <c r="U184" s="1021">
        <v>54499.05</v>
      </c>
      <c r="V184" s="1021">
        <v>54499.05</v>
      </c>
    </row>
    <row r="185" spans="1:22" x14ac:dyDescent="0.25">
      <c r="A185" s="1088">
        <v>4089100500</v>
      </c>
      <c r="B185" s="903">
        <v>2</v>
      </c>
      <c r="C185" s="903">
        <v>4</v>
      </c>
      <c r="D185" s="903">
        <v>3</v>
      </c>
      <c r="E185" s="903" t="s">
        <v>1269</v>
      </c>
      <c r="F185" s="1127" t="s">
        <v>2225</v>
      </c>
      <c r="G185" s="903" t="s">
        <v>802</v>
      </c>
      <c r="H185" s="903">
        <v>0</v>
      </c>
      <c r="I185" s="1134" t="s">
        <v>1121</v>
      </c>
      <c r="J185" s="903">
        <v>1</v>
      </c>
      <c r="K185" s="903">
        <v>21</v>
      </c>
      <c r="L185" s="903">
        <v>1</v>
      </c>
      <c r="M185" s="903">
        <v>4</v>
      </c>
      <c r="N185" s="903" t="s">
        <v>1271</v>
      </c>
      <c r="O185" s="903">
        <v>13</v>
      </c>
      <c r="P185" s="1021">
        <v>1622.4</v>
      </c>
      <c r="Q185" s="1021">
        <v>-982.4</v>
      </c>
      <c r="R185" s="1021">
        <v>640</v>
      </c>
      <c r="S185" s="1021">
        <v>640</v>
      </c>
      <c r="T185" s="1021">
        <v>640</v>
      </c>
      <c r="U185" s="1021">
        <v>640</v>
      </c>
      <c r="V185" s="1021">
        <v>640</v>
      </c>
    </row>
    <row r="186" spans="1:22" x14ac:dyDescent="0.25">
      <c r="A186" s="1088">
        <v>4089100500</v>
      </c>
      <c r="B186" s="903">
        <v>2</v>
      </c>
      <c r="C186" s="903">
        <v>4</v>
      </c>
      <c r="D186" s="903">
        <v>3</v>
      </c>
      <c r="E186" s="903" t="s">
        <v>1269</v>
      </c>
      <c r="F186" s="1127" t="s">
        <v>2225</v>
      </c>
      <c r="G186" s="903" t="s">
        <v>802</v>
      </c>
      <c r="H186" s="903">
        <v>0</v>
      </c>
      <c r="I186" s="1134" t="s">
        <v>1127</v>
      </c>
      <c r="J186" s="903">
        <v>1</v>
      </c>
      <c r="K186" s="903">
        <v>21</v>
      </c>
      <c r="L186" s="903">
        <v>1</v>
      </c>
      <c r="M186" s="903">
        <v>4</v>
      </c>
      <c r="N186" s="903" t="s">
        <v>1271</v>
      </c>
      <c r="O186" s="903">
        <v>13</v>
      </c>
      <c r="P186" s="1021">
        <v>985.8</v>
      </c>
      <c r="Q186" s="1021">
        <v>0</v>
      </c>
      <c r="R186" s="1021">
        <v>985.8</v>
      </c>
      <c r="S186" s="1021">
        <v>25</v>
      </c>
      <c r="T186" s="1021">
        <v>25</v>
      </c>
      <c r="U186" s="1021">
        <v>25</v>
      </c>
      <c r="V186" s="1021">
        <v>25</v>
      </c>
    </row>
    <row r="187" spans="1:22" x14ac:dyDescent="0.25">
      <c r="A187" s="1088">
        <v>4089100500</v>
      </c>
      <c r="B187" s="903">
        <v>2</v>
      </c>
      <c r="C187" s="903">
        <v>4</v>
      </c>
      <c r="D187" s="903">
        <v>3</v>
      </c>
      <c r="E187" s="903" t="s">
        <v>1269</v>
      </c>
      <c r="F187" s="1127" t="s">
        <v>2225</v>
      </c>
      <c r="G187" s="903" t="s">
        <v>802</v>
      </c>
      <c r="H187" s="903">
        <v>0</v>
      </c>
      <c r="I187" s="1134" t="s">
        <v>1145</v>
      </c>
      <c r="J187" s="903">
        <v>1</v>
      </c>
      <c r="K187" s="903">
        <v>21</v>
      </c>
      <c r="L187" s="903">
        <v>1</v>
      </c>
      <c r="M187" s="903">
        <v>4</v>
      </c>
      <c r="N187" s="903" t="s">
        <v>1271</v>
      </c>
      <c r="O187" s="903">
        <v>13</v>
      </c>
      <c r="P187" s="1021">
        <v>10918.32</v>
      </c>
      <c r="Q187" s="1021">
        <v>0</v>
      </c>
      <c r="R187" s="1021">
        <v>10918.32</v>
      </c>
      <c r="S187" s="1021">
        <v>7900</v>
      </c>
      <c r="T187" s="1021">
        <v>7900</v>
      </c>
      <c r="U187" s="1021">
        <v>7900</v>
      </c>
      <c r="V187" s="1021">
        <v>7900</v>
      </c>
    </row>
    <row r="188" spans="1:22" x14ac:dyDescent="0.25">
      <c r="A188" s="1088">
        <v>4089100500</v>
      </c>
      <c r="B188" s="903">
        <v>2</v>
      </c>
      <c r="C188" s="903">
        <v>4</v>
      </c>
      <c r="D188" s="903">
        <v>3</v>
      </c>
      <c r="E188" s="903" t="s">
        <v>1269</v>
      </c>
      <c r="F188" s="1127" t="s">
        <v>2225</v>
      </c>
      <c r="G188" s="903" t="s">
        <v>802</v>
      </c>
      <c r="H188" s="903">
        <v>0</v>
      </c>
      <c r="I188" s="1134" t="s">
        <v>1161</v>
      </c>
      <c r="J188" s="903">
        <v>1</v>
      </c>
      <c r="K188" s="903">
        <v>21</v>
      </c>
      <c r="L188" s="903">
        <v>1</v>
      </c>
      <c r="M188" s="903">
        <v>4</v>
      </c>
      <c r="N188" s="903" t="s">
        <v>1271</v>
      </c>
      <c r="O188" s="903">
        <v>13</v>
      </c>
      <c r="P188" s="1021">
        <v>8783.2800000000007</v>
      </c>
      <c r="Q188" s="1021">
        <v>0</v>
      </c>
      <c r="R188" s="1021">
        <v>8783.2800000000007</v>
      </c>
      <c r="S188" s="1021">
        <v>5968.1</v>
      </c>
      <c r="T188" s="1021">
        <v>5968.1</v>
      </c>
      <c r="U188" s="1021">
        <v>5968.1</v>
      </c>
      <c r="V188" s="1021">
        <v>5968.1</v>
      </c>
    </row>
    <row r="189" spans="1:22" x14ac:dyDescent="0.25">
      <c r="A189" s="1088">
        <v>4089100500</v>
      </c>
      <c r="B189" s="903">
        <v>2</v>
      </c>
      <c r="C189" s="903">
        <v>4</v>
      </c>
      <c r="D189" s="903">
        <v>3</v>
      </c>
      <c r="E189" s="903" t="s">
        <v>1269</v>
      </c>
      <c r="F189" s="1127" t="s">
        <v>2225</v>
      </c>
      <c r="G189" s="903" t="s">
        <v>802</v>
      </c>
      <c r="H189" s="903">
        <v>0</v>
      </c>
      <c r="I189" s="1134" t="s">
        <v>1163</v>
      </c>
      <c r="J189" s="903">
        <v>1</v>
      </c>
      <c r="K189" s="903">
        <v>21</v>
      </c>
      <c r="L189" s="903">
        <v>1</v>
      </c>
      <c r="M189" s="903">
        <v>4</v>
      </c>
      <c r="N189" s="903" t="s">
        <v>1271</v>
      </c>
      <c r="O189" s="903">
        <v>13</v>
      </c>
      <c r="P189" s="1021">
        <v>943.8</v>
      </c>
      <c r="Q189" s="1021">
        <v>0</v>
      </c>
      <c r="R189" s="1021">
        <v>943.8</v>
      </c>
      <c r="S189" s="1021">
        <v>414.44</v>
      </c>
      <c r="T189" s="1021">
        <v>414.44</v>
      </c>
      <c r="U189" s="1021">
        <v>414.44</v>
      </c>
      <c r="V189" s="1021">
        <v>414.44</v>
      </c>
    </row>
    <row r="190" spans="1:22" x14ac:dyDescent="0.25">
      <c r="A190" s="1088">
        <v>4089100500</v>
      </c>
      <c r="B190" s="903">
        <v>2</v>
      </c>
      <c r="C190" s="903">
        <v>4</v>
      </c>
      <c r="D190" s="903">
        <v>3</v>
      </c>
      <c r="E190" s="903" t="s">
        <v>1269</v>
      </c>
      <c r="F190" s="1127" t="s">
        <v>2225</v>
      </c>
      <c r="G190" s="903" t="s">
        <v>802</v>
      </c>
      <c r="H190" s="903">
        <v>0</v>
      </c>
      <c r="I190" s="1134" t="s">
        <v>1165</v>
      </c>
      <c r="J190" s="903">
        <v>1</v>
      </c>
      <c r="K190" s="903">
        <v>21</v>
      </c>
      <c r="L190" s="903">
        <v>1</v>
      </c>
      <c r="M190" s="903">
        <v>4</v>
      </c>
      <c r="N190" s="903" t="s">
        <v>1271</v>
      </c>
      <c r="O190" s="903">
        <v>13</v>
      </c>
      <c r="P190" s="1021">
        <v>2997.6</v>
      </c>
      <c r="Q190" s="1021">
        <v>0</v>
      </c>
      <c r="R190" s="1021">
        <v>2997.6</v>
      </c>
      <c r="S190" s="1021">
        <v>1918.87</v>
      </c>
      <c r="T190" s="1021">
        <v>1918.87</v>
      </c>
      <c r="U190" s="1021">
        <v>1918.87</v>
      </c>
      <c r="V190" s="1021">
        <v>1918.87</v>
      </c>
    </row>
    <row r="191" spans="1:22" x14ac:dyDescent="0.25">
      <c r="A191" s="1088">
        <v>4089100500</v>
      </c>
      <c r="B191" s="903">
        <v>2</v>
      </c>
      <c r="C191" s="903">
        <v>4</v>
      </c>
      <c r="D191" s="903">
        <v>3</v>
      </c>
      <c r="E191" s="903" t="s">
        <v>1269</v>
      </c>
      <c r="F191" s="1127" t="s">
        <v>2225</v>
      </c>
      <c r="G191" s="903" t="s">
        <v>802</v>
      </c>
      <c r="H191" s="903">
        <v>0</v>
      </c>
      <c r="I191" s="1134" t="s">
        <v>1169</v>
      </c>
      <c r="J191" s="903">
        <v>1</v>
      </c>
      <c r="K191" s="903">
        <v>21</v>
      </c>
      <c r="L191" s="903">
        <v>1</v>
      </c>
      <c r="M191" s="903">
        <v>4</v>
      </c>
      <c r="N191" s="903" t="s">
        <v>1271</v>
      </c>
      <c r="O191" s="903">
        <v>13</v>
      </c>
      <c r="P191" s="1021">
        <v>11277.72</v>
      </c>
      <c r="Q191" s="1021">
        <v>-2000</v>
      </c>
      <c r="R191" s="1021">
        <v>9277.7199999999993</v>
      </c>
      <c r="S191" s="1021">
        <v>2521.6999999999998</v>
      </c>
      <c r="T191" s="1021">
        <v>2521.6999999999998</v>
      </c>
      <c r="U191" s="1021">
        <v>2521.6999999999998</v>
      </c>
      <c r="V191" s="1021">
        <v>2521.6999999999998</v>
      </c>
    </row>
    <row r="192" spans="1:22" x14ac:dyDescent="0.25">
      <c r="A192" s="1088">
        <v>4089100500</v>
      </c>
      <c r="B192" s="903">
        <v>2</v>
      </c>
      <c r="C192" s="903">
        <v>4</v>
      </c>
      <c r="D192" s="903">
        <v>3</v>
      </c>
      <c r="E192" s="903" t="s">
        <v>1269</v>
      </c>
      <c r="F192" s="1127" t="s">
        <v>2225</v>
      </c>
      <c r="G192" s="903" t="s">
        <v>802</v>
      </c>
      <c r="H192" s="903">
        <v>0</v>
      </c>
      <c r="I192" s="1134" t="s">
        <v>1181</v>
      </c>
      <c r="J192" s="903">
        <v>1</v>
      </c>
      <c r="K192" s="903">
        <v>21</v>
      </c>
      <c r="L192" s="903">
        <v>1</v>
      </c>
      <c r="M192" s="903">
        <v>4</v>
      </c>
      <c r="N192" s="903" t="s">
        <v>1271</v>
      </c>
      <c r="O192" s="903">
        <v>13</v>
      </c>
      <c r="P192" s="1021">
        <v>1291.32</v>
      </c>
      <c r="Q192" s="1021">
        <v>0</v>
      </c>
      <c r="R192" s="1021">
        <v>1291.32</v>
      </c>
      <c r="S192" s="1021">
        <v>894.39</v>
      </c>
      <c r="T192" s="1021">
        <v>894.39</v>
      </c>
      <c r="U192" s="1021">
        <v>790.41</v>
      </c>
      <c r="V192" s="1021">
        <v>790.41</v>
      </c>
    </row>
    <row r="193" spans="1:22" x14ac:dyDescent="0.25">
      <c r="A193" s="1088">
        <v>4089100500</v>
      </c>
      <c r="B193" s="903">
        <v>2</v>
      </c>
      <c r="C193" s="903">
        <v>4</v>
      </c>
      <c r="D193" s="903">
        <v>3</v>
      </c>
      <c r="E193" s="903" t="s">
        <v>1269</v>
      </c>
      <c r="F193" s="1127" t="s">
        <v>2225</v>
      </c>
      <c r="G193" s="903" t="s">
        <v>802</v>
      </c>
      <c r="H193" s="903">
        <v>0</v>
      </c>
      <c r="I193" s="1134" t="s">
        <v>1206</v>
      </c>
      <c r="J193" s="903">
        <v>1</v>
      </c>
      <c r="K193" s="903">
        <v>21</v>
      </c>
      <c r="L193" s="903">
        <v>1</v>
      </c>
      <c r="M193" s="903">
        <v>4</v>
      </c>
      <c r="N193" s="903" t="s">
        <v>1271</v>
      </c>
      <c r="O193" s="903">
        <v>13</v>
      </c>
      <c r="P193" s="1021">
        <v>375930.48</v>
      </c>
      <c r="Q193" s="1021">
        <v>0</v>
      </c>
      <c r="R193" s="1021">
        <v>375930.48</v>
      </c>
      <c r="S193" s="1021">
        <v>295811.32</v>
      </c>
      <c r="T193" s="1021">
        <v>295811.32</v>
      </c>
      <c r="U193" s="1021">
        <v>295811.32</v>
      </c>
      <c r="V193" s="1021">
        <v>295811.32</v>
      </c>
    </row>
    <row r="194" spans="1:22" x14ac:dyDescent="0.25">
      <c r="A194" s="1088">
        <v>4089100500</v>
      </c>
      <c r="B194" s="903">
        <v>2</v>
      </c>
      <c r="C194" s="903">
        <v>4</v>
      </c>
      <c r="D194" s="903">
        <v>3</v>
      </c>
      <c r="E194" s="903" t="s">
        <v>1269</v>
      </c>
      <c r="F194" s="1127" t="s">
        <v>2225</v>
      </c>
      <c r="G194" s="903" t="s">
        <v>802</v>
      </c>
      <c r="H194" s="903">
        <v>0</v>
      </c>
      <c r="I194" s="1134" t="s">
        <v>1210</v>
      </c>
      <c r="J194" s="903">
        <v>1</v>
      </c>
      <c r="K194" s="903">
        <v>21</v>
      </c>
      <c r="L194" s="903">
        <v>1</v>
      </c>
      <c r="M194" s="903">
        <v>4</v>
      </c>
      <c r="N194" s="903" t="s">
        <v>1271</v>
      </c>
      <c r="O194" s="903">
        <v>13</v>
      </c>
      <c r="P194" s="1021">
        <v>633.48</v>
      </c>
      <c r="Q194" s="1021">
        <v>9547.2900000000009</v>
      </c>
      <c r="R194" s="1021">
        <v>10180.77</v>
      </c>
      <c r="S194" s="1021">
        <v>9547.2900000000009</v>
      </c>
      <c r="T194" s="1021">
        <v>9547.2900000000009</v>
      </c>
      <c r="U194" s="1021">
        <v>9547.2900000000009</v>
      </c>
      <c r="V194" s="1021">
        <v>9547.2900000000009</v>
      </c>
    </row>
    <row r="195" spans="1:22" x14ac:dyDescent="0.25">
      <c r="A195" s="1088">
        <v>4089100500</v>
      </c>
      <c r="B195" s="903">
        <v>2</v>
      </c>
      <c r="C195" s="903">
        <v>4</v>
      </c>
      <c r="D195" s="903">
        <v>3</v>
      </c>
      <c r="E195" s="903" t="s">
        <v>1269</v>
      </c>
      <c r="F195" s="1127" t="s">
        <v>2225</v>
      </c>
      <c r="G195" s="903" t="s">
        <v>802</v>
      </c>
      <c r="H195" s="903">
        <v>0</v>
      </c>
      <c r="I195" s="1134" t="s">
        <v>1212</v>
      </c>
      <c r="J195" s="903">
        <v>1</v>
      </c>
      <c r="K195" s="903">
        <v>21</v>
      </c>
      <c r="L195" s="903">
        <v>1</v>
      </c>
      <c r="M195" s="903">
        <v>4</v>
      </c>
      <c r="N195" s="903" t="s">
        <v>1271</v>
      </c>
      <c r="O195" s="903">
        <v>13</v>
      </c>
      <c r="P195" s="1021">
        <v>221.52</v>
      </c>
      <c r="Q195" s="1021">
        <v>2000</v>
      </c>
      <c r="R195" s="1021">
        <v>2221.52</v>
      </c>
      <c r="S195" s="1021">
        <v>2000</v>
      </c>
      <c r="T195" s="1021">
        <v>2000</v>
      </c>
      <c r="U195" s="1021">
        <v>2000</v>
      </c>
      <c r="V195" s="1021">
        <v>2000</v>
      </c>
    </row>
    <row r="196" spans="1:22" x14ac:dyDescent="0.25">
      <c r="A196" s="1088">
        <v>4089100500</v>
      </c>
      <c r="B196" s="903">
        <v>2</v>
      </c>
      <c r="C196" s="903">
        <v>4</v>
      </c>
      <c r="D196" s="903">
        <v>3</v>
      </c>
      <c r="E196" s="903" t="s">
        <v>1269</v>
      </c>
      <c r="F196" s="1127" t="s">
        <v>2225</v>
      </c>
      <c r="G196" s="903" t="s">
        <v>802</v>
      </c>
      <c r="H196" s="903">
        <v>0</v>
      </c>
      <c r="I196" s="1134" t="s">
        <v>1218</v>
      </c>
      <c r="J196" s="903">
        <v>1</v>
      </c>
      <c r="K196" s="903">
        <v>21</v>
      </c>
      <c r="L196" s="903">
        <v>1</v>
      </c>
      <c r="M196" s="903">
        <v>4</v>
      </c>
      <c r="N196" s="903" t="s">
        <v>1271</v>
      </c>
      <c r="O196" s="903">
        <v>13</v>
      </c>
      <c r="P196" s="1021">
        <v>4352.3999999999996</v>
      </c>
      <c r="Q196" s="1021">
        <v>0</v>
      </c>
      <c r="R196" s="1021">
        <v>4352.3999999999996</v>
      </c>
      <c r="S196" s="1021">
        <v>1242</v>
      </c>
      <c r="T196" s="1021">
        <v>1242</v>
      </c>
      <c r="U196" s="1021">
        <v>1021.2</v>
      </c>
      <c r="V196" s="1021">
        <v>1021.2</v>
      </c>
    </row>
    <row r="197" spans="1:22" x14ac:dyDescent="0.25">
      <c r="A197" s="1088">
        <v>4089100500</v>
      </c>
      <c r="B197" s="903">
        <v>2</v>
      </c>
      <c r="C197" s="903">
        <v>4</v>
      </c>
      <c r="D197" s="903">
        <v>3</v>
      </c>
      <c r="E197" s="903" t="s">
        <v>1269</v>
      </c>
      <c r="F197" s="1127" t="s">
        <v>2225</v>
      </c>
      <c r="G197" s="903" t="s">
        <v>802</v>
      </c>
      <c r="H197" s="903">
        <v>0</v>
      </c>
      <c r="I197" s="1134" t="s">
        <v>1238</v>
      </c>
      <c r="J197" s="903">
        <v>1</v>
      </c>
      <c r="K197" s="903">
        <v>21</v>
      </c>
      <c r="L197" s="903">
        <v>1</v>
      </c>
      <c r="M197" s="903">
        <v>4</v>
      </c>
      <c r="N197" s="903" t="s">
        <v>1271</v>
      </c>
      <c r="O197" s="903">
        <v>13</v>
      </c>
      <c r="P197" s="1021">
        <v>442.56</v>
      </c>
      <c r="Q197" s="1021">
        <v>0</v>
      </c>
      <c r="R197" s="1021">
        <v>442.56</v>
      </c>
      <c r="S197" s="1021">
        <v>0</v>
      </c>
      <c r="T197" s="1021">
        <v>0</v>
      </c>
      <c r="U197" s="1021">
        <v>0</v>
      </c>
      <c r="V197" s="1021">
        <v>0</v>
      </c>
    </row>
    <row r="198" spans="1:22" x14ac:dyDescent="0.25">
      <c r="A198" s="1088">
        <v>4089100500</v>
      </c>
      <c r="B198" s="903">
        <v>2</v>
      </c>
      <c r="C198" s="903">
        <v>4</v>
      </c>
      <c r="D198" s="903">
        <v>3</v>
      </c>
      <c r="E198" s="903" t="s">
        <v>1269</v>
      </c>
      <c r="F198" s="1127" t="s">
        <v>2225</v>
      </c>
      <c r="G198" s="903" t="s">
        <v>802</v>
      </c>
      <c r="H198" s="903">
        <v>0</v>
      </c>
      <c r="I198" s="1134" t="s">
        <v>1240</v>
      </c>
      <c r="J198" s="903">
        <v>1</v>
      </c>
      <c r="K198" s="903">
        <v>21</v>
      </c>
      <c r="L198" s="903">
        <v>1</v>
      </c>
      <c r="M198" s="903">
        <v>4</v>
      </c>
      <c r="N198" s="903" t="s">
        <v>1271</v>
      </c>
      <c r="O198" s="903">
        <v>13</v>
      </c>
      <c r="P198" s="1021">
        <v>150</v>
      </c>
      <c r="Q198" s="1021">
        <v>0</v>
      </c>
      <c r="R198" s="1021">
        <v>150</v>
      </c>
      <c r="S198" s="1021">
        <v>150</v>
      </c>
      <c r="T198" s="1021">
        <v>150</v>
      </c>
      <c r="U198" s="1021">
        <v>150</v>
      </c>
      <c r="V198" s="1021">
        <v>150</v>
      </c>
    </row>
    <row r="199" spans="1:22" x14ac:dyDescent="0.25">
      <c r="A199" s="1088">
        <v>4089100500</v>
      </c>
      <c r="B199" s="903">
        <v>2</v>
      </c>
      <c r="C199" s="903">
        <v>4</v>
      </c>
      <c r="D199" s="903">
        <v>3</v>
      </c>
      <c r="E199" s="903" t="s">
        <v>1269</v>
      </c>
      <c r="F199" s="1127" t="s">
        <v>2225</v>
      </c>
      <c r="G199" s="903" t="s">
        <v>802</v>
      </c>
      <c r="H199" s="903">
        <v>0</v>
      </c>
      <c r="I199" s="1134" t="s">
        <v>1248</v>
      </c>
      <c r="J199" s="903">
        <v>1</v>
      </c>
      <c r="K199" s="903">
        <v>21</v>
      </c>
      <c r="L199" s="903">
        <v>1</v>
      </c>
      <c r="M199" s="903">
        <v>4</v>
      </c>
      <c r="N199" s="903" t="s">
        <v>1271</v>
      </c>
      <c r="O199" s="903">
        <v>13</v>
      </c>
      <c r="P199" s="1021">
        <v>75074.759999999995</v>
      </c>
      <c r="Q199" s="1021">
        <v>0</v>
      </c>
      <c r="R199" s="1021">
        <v>75074.759999999995</v>
      </c>
      <c r="S199" s="1021">
        <v>31436</v>
      </c>
      <c r="T199" s="1021">
        <v>31436</v>
      </c>
      <c r="U199" s="1021">
        <v>27969</v>
      </c>
      <c r="V199" s="1021">
        <v>27969</v>
      </c>
    </row>
    <row r="200" spans="1:22" x14ac:dyDescent="0.25">
      <c r="A200" s="1088">
        <v>4089100600</v>
      </c>
      <c r="B200" s="903">
        <v>2</v>
      </c>
      <c r="C200" s="903">
        <v>4</v>
      </c>
      <c r="D200" s="903">
        <v>3</v>
      </c>
      <c r="E200" s="903" t="s">
        <v>1269</v>
      </c>
      <c r="F200" s="1127" t="s">
        <v>2225</v>
      </c>
      <c r="G200" s="903" t="s">
        <v>802</v>
      </c>
      <c r="H200" s="903">
        <v>0</v>
      </c>
      <c r="I200" s="1131" t="s">
        <v>1270</v>
      </c>
      <c r="J200" s="903">
        <v>1</v>
      </c>
      <c r="K200" s="903">
        <v>21</v>
      </c>
      <c r="L200" s="903">
        <v>1</v>
      </c>
      <c r="M200" s="903">
        <v>4</v>
      </c>
      <c r="N200" s="903" t="s">
        <v>1271</v>
      </c>
      <c r="O200" s="903">
        <v>13</v>
      </c>
      <c r="P200" s="1021">
        <v>6075207</v>
      </c>
      <c r="Q200" s="1021">
        <v>-148770.89000000001</v>
      </c>
      <c r="R200" s="1021">
        <v>5926436.1100000003</v>
      </c>
      <c r="S200" s="1021">
        <v>5926436.1100000003</v>
      </c>
      <c r="T200" s="1021">
        <v>4348901.28</v>
      </c>
      <c r="U200" s="1022">
        <v>4348901.28</v>
      </c>
      <c r="V200" s="1022">
        <v>4348901.28</v>
      </c>
    </row>
    <row r="201" spans="1:22" x14ac:dyDescent="0.25">
      <c r="A201" s="1088">
        <v>4089100600</v>
      </c>
      <c r="B201" s="903">
        <v>2</v>
      </c>
      <c r="C201" s="903">
        <v>4</v>
      </c>
      <c r="D201" s="903">
        <v>3</v>
      </c>
      <c r="E201" s="903" t="s">
        <v>1269</v>
      </c>
      <c r="F201" s="1127" t="s">
        <v>2225</v>
      </c>
      <c r="G201" s="903" t="s">
        <v>802</v>
      </c>
      <c r="H201" s="903">
        <v>0</v>
      </c>
      <c r="I201" s="1131" t="s">
        <v>1272</v>
      </c>
      <c r="J201" s="903">
        <v>1</v>
      </c>
      <c r="K201" s="903">
        <v>21</v>
      </c>
      <c r="L201" s="903">
        <v>1</v>
      </c>
      <c r="M201" s="903">
        <v>4</v>
      </c>
      <c r="N201" s="903" t="s">
        <v>1271</v>
      </c>
      <c r="O201" s="903">
        <v>13</v>
      </c>
      <c r="P201" s="1021">
        <v>305793.36</v>
      </c>
      <c r="Q201" s="1021">
        <v>0</v>
      </c>
      <c r="R201" s="1021">
        <v>305793.36</v>
      </c>
      <c r="S201" s="1021">
        <v>305793.36</v>
      </c>
      <c r="T201" s="1021">
        <v>147652.65</v>
      </c>
      <c r="U201" s="1022">
        <v>138852.65</v>
      </c>
      <c r="V201" s="1022">
        <v>138852.65</v>
      </c>
    </row>
    <row r="202" spans="1:22" x14ac:dyDescent="0.25">
      <c r="A202" s="1088">
        <v>4089100600</v>
      </c>
      <c r="B202" s="903">
        <v>2</v>
      </c>
      <c r="C202" s="903">
        <v>4</v>
      </c>
      <c r="D202" s="903">
        <v>3</v>
      </c>
      <c r="E202" s="903" t="s">
        <v>1269</v>
      </c>
      <c r="F202" s="1127" t="s">
        <v>2225</v>
      </c>
      <c r="G202" s="903" t="s">
        <v>802</v>
      </c>
      <c r="H202" s="903">
        <v>0</v>
      </c>
      <c r="I202" s="1131" t="s">
        <v>1273</v>
      </c>
      <c r="J202" s="903">
        <v>1</v>
      </c>
      <c r="K202" s="903">
        <v>21</v>
      </c>
      <c r="L202" s="903">
        <v>1</v>
      </c>
      <c r="M202" s="903">
        <v>4</v>
      </c>
      <c r="N202" s="903" t="s">
        <v>1271</v>
      </c>
      <c r="O202" s="903">
        <v>13</v>
      </c>
      <c r="P202" s="1021">
        <v>399666.72</v>
      </c>
      <c r="Q202" s="1021">
        <v>0</v>
      </c>
      <c r="R202" s="1021">
        <v>399666.72</v>
      </c>
      <c r="S202" s="1021">
        <v>399666.72</v>
      </c>
      <c r="T202" s="1021">
        <v>265500</v>
      </c>
      <c r="U202" s="1022">
        <v>265500</v>
      </c>
      <c r="V202" s="1022">
        <v>265500</v>
      </c>
    </row>
    <row r="203" spans="1:22" x14ac:dyDescent="0.25">
      <c r="A203" s="1088">
        <v>4089100600</v>
      </c>
      <c r="B203" s="903">
        <v>2</v>
      </c>
      <c r="C203" s="903">
        <v>4</v>
      </c>
      <c r="D203" s="903">
        <v>3</v>
      </c>
      <c r="E203" s="903" t="s">
        <v>1269</v>
      </c>
      <c r="F203" s="1127" t="s">
        <v>2225</v>
      </c>
      <c r="G203" s="903" t="s">
        <v>802</v>
      </c>
      <c r="H203" s="903">
        <v>0</v>
      </c>
      <c r="I203" s="1131" t="s">
        <v>1274</v>
      </c>
      <c r="J203" s="903">
        <v>1</v>
      </c>
      <c r="K203" s="903">
        <v>21</v>
      </c>
      <c r="L203" s="903">
        <v>1</v>
      </c>
      <c r="M203" s="903">
        <v>4</v>
      </c>
      <c r="N203" s="903" t="s">
        <v>1271</v>
      </c>
      <c r="O203" s="903">
        <v>13</v>
      </c>
      <c r="P203" s="1021">
        <v>170163</v>
      </c>
      <c r="Q203" s="1021">
        <v>-28903.48</v>
      </c>
      <c r="R203" s="1021">
        <v>141259.51999999999</v>
      </c>
      <c r="S203" s="1021">
        <v>141259.51999999999</v>
      </c>
      <c r="T203" s="1021">
        <v>73765.350000000006</v>
      </c>
      <c r="U203" s="1022">
        <v>73765.350000000006</v>
      </c>
      <c r="V203" s="1022">
        <v>73765.350000000006</v>
      </c>
    </row>
    <row r="204" spans="1:22" x14ac:dyDescent="0.25">
      <c r="A204" s="1088">
        <v>4089100600</v>
      </c>
      <c r="B204" s="903">
        <v>2</v>
      </c>
      <c r="C204" s="903">
        <v>4</v>
      </c>
      <c r="D204" s="903">
        <v>3</v>
      </c>
      <c r="E204" s="903" t="s">
        <v>1269</v>
      </c>
      <c r="F204" s="1127" t="s">
        <v>2225</v>
      </c>
      <c r="G204" s="903" t="s">
        <v>802</v>
      </c>
      <c r="H204" s="903">
        <v>0</v>
      </c>
      <c r="I204" s="1131" t="s">
        <v>1275</v>
      </c>
      <c r="J204" s="903">
        <v>1</v>
      </c>
      <c r="K204" s="903">
        <v>21</v>
      </c>
      <c r="L204" s="903">
        <v>1</v>
      </c>
      <c r="M204" s="903">
        <v>4</v>
      </c>
      <c r="N204" s="903" t="s">
        <v>1271</v>
      </c>
      <c r="O204" s="903">
        <v>13</v>
      </c>
      <c r="P204" s="1021">
        <v>549243.84</v>
      </c>
      <c r="Q204" s="1021">
        <v>0</v>
      </c>
      <c r="R204" s="1021">
        <v>549243.84</v>
      </c>
      <c r="S204" s="1021">
        <v>549243.84</v>
      </c>
      <c r="T204" s="1021">
        <v>356075.67</v>
      </c>
      <c r="U204" s="1022">
        <v>356075.67</v>
      </c>
      <c r="V204" s="1022">
        <v>356075.67</v>
      </c>
    </row>
    <row r="205" spans="1:22" x14ac:dyDescent="0.25">
      <c r="A205" s="1088">
        <v>4089100600</v>
      </c>
      <c r="B205" s="903">
        <v>2</v>
      </c>
      <c r="C205" s="903">
        <v>4</v>
      </c>
      <c r="D205" s="903">
        <v>3</v>
      </c>
      <c r="E205" s="903" t="s">
        <v>1269</v>
      </c>
      <c r="F205" s="1127" t="s">
        <v>2225</v>
      </c>
      <c r="G205" s="903" t="s">
        <v>802</v>
      </c>
      <c r="H205" s="903">
        <v>0</v>
      </c>
      <c r="I205" s="1131" t="s">
        <v>1276</v>
      </c>
      <c r="J205" s="903">
        <v>1</v>
      </c>
      <c r="K205" s="903">
        <v>21</v>
      </c>
      <c r="L205" s="903">
        <v>1</v>
      </c>
      <c r="M205" s="903">
        <v>4</v>
      </c>
      <c r="N205" s="903" t="s">
        <v>1271</v>
      </c>
      <c r="O205" s="903">
        <v>13</v>
      </c>
      <c r="P205" s="1021">
        <v>1291773.72</v>
      </c>
      <c r="Q205" s="1021">
        <v>0</v>
      </c>
      <c r="R205" s="1021">
        <v>1291773.72</v>
      </c>
      <c r="S205" s="1021">
        <v>1291773.72</v>
      </c>
      <c r="T205" s="1021">
        <v>718985.79</v>
      </c>
      <c r="U205" s="1022">
        <v>3615.1</v>
      </c>
      <c r="V205" s="1022">
        <v>3615.1</v>
      </c>
    </row>
    <row r="206" spans="1:22" x14ac:dyDescent="0.25">
      <c r="A206" s="1088">
        <v>4089100600</v>
      </c>
      <c r="B206" s="903">
        <v>2</v>
      </c>
      <c r="C206" s="903">
        <v>4</v>
      </c>
      <c r="D206" s="903">
        <v>3</v>
      </c>
      <c r="E206" s="903" t="s">
        <v>1269</v>
      </c>
      <c r="F206" s="1127" t="s">
        <v>2225</v>
      </c>
      <c r="G206" s="903" t="s">
        <v>802</v>
      </c>
      <c r="H206" s="903">
        <v>0</v>
      </c>
      <c r="I206" s="1131" t="s">
        <v>1285</v>
      </c>
      <c r="J206" s="903">
        <v>1</v>
      </c>
      <c r="K206" s="903">
        <v>21</v>
      </c>
      <c r="L206" s="903">
        <v>1</v>
      </c>
      <c r="M206" s="903">
        <v>4</v>
      </c>
      <c r="N206" s="903" t="s">
        <v>1271</v>
      </c>
      <c r="O206" s="903">
        <v>13</v>
      </c>
      <c r="P206" s="1021">
        <v>10009.200000000001</v>
      </c>
      <c r="Q206" s="1021">
        <v>0</v>
      </c>
      <c r="R206" s="1021">
        <v>10009.200000000001</v>
      </c>
      <c r="S206" s="1021">
        <v>10009.200000000001</v>
      </c>
      <c r="T206" s="1021">
        <v>0</v>
      </c>
      <c r="U206" s="1022">
        <v>0</v>
      </c>
      <c r="V206" s="1022">
        <v>0</v>
      </c>
    </row>
    <row r="207" spans="1:22" x14ac:dyDescent="0.25">
      <c r="A207" s="1088">
        <v>4089100600</v>
      </c>
      <c r="B207" s="903">
        <v>2</v>
      </c>
      <c r="C207" s="903">
        <v>4</v>
      </c>
      <c r="D207" s="903">
        <v>3</v>
      </c>
      <c r="E207" s="903" t="s">
        <v>1269</v>
      </c>
      <c r="F207" s="1127" t="s">
        <v>2225</v>
      </c>
      <c r="G207" s="903" t="s">
        <v>802</v>
      </c>
      <c r="H207" s="903">
        <v>0</v>
      </c>
      <c r="I207" s="1131" t="s">
        <v>1277</v>
      </c>
      <c r="J207" s="903">
        <v>1</v>
      </c>
      <c r="K207" s="903">
        <v>21</v>
      </c>
      <c r="L207" s="903">
        <v>1</v>
      </c>
      <c r="M207" s="903">
        <v>4</v>
      </c>
      <c r="N207" s="903" t="s">
        <v>1271</v>
      </c>
      <c r="O207" s="903">
        <v>13</v>
      </c>
      <c r="P207" s="1021">
        <v>736256.88</v>
      </c>
      <c r="Q207" s="1021">
        <v>0</v>
      </c>
      <c r="R207" s="1021">
        <v>736256.88</v>
      </c>
      <c r="S207" s="1021">
        <v>736256.88</v>
      </c>
      <c r="T207" s="1021">
        <v>511357.8</v>
      </c>
      <c r="U207" s="1022">
        <v>455086.82</v>
      </c>
      <c r="V207" s="1022">
        <v>455086.82</v>
      </c>
    </row>
    <row r="208" spans="1:22" x14ac:dyDescent="0.25">
      <c r="A208" s="1088">
        <v>4089100600</v>
      </c>
      <c r="B208" s="903">
        <v>2</v>
      </c>
      <c r="C208" s="903">
        <v>4</v>
      </c>
      <c r="D208" s="903">
        <v>3</v>
      </c>
      <c r="E208" s="903" t="s">
        <v>1269</v>
      </c>
      <c r="F208" s="1127" t="s">
        <v>2225</v>
      </c>
      <c r="G208" s="903" t="s">
        <v>802</v>
      </c>
      <c r="H208" s="903">
        <v>0</v>
      </c>
      <c r="I208" s="1131" t="s">
        <v>1278</v>
      </c>
      <c r="J208" s="903">
        <v>1</v>
      </c>
      <c r="K208" s="903">
        <v>21</v>
      </c>
      <c r="L208" s="903">
        <v>1</v>
      </c>
      <c r="M208" s="903">
        <v>4</v>
      </c>
      <c r="N208" s="903" t="s">
        <v>1271</v>
      </c>
      <c r="O208" s="903">
        <v>13</v>
      </c>
      <c r="P208" s="1021">
        <v>345197.04</v>
      </c>
      <c r="Q208" s="1021">
        <v>0</v>
      </c>
      <c r="R208" s="1021">
        <v>345197.04</v>
      </c>
      <c r="S208" s="1021">
        <v>345197.04</v>
      </c>
      <c r="T208" s="1021">
        <v>234835.01</v>
      </c>
      <c r="U208" s="1022">
        <v>207395.07</v>
      </c>
      <c r="V208" s="1022">
        <v>207395.07</v>
      </c>
    </row>
    <row r="209" spans="1:22" x14ac:dyDescent="0.25">
      <c r="A209" s="1088">
        <v>4089100600</v>
      </c>
      <c r="B209" s="903">
        <v>2</v>
      </c>
      <c r="C209" s="903">
        <v>4</v>
      </c>
      <c r="D209" s="903">
        <v>3</v>
      </c>
      <c r="E209" s="903" t="s">
        <v>1269</v>
      </c>
      <c r="F209" s="1127" t="s">
        <v>2225</v>
      </c>
      <c r="G209" s="903" t="s">
        <v>802</v>
      </c>
      <c r="H209" s="903">
        <v>0</v>
      </c>
      <c r="I209" s="1131" t="s">
        <v>1279</v>
      </c>
      <c r="J209" s="903">
        <v>1</v>
      </c>
      <c r="K209" s="903">
        <v>21</v>
      </c>
      <c r="L209" s="903">
        <v>1</v>
      </c>
      <c r="M209" s="903">
        <v>4</v>
      </c>
      <c r="N209" s="903" t="s">
        <v>1271</v>
      </c>
      <c r="O209" s="903">
        <v>13</v>
      </c>
      <c r="P209" s="1021">
        <v>432058.8</v>
      </c>
      <c r="Q209" s="1021">
        <v>0</v>
      </c>
      <c r="R209" s="1021">
        <v>432058.8</v>
      </c>
      <c r="S209" s="1021">
        <v>432058.8</v>
      </c>
      <c r="T209" s="1021">
        <v>294616.90999999997</v>
      </c>
      <c r="U209" s="1022">
        <v>260179.83</v>
      </c>
      <c r="V209" s="1022">
        <v>260179.83</v>
      </c>
    </row>
    <row r="210" spans="1:22" x14ac:dyDescent="0.25">
      <c r="A210" s="1088">
        <v>4089100600</v>
      </c>
      <c r="B210" s="903">
        <v>2</v>
      </c>
      <c r="C210" s="903">
        <v>4</v>
      </c>
      <c r="D210" s="903">
        <v>3</v>
      </c>
      <c r="E210" s="903" t="s">
        <v>1269</v>
      </c>
      <c r="F210" s="1127" t="s">
        <v>2225</v>
      </c>
      <c r="G210" s="903" t="s">
        <v>802</v>
      </c>
      <c r="H210" s="903">
        <v>0</v>
      </c>
      <c r="I210" s="1131" t="s">
        <v>1280</v>
      </c>
      <c r="J210" s="903">
        <v>1</v>
      </c>
      <c r="K210" s="903">
        <v>21</v>
      </c>
      <c r="L210" s="903">
        <v>1</v>
      </c>
      <c r="M210" s="903">
        <v>4</v>
      </c>
      <c r="N210" s="903" t="s">
        <v>1271</v>
      </c>
      <c r="O210" s="903">
        <v>13</v>
      </c>
      <c r="P210" s="1021">
        <v>515770.08</v>
      </c>
      <c r="Q210" s="1021">
        <v>0</v>
      </c>
      <c r="R210" s="1021">
        <v>515770.08</v>
      </c>
      <c r="S210" s="1021">
        <v>515770.08</v>
      </c>
      <c r="T210" s="1021">
        <v>344134.45</v>
      </c>
      <c r="U210" s="1022">
        <v>0</v>
      </c>
      <c r="V210" s="1022">
        <v>0</v>
      </c>
    </row>
    <row r="211" spans="1:22" x14ac:dyDescent="0.25">
      <c r="A211" s="1088">
        <v>4089100600</v>
      </c>
      <c r="B211" s="903">
        <v>2</v>
      </c>
      <c r="C211" s="903">
        <v>4</v>
      </c>
      <c r="D211" s="903">
        <v>3</v>
      </c>
      <c r="E211" s="903" t="s">
        <v>1269</v>
      </c>
      <c r="F211" s="1127" t="s">
        <v>2225</v>
      </c>
      <c r="G211" s="903" t="s">
        <v>802</v>
      </c>
      <c r="H211" s="903">
        <v>0</v>
      </c>
      <c r="I211" s="1131" t="s">
        <v>2134</v>
      </c>
      <c r="J211" s="903">
        <v>1</v>
      </c>
      <c r="K211" s="903">
        <v>21</v>
      </c>
      <c r="L211" s="903">
        <v>1</v>
      </c>
      <c r="M211" s="903">
        <v>4</v>
      </c>
      <c r="N211" s="903" t="s">
        <v>1271</v>
      </c>
      <c r="O211" s="903">
        <v>13</v>
      </c>
      <c r="P211" s="1021">
        <v>0</v>
      </c>
      <c r="Q211" s="1021">
        <v>148770.89000000001</v>
      </c>
      <c r="R211" s="1021">
        <v>148770.89000000001</v>
      </c>
      <c r="S211" s="1021">
        <v>148770.89000000001</v>
      </c>
      <c r="T211" s="1021">
        <v>148770.89000000001</v>
      </c>
      <c r="U211" s="1022">
        <v>147571.13</v>
      </c>
      <c r="V211" s="1022">
        <v>147571.13</v>
      </c>
    </row>
    <row r="212" spans="1:22" x14ac:dyDescent="0.25">
      <c r="A212" s="1088">
        <v>4089100600</v>
      </c>
      <c r="B212" s="903">
        <v>2</v>
      </c>
      <c r="C212" s="903">
        <v>4</v>
      </c>
      <c r="D212" s="903">
        <v>3</v>
      </c>
      <c r="E212" s="903" t="s">
        <v>1269</v>
      </c>
      <c r="F212" s="1127" t="s">
        <v>2225</v>
      </c>
      <c r="G212" s="903" t="s">
        <v>802</v>
      </c>
      <c r="H212" s="903">
        <v>0</v>
      </c>
      <c r="I212" s="1131" t="s">
        <v>1286</v>
      </c>
      <c r="J212" s="903">
        <v>1</v>
      </c>
      <c r="K212" s="903">
        <v>21</v>
      </c>
      <c r="L212" s="903">
        <v>1</v>
      </c>
      <c r="M212" s="903">
        <v>4</v>
      </c>
      <c r="N212" s="903" t="s">
        <v>1271</v>
      </c>
      <c r="O212" s="903">
        <v>13</v>
      </c>
      <c r="P212" s="1021">
        <v>103910.04</v>
      </c>
      <c r="Q212" s="1021">
        <v>-6810.04</v>
      </c>
      <c r="R212" s="1021">
        <v>97100</v>
      </c>
      <c r="S212" s="1021">
        <v>97100</v>
      </c>
      <c r="T212" s="1021">
        <v>45000</v>
      </c>
      <c r="U212" s="1022">
        <v>45000</v>
      </c>
      <c r="V212" s="1022">
        <v>45000</v>
      </c>
    </row>
    <row r="213" spans="1:22" x14ac:dyDescent="0.25">
      <c r="A213" s="1088">
        <v>4089100600</v>
      </c>
      <c r="B213" s="903">
        <v>2</v>
      </c>
      <c r="C213" s="903">
        <v>4</v>
      </c>
      <c r="D213" s="903">
        <v>3</v>
      </c>
      <c r="E213" s="903" t="s">
        <v>1269</v>
      </c>
      <c r="F213" s="1127" t="s">
        <v>2225</v>
      </c>
      <c r="G213" s="903" t="s">
        <v>802</v>
      </c>
      <c r="H213" s="903">
        <v>0</v>
      </c>
      <c r="I213" s="1131" t="s">
        <v>1287</v>
      </c>
      <c r="J213" s="903">
        <v>1</v>
      </c>
      <c r="K213" s="903">
        <v>21</v>
      </c>
      <c r="L213" s="903">
        <v>1</v>
      </c>
      <c r="M213" s="903">
        <v>4</v>
      </c>
      <c r="N213" s="903" t="s">
        <v>1271</v>
      </c>
      <c r="O213" s="903">
        <v>13</v>
      </c>
      <c r="P213" s="1021">
        <v>110807.88</v>
      </c>
      <c r="Q213" s="1021">
        <v>9267.7000000000007</v>
      </c>
      <c r="R213" s="1021">
        <v>120075.58</v>
      </c>
      <c r="S213" s="1021">
        <v>120075.58</v>
      </c>
      <c r="T213" s="1021">
        <v>120075.58</v>
      </c>
      <c r="U213" s="1022">
        <v>120075.58</v>
      </c>
      <c r="V213" s="1022">
        <v>120075.58</v>
      </c>
    </row>
    <row r="214" spans="1:22" x14ac:dyDescent="0.25">
      <c r="A214" s="1088">
        <v>4089100600</v>
      </c>
      <c r="B214" s="903">
        <v>2</v>
      </c>
      <c r="C214" s="903">
        <v>4</v>
      </c>
      <c r="D214" s="903">
        <v>3</v>
      </c>
      <c r="E214" s="903" t="s">
        <v>1269</v>
      </c>
      <c r="F214" s="1127" t="s">
        <v>2225</v>
      </c>
      <c r="G214" s="903" t="s">
        <v>802</v>
      </c>
      <c r="H214" s="903">
        <v>0</v>
      </c>
      <c r="I214" s="1131" t="s">
        <v>1281</v>
      </c>
      <c r="J214" s="903">
        <v>1</v>
      </c>
      <c r="K214" s="903">
        <v>21</v>
      </c>
      <c r="L214" s="903">
        <v>1</v>
      </c>
      <c r="M214" s="903">
        <v>4</v>
      </c>
      <c r="N214" s="903" t="s">
        <v>1271</v>
      </c>
      <c r="O214" s="903">
        <v>13</v>
      </c>
      <c r="P214" s="1021">
        <v>133311.84</v>
      </c>
      <c r="Q214" s="1021">
        <v>0</v>
      </c>
      <c r="R214" s="1021">
        <v>133311.84</v>
      </c>
      <c r="S214" s="1021">
        <v>133311.84</v>
      </c>
      <c r="T214" s="1021">
        <v>73164.740000000005</v>
      </c>
      <c r="U214" s="1022">
        <v>40934.74</v>
      </c>
      <c r="V214" s="1022">
        <v>40934.74</v>
      </c>
    </row>
    <row r="215" spans="1:22" x14ac:dyDescent="0.25">
      <c r="A215" s="1088">
        <v>4089100600</v>
      </c>
      <c r="B215" s="903">
        <v>2</v>
      </c>
      <c r="C215" s="903">
        <v>4</v>
      </c>
      <c r="D215" s="903">
        <v>3</v>
      </c>
      <c r="E215" s="903" t="s">
        <v>1269</v>
      </c>
      <c r="F215" s="1127" t="s">
        <v>2225</v>
      </c>
      <c r="G215" s="903" t="s">
        <v>802</v>
      </c>
      <c r="H215" s="903">
        <v>0</v>
      </c>
      <c r="I215" s="1131" t="s">
        <v>1282</v>
      </c>
      <c r="J215" s="903">
        <v>1</v>
      </c>
      <c r="K215" s="903">
        <v>21</v>
      </c>
      <c r="L215" s="903">
        <v>1</v>
      </c>
      <c r="M215" s="903">
        <v>4</v>
      </c>
      <c r="N215" s="903" t="s">
        <v>1271</v>
      </c>
      <c r="O215" s="903">
        <v>13</v>
      </c>
      <c r="P215" s="1021">
        <v>524485.68000000005</v>
      </c>
      <c r="Q215" s="1021">
        <v>-55935.53</v>
      </c>
      <c r="R215" s="1021">
        <v>468550.15</v>
      </c>
      <c r="S215" s="1021">
        <v>468550.15</v>
      </c>
      <c r="T215" s="1021">
        <v>398387.4</v>
      </c>
      <c r="U215" s="1022">
        <v>398387.4</v>
      </c>
      <c r="V215" s="1022">
        <v>398387.4</v>
      </c>
    </row>
    <row r="216" spans="1:22" x14ac:dyDescent="0.25">
      <c r="A216" s="1088">
        <v>4089100600</v>
      </c>
      <c r="B216" s="903">
        <v>2</v>
      </c>
      <c r="C216" s="903">
        <v>4</v>
      </c>
      <c r="D216" s="903">
        <v>3</v>
      </c>
      <c r="E216" s="903" t="s">
        <v>1269</v>
      </c>
      <c r="F216" s="1127" t="s">
        <v>2225</v>
      </c>
      <c r="G216" s="903" t="s">
        <v>802</v>
      </c>
      <c r="H216" s="903">
        <v>0</v>
      </c>
      <c r="I216" s="1131" t="s">
        <v>1121</v>
      </c>
      <c r="J216" s="903">
        <v>1</v>
      </c>
      <c r="K216" s="903">
        <v>21</v>
      </c>
      <c r="L216" s="903">
        <v>1</v>
      </c>
      <c r="M216" s="903">
        <v>4</v>
      </c>
      <c r="N216" s="903" t="s">
        <v>1271</v>
      </c>
      <c r="O216" s="903">
        <v>13</v>
      </c>
      <c r="P216" s="1021">
        <v>45292.68</v>
      </c>
      <c r="Q216" s="1021">
        <v>-2500</v>
      </c>
      <c r="R216" s="1021">
        <v>42792.68</v>
      </c>
      <c r="S216" s="1021">
        <v>40698.050000000003</v>
      </c>
      <c r="T216" s="1021">
        <v>40698.050000000003</v>
      </c>
      <c r="U216" s="1022">
        <v>40698.050000000003</v>
      </c>
      <c r="V216" s="1022">
        <v>40698.050000000003</v>
      </c>
    </row>
    <row r="217" spans="1:22" x14ac:dyDescent="0.25">
      <c r="A217" s="1088">
        <v>4089100600</v>
      </c>
      <c r="B217" s="903">
        <v>2</v>
      </c>
      <c r="C217" s="903">
        <v>4</v>
      </c>
      <c r="D217" s="903">
        <v>3</v>
      </c>
      <c r="E217" s="903" t="s">
        <v>1269</v>
      </c>
      <c r="F217" s="1127" t="s">
        <v>2225</v>
      </c>
      <c r="G217" s="903" t="s">
        <v>802</v>
      </c>
      <c r="H217" s="903">
        <v>0</v>
      </c>
      <c r="I217" s="1131" t="s">
        <v>1127</v>
      </c>
      <c r="J217" s="903">
        <v>1</v>
      </c>
      <c r="K217" s="903">
        <v>21</v>
      </c>
      <c r="L217" s="903">
        <v>1</v>
      </c>
      <c r="M217" s="903">
        <v>4</v>
      </c>
      <c r="N217" s="903" t="s">
        <v>1271</v>
      </c>
      <c r="O217" s="903">
        <v>13</v>
      </c>
      <c r="P217" s="1021">
        <v>1501.32</v>
      </c>
      <c r="Q217" s="1021">
        <v>3454.83</v>
      </c>
      <c r="R217" s="1021">
        <v>4956.1499999999996</v>
      </c>
      <c r="S217" s="1021">
        <v>4662.46</v>
      </c>
      <c r="T217" s="1021">
        <v>4662.46</v>
      </c>
      <c r="U217" s="1022">
        <v>4662.46</v>
      </c>
      <c r="V217" s="1022">
        <v>4662.46</v>
      </c>
    </row>
    <row r="218" spans="1:22" x14ac:dyDescent="0.25">
      <c r="A218" s="1088">
        <v>4089100600</v>
      </c>
      <c r="B218" s="903">
        <v>2</v>
      </c>
      <c r="C218" s="903">
        <v>4</v>
      </c>
      <c r="D218" s="903">
        <v>3</v>
      </c>
      <c r="E218" s="903" t="s">
        <v>1269</v>
      </c>
      <c r="F218" s="1127" t="s">
        <v>2225</v>
      </c>
      <c r="G218" s="903" t="s">
        <v>802</v>
      </c>
      <c r="H218" s="903">
        <v>0</v>
      </c>
      <c r="I218" s="1131" t="s">
        <v>1131</v>
      </c>
      <c r="J218" s="903">
        <v>1</v>
      </c>
      <c r="K218" s="903">
        <v>21</v>
      </c>
      <c r="L218" s="903">
        <v>1</v>
      </c>
      <c r="M218" s="903">
        <v>4</v>
      </c>
      <c r="N218" s="903" t="s">
        <v>1271</v>
      </c>
      <c r="O218" s="903">
        <v>13</v>
      </c>
      <c r="P218" s="1021">
        <v>15029.52</v>
      </c>
      <c r="Q218" s="1021">
        <v>-477.1</v>
      </c>
      <c r="R218" s="1021">
        <v>14552.42</v>
      </c>
      <c r="S218" s="1021">
        <v>10438.41</v>
      </c>
      <c r="T218" s="1021">
        <v>10438.41</v>
      </c>
      <c r="U218" s="1022">
        <v>10438.41</v>
      </c>
      <c r="V218" s="1022">
        <v>10438.41</v>
      </c>
    </row>
    <row r="219" spans="1:22" x14ac:dyDescent="0.25">
      <c r="A219" s="1088">
        <v>4089100600</v>
      </c>
      <c r="B219" s="903">
        <v>2</v>
      </c>
      <c r="C219" s="903">
        <v>4</v>
      </c>
      <c r="D219" s="903">
        <v>3</v>
      </c>
      <c r="E219" s="903" t="s">
        <v>1269</v>
      </c>
      <c r="F219" s="1127" t="s">
        <v>2225</v>
      </c>
      <c r="G219" s="903" t="s">
        <v>802</v>
      </c>
      <c r="H219" s="903">
        <v>0</v>
      </c>
      <c r="I219" s="1131" t="s">
        <v>1145</v>
      </c>
      <c r="J219" s="903">
        <v>1</v>
      </c>
      <c r="K219" s="903">
        <v>21</v>
      </c>
      <c r="L219" s="903">
        <v>1</v>
      </c>
      <c r="M219" s="903">
        <v>4</v>
      </c>
      <c r="N219" s="903" t="s">
        <v>1271</v>
      </c>
      <c r="O219" s="903">
        <v>13</v>
      </c>
      <c r="P219" s="1021">
        <v>70969.440000000002</v>
      </c>
      <c r="Q219" s="1021">
        <v>0</v>
      </c>
      <c r="R219" s="1021">
        <v>70969.440000000002</v>
      </c>
      <c r="S219" s="1021">
        <v>54250</v>
      </c>
      <c r="T219" s="1021">
        <v>54250</v>
      </c>
      <c r="U219" s="1022">
        <v>54250</v>
      </c>
      <c r="V219" s="1022">
        <v>54250</v>
      </c>
    </row>
    <row r="220" spans="1:22" x14ac:dyDescent="0.25">
      <c r="A220" s="1088">
        <v>4089100600</v>
      </c>
      <c r="B220" s="903">
        <v>2</v>
      </c>
      <c r="C220" s="903">
        <v>4</v>
      </c>
      <c r="D220" s="903">
        <v>3</v>
      </c>
      <c r="E220" s="903" t="s">
        <v>1269</v>
      </c>
      <c r="F220" s="1127" t="s">
        <v>2225</v>
      </c>
      <c r="G220" s="903" t="s">
        <v>802</v>
      </c>
      <c r="H220" s="903">
        <v>0</v>
      </c>
      <c r="I220" s="1131" t="s">
        <v>1149</v>
      </c>
      <c r="J220" s="903">
        <v>1</v>
      </c>
      <c r="K220" s="903">
        <v>21</v>
      </c>
      <c r="L220" s="903">
        <v>1</v>
      </c>
      <c r="M220" s="903">
        <v>4</v>
      </c>
      <c r="N220" s="903" t="s">
        <v>1271</v>
      </c>
      <c r="O220" s="903">
        <v>13</v>
      </c>
      <c r="P220" s="1021">
        <v>212.76</v>
      </c>
      <c r="Q220" s="1021">
        <v>-212.76</v>
      </c>
      <c r="R220" s="1021">
        <v>0</v>
      </c>
      <c r="S220" s="1021">
        <v>0</v>
      </c>
      <c r="T220" s="1021">
        <v>0</v>
      </c>
      <c r="U220" s="1022">
        <v>0</v>
      </c>
      <c r="V220" s="1022">
        <v>0</v>
      </c>
    </row>
    <row r="221" spans="1:22" x14ac:dyDescent="0.25">
      <c r="A221" s="1088">
        <v>4089100600</v>
      </c>
      <c r="B221" s="903">
        <v>2</v>
      </c>
      <c r="C221" s="903">
        <v>4</v>
      </c>
      <c r="D221" s="903">
        <v>3</v>
      </c>
      <c r="E221" s="903" t="s">
        <v>1269</v>
      </c>
      <c r="F221" s="1127" t="s">
        <v>2225</v>
      </c>
      <c r="G221" s="903" t="s">
        <v>802</v>
      </c>
      <c r="H221" s="903">
        <v>0</v>
      </c>
      <c r="I221" s="1131" t="s">
        <v>1153</v>
      </c>
      <c r="J221" s="903">
        <v>1</v>
      </c>
      <c r="K221" s="903">
        <v>21</v>
      </c>
      <c r="L221" s="903">
        <v>1</v>
      </c>
      <c r="M221" s="903">
        <v>4</v>
      </c>
      <c r="N221" s="903" t="s">
        <v>1271</v>
      </c>
      <c r="O221" s="903">
        <v>13</v>
      </c>
      <c r="P221" s="1021">
        <v>6995.04</v>
      </c>
      <c r="Q221" s="1021">
        <v>0</v>
      </c>
      <c r="R221" s="1021">
        <v>6995.04</v>
      </c>
      <c r="S221" s="1021">
        <v>2900</v>
      </c>
      <c r="T221" s="1021">
        <v>2900</v>
      </c>
      <c r="U221" s="1022">
        <v>2900</v>
      </c>
      <c r="V221" s="1022">
        <v>2900</v>
      </c>
    </row>
    <row r="222" spans="1:22" x14ac:dyDescent="0.25">
      <c r="A222" s="1088">
        <v>4089100600</v>
      </c>
      <c r="B222" s="903">
        <v>2</v>
      </c>
      <c r="C222" s="903">
        <v>4</v>
      </c>
      <c r="D222" s="903">
        <v>3</v>
      </c>
      <c r="E222" s="903" t="s">
        <v>1269</v>
      </c>
      <c r="F222" s="1127" t="s">
        <v>2225</v>
      </c>
      <c r="G222" s="903" t="s">
        <v>802</v>
      </c>
      <c r="H222" s="903">
        <v>0</v>
      </c>
      <c r="I222" s="1131" t="s">
        <v>1155</v>
      </c>
      <c r="J222" s="903">
        <v>1</v>
      </c>
      <c r="K222" s="903">
        <v>21</v>
      </c>
      <c r="L222" s="903">
        <v>1</v>
      </c>
      <c r="M222" s="903">
        <v>4</v>
      </c>
      <c r="N222" s="903" t="s">
        <v>1271</v>
      </c>
      <c r="O222" s="903">
        <v>13</v>
      </c>
      <c r="P222" s="1021">
        <v>5604.36</v>
      </c>
      <c r="Q222" s="1021">
        <v>-1628.84</v>
      </c>
      <c r="R222" s="1021">
        <v>3975.52</v>
      </c>
      <c r="S222" s="1021">
        <v>861.66</v>
      </c>
      <c r="T222" s="1021">
        <v>861.66</v>
      </c>
      <c r="U222" s="1022">
        <v>861.66</v>
      </c>
      <c r="V222" s="1022">
        <v>861.66</v>
      </c>
    </row>
    <row r="223" spans="1:22" x14ac:dyDescent="0.25">
      <c r="A223" s="1088">
        <v>4089100600</v>
      </c>
      <c r="B223" s="903">
        <v>2</v>
      </c>
      <c r="C223" s="903">
        <v>4</v>
      </c>
      <c r="D223" s="903">
        <v>3</v>
      </c>
      <c r="E223" s="903" t="s">
        <v>1269</v>
      </c>
      <c r="F223" s="1127" t="s">
        <v>2225</v>
      </c>
      <c r="G223" s="1131" t="s">
        <v>802</v>
      </c>
      <c r="H223" s="903">
        <v>0</v>
      </c>
      <c r="I223" s="1131" t="s">
        <v>1161</v>
      </c>
      <c r="J223" s="903">
        <v>1</v>
      </c>
      <c r="K223" s="903">
        <v>21</v>
      </c>
      <c r="L223" s="903">
        <v>1</v>
      </c>
      <c r="M223" s="903">
        <v>4</v>
      </c>
      <c r="N223" s="903" t="s">
        <v>1271</v>
      </c>
      <c r="O223" s="903">
        <v>13</v>
      </c>
      <c r="P223" s="1021">
        <v>114182.88</v>
      </c>
      <c r="Q223" s="1021">
        <v>0</v>
      </c>
      <c r="R223" s="1021">
        <v>114182.88</v>
      </c>
      <c r="S223" s="1021">
        <v>77580.639999999999</v>
      </c>
      <c r="T223" s="1021">
        <v>77580.639999999999</v>
      </c>
      <c r="U223" s="1022">
        <v>77580.639999999999</v>
      </c>
      <c r="V223" s="1022">
        <v>77580.639999999999</v>
      </c>
    </row>
    <row r="224" spans="1:22" x14ac:dyDescent="0.25">
      <c r="A224" s="1088">
        <v>4089100600</v>
      </c>
      <c r="B224" s="903">
        <v>2</v>
      </c>
      <c r="C224" s="903">
        <v>4</v>
      </c>
      <c r="D224" s="903">
        <v>3</v>
      </c>
      <c r="E224" s="903" t="s">
        <v>1269</v>
      </c>
      <c r="F224" s="1127" t="s">
        <v>2225</v>
      </c>
      <c r="G224" s="1131" t="s">
        <v>802</v>
      </c>
      <c r="H224" s="903">
        <v>0</v>
      </c>
      <c r="I224" s="1131" t="s">
        <v>1163</v>
      </c>
      <c r="J224" s="903">
        <v>1</v>
      </c>
      <c r="K224" s="903">
        <v>21</v>
      </c>
      <c r="L224" s="903">
        <v>1</v>
      </c>
      <c r="M224" s="903">
        <v>4</v>
      </c>
      <c r="N224" s="903" t="s">
        <v>1271</v>
      </c>
      <c r="O224" s="903">
        <v>13</v>
      </c>
      <c r="P224" s="1021">
        <v>12268.92</v>
      </c>
      <c r="Q224" s="1021">
        <v>0</v>
      </c>
      <c r="R224" s="1021">
        <v>12268.92</v>
      </c>
      <c r="S224" s="1021">
        <v>6602.5</v>
      </c>
      <c r="T224" s="1021">
        <v>6602.5</v>
      </c>
      <c r="U224" s="1022">
        <v>6602.5</v>
      </c>
      <c r="V224" s="1022">
        <v>6602.5</v>
      </c>
    </row>
    <row r="225" spans="1:22" x14ac:dyDescent="0.25">
      <c r="A225" s="1088">
        <v>4089100600</v>
      </c>
      <c r="B225" s="903">
        <v>2</v>
      </c>
      <c r="C225" s="903">
        <v>4</v>
      </c>
      <c r="D225" s="903">
        <v>3</v>
      </c>
      <c r="E225" s="903" t="s">
        <v>1269</v>
      </c>
      <c r="F225" s="1127" t="s">
        <v>2225</v>
      </c>
      <c r="G225" s="1131" t="s">
        <v>802</v>
      </c>
      <c r="H225" s="903">
        <v>0</v>
      </c>
      <c r="I225" s="1131" t="s">
        <v>1165</v>
      </c>
      <c r="J225" s="903">
        <v>1</v>
      </c>
      <c r="K225" s="903">
        <v>21</v>
      </c>
      <c r="L225" s="903">
        <v>1</v>
      </c>
      <c r="M225" s="903">
        <v>4</v>
      </c>
      <c r="N225" s="903" t="s">
        <v>1271</v>
      </c>
      <c r="O225" s="903">
        <v>13</v>
      </c>
      <c r="P225" s="1021">
        <v>38968.559999999998</v>
      </c>
      <c r="Q225" s="1021">
        <v>0</v>
      </c>
      <c r="R225" s="1021">
        <v>38968.559999999998</v>
      </c>
      <c r="S225" s="1021">
        <v>24944.82</v>
      </c>
      <c r="T225" s="1021">
        <v>24944.82</v>
      </c>
      <c r="U225" s="1022">
        <v>24944.82</v>
      </c>
      <c r="V225" s="1022">
        <v>24944.82</v>
      </c>
    </row>
    <row r="226" spans="1:22" x14ac:dyDescent="0.25">
      <c r="A226" s="1088">
        <v>4089100600</v>
      </c>
      <c r="B226" s="903">
        <v>2</v>
      </c>
      <c r="C226" s="903">
        <v>4</v>
      </c>
      <c r="D226" s="903">
        <v>3</v>
      </c>
      <c r="E226" s="903" t="s">
        <v>1269</v>
      </c>
      <c r="F226" s="1127" t="s">
        <v>2225</v>
      </c>
      <c r="G226" s="1131" t="s">
        <v>802</v>
      </c>
      <c r="H226" s="903">
        <v>0</v>
      </c>
      <c r="I226" s="1131" t="s">
        <v>1169</v>
      </c>
      <c r="J226" s="903">
        <v>1</v>
      </c>
      <c r="K226" s="903">
        <v>21</v>
      </c>
      <c r="L226" s="903">
        <v>1</v>
      </c>
      <c r="M226" s="903">
        <v>4</v>
      </c>
      <c r="N226" s="903" t="s">
        <v>1271</v>
      </c>
      <c r="O226" s="903">
        <v>13</v>
      </c>
      <c r="P226" s="1021">
        <v>45644.28</v>
      </c>
      <c r="Q226" s="1021">
        <v>-56.36</v>
      </c>
      <c r="R226" s="1021">
        <v>45587.92</v>
      </c>
      <c r="S226" s="1021">
        <v>32320.240000000002</v>
      </c>
      <c r="T226" s="1021">
        <v>32320.240000000002</v>
      </c>
      <c r="U226" s="1022">
        <v>32320.240000000002</v>
      </c>
      <c r="V226" s="1022">
        <v>32320.240000000002</v>
      </c>
    </row>
    <row r="227" spans="1:22" x14ac:dyDescent="0.25">
      <c r="A227" s="1088">
        <v>4089100600</v>
      </c>
      <c r="B227" s="903">
        <v>2</v>
      </c>
      <c r="C227" s="903">
        <v>4</v>
      </c>
      <c r="D227" s="903">
        <v>3</v>
      </c>
      <c r="E227" s="903" t="s">
        <v>1269</v>
      </c>
      <c r="F227" s="1127" t="s">
        <v>2225</v>
      </c>
      <c r="G227" s="1131" t="s">
        <v>802</v>
      </c>
      <c r="H227" s="903">
        <v>0</v>
      </c>
      <c r="I227" s="1131" t="s">
        <v>1171</v>
      </c>
      <c r="J227" s="903">
        <v>1</v>
      </c>
      <c r="K227" s="903">
        <v>21</v>
      </c>
      <c r="L227" s="903">
        <v>1</v>
      </c>
      <c r="M227" s="903">
        <v>4</v>
      </c>
      <c r="N227" s="903" t="s">
        <v>1271</v>
      </c>
      <c r="O227" s="903">
        <v>13</v>
      </c>
      <c r="P227" s="1021">
        <v>1191.96</v>
      </c>
      <c r="Q227" s="1021">
        <v>762.69</v>
      </c>
      <c r="R227" s="1021">
        <v>1954.65</v>
      </c>
      <c r="S227" s="1021">
        <v>1624.74</v>
      </c>
      <c r="T227" s="1021">
        <v>1624.74</v>
      </c>
      <c r="U227" s="1022">
        <v>1624.74</v>
      </c>
      <c r="V227" s="1022">
        <v>1624.74</v>
      </c>
    </row>
    <row r="228" spans="1:22" x14ac:dyDescent="0.25">
      <c r="A228" s="1088">
        <v>4089100600</v>
      </c>
      <c r="B228" s="903">
        <v>2</v>
      </c>
      <c r="C228" s="903">
        <v>4</v>
      </c>
      <c r="D228" s="903">
        <v>3</v>
      </c>
      <c r="E228" s="903" t="s">
        <v>1269</v>
      </c>
      <c r="F228" s="1127" t="s">
        <v>2225</v>
      </c>
      <c r="G228" s="1131" t="s">
        <v>802</v>
      </c>
      <c r="H228" s="903">
        <v>0</v>
      </c>
      <c r="I228" s="1131" t="s">
        <v>1181</v>
      </c>
      <c r="J228" s="903">
        <v>1</v>
      </c>
      <c r="K228" s="903">
        <v>21</v>
      </c>
      <c r="L228" s="903">
        <v>1</v>
      </c>
      <c r="M228" s="903">
        <v>4</v>
      </c>
      <c r="N228" s="903" t="s">
        <v>1271</v>
      </c>
      <c r="O228" s="903">
        <v>13</v>
      </c>
      <c r="P228" s="1021">
        <v>16788.48</v>
      </c>
      <c r="Q228" s="1021">
        <v>0</v>
      </c>
      <c r="R228" s="1021">
        <v>16788.48</v>
      </c>
      <c r="S228" s="1021">
        <v>11283.07</v>
      </c>
      <c r="T228" s="1021">
        <v>11283.07</v>
      </c>
      <c r="U228" s="1022">
        <v>9931.4500000000007</v>
      </c>
      <c r="V228" s="1022">
        <v>9931.4500000000007</v>
      </c>
    </row>
    <row r="229" spans="1:22" x14ac:dyDescent="0.25">
      <c r="A229" s="1088">
        <v>4089100600</v>
      </c>
      <c r="B229" s="903">
        <v>2</v>
      </c>
      <c r="C229" s="903">
        <v>4</v>
      </c>
      <c r="D229" s="903">
        <v>3</v>
      </c>
      <c r="E229" s="903" t="s">
        <v>1269</v>
      </c>
      <c r="F229" s="1127" t="s">
        <v>2225</v>
      </c>
      <c r="G229" s="1131" t="s">
        <v>802</v>
      </c>
      <c r="H229" s="903">
        <v>0</v>
      </c>
      <c r="I229" s="1131" t="s">
        <v>1189</v>
      </c>
      <c r="J229" s="903">
        <v>1</v>
      </c>
      <c r="K229" s="903">
        <v>21</v>
      </c>
      <c r="L229" s="903">
        <v>1</v>
      </c>
      <c r="M229" s="903">
        <v>4</v>
      </c>
      <c r="N229" s="903" t="s">
        <v>1271</v>
      </c>
      <c r="O229" s="903">
        <v>13</v>
      </c>
      <c r="P229" s="1021">
        <v>3023851.44</v>
      </c>
      <c r="Q229" s="1021">
        <v>-125163.84</v>
      </c>
      <c r="R229" s="1021">
        <v>2898687.6</v>
      </c>
      <c r="S229" s="1021">
        <v>689611.98</v>
      </c>
      <c r="T229" s="1021">
        <v>689611.98</v>
      </c>
      <c r="U229" s="1022">
        <v>688151.98</v>
      </c>
      <c r="V229" s="1022">
        <v>688151.98</v>
      </c>
    </row>
    <row r="230" spans="1:22" x14ac:dyDescent="0.25">
      <c r="A230" s="1088">
        <v>4089100600</v>
      </c>
      <c r="B230" s="903">
        <v>2</v>
      </c>
      <c r="C230" s="903">
        <v>4</v>
      </c>
      <c r="D230" s="903">
        <v>3</v>
      </c>
      <c r="E230" s="903" t="s">
        <v>1269</v>
      </c>
      <c r="F230" s="1127" t="s">
        <v>2225</v>
      </c>
      <c r="G230" s="1131" t="s">
        <v>802</v>
      </c>
      <c r="H230" s="903">
        <v>0</v>
      </c>
      <c r="I230" s="1131" t="s">
        <v>1191</v>
      </c>
      <c r="J230" s="903">
        <v>1</v>
      </c>
      <c r="K230" s="903">
        <v>21</v>
      </c>
      <c r="L230" s="903">
        <v>1</v>
      </c>
      <c r="M230" s="903">
        <v>4</v>
      </c>
      <c r="N230" s="903" t="s">
        <v>1271</v>
      </c>
      <c r="O230" s="903">
        <v>13</v>
      </c>
      <c r="P230" s="1021">
        <v>30000</v>
      </c>
      <c r="Q230" s="1021">
        <v>0</v>
      </c>
      <c r="R230" s="1021">
        <v>30000</v>
      </c>
      <c r="S230" s="1021">
        <v>29790.17</v>
      </c>
      <c r="T230" s="1021">
        <v>29790.17</v>
      </c>
      <c r="U230" s="1022">
        <v>29790.17</v>
      </c>
      <c r="V230" s="1022">
        <v>29790.17</v>
      </c>
    </row>
    <row r="231" spans="1:22" x14ac:dyDescent="0.25">
      <c r="A231" s="1088">
        <v>4089100600</v>
      </c>
      <c r="B231" s="903">
        <v>2</v>
      </c>
      <c r="C231" s="903">
        <v>4</v>
      </c>
      <c r="D231" s="903">
        <v>3</v>
      </c>
      <c r="E231" s="903" t="s">
        <v>1269</v>
      </c>
      <c r="F231" s="1127" t="s">
        <v>2225</v>
      </c>
      <c r="G231" s="1131" t="s">
        <v>802</v>
      </c>
      <c r="H231" s="903">
        <v>0</v>
      </c>
      <c r="I231" s="1131" t="s">
        <v>1193</v>
      </c>
      <c r="J231" s="903">
        <v>1</v>
      </c>
      <c r="K231" s="903">
        <v>21</v>
      </c>
      <c r="L231" s="903">
        <v>1</v>
      </c>
      <c r="M231" s="903">
        <v>4</v>
      </c>
      <c r="N231" s="903" t="s">
        <v>1271</v>
      </c>
      <c r="O231" s="903">
        <v>13</v>
      </c>
      <c r="P231" s="1021">
        <v>5109.12</v>
      </c>
      <c r="Q231" s="1021">
        <v>0</v>
      </c>
      <c r="R231" s="1021">
        <v>5109.12</v>
      </c>
      <c r="S231" s="1021">
        <v>0</v>
      </c>
      <c r="T231" s="1021">
        <v>0</v>
      </c>
      <c r="U231" s="1022">
        <v>0</v>
      </c>
      <c r="V231" s="1022">
        <v>0</v>
      </c>
    </row>
    <row r="232" spans="1:22" x14ac:dyDescent="0.25">
      <c r="A232" s="1088">
        <v>4089100600</v>
      </c>
      <c r="B232" s="903">
        <v>2</v>
      </c>
      <c r="C232" s="903">
        <v>4</v>
      </c>
      <c r="D232" s="903">
        <v>3</v>
      </c>
      <c r="E232" s="903" t="s">
        <v>1269</v>
      </c>
      <c r="F232" s="1127" t="s">
        <v>2225</v>
      </c>
      <c r="G232" s="1131" t="s">
        <v>802</v>
      </c>
      <c r="H232" s="903">
        <v>0</v>
      </c>
      <c r="I232" s="1131" t="s">
        <v>1196</v>
      </c>
      <c r="J232" s="903">
        <v>1</v>
      </c>
      <c r="K232" s="903">
        <v>21</v>
      </c>
      <c r="L232" s="903">
        <v>1</v>
      </c>
      <c r="M232" s="903">
        <v>4</v>
      </c>
      <c r="N232" s="903" t="s">
        <v>1271</v>
      </c>
      <c r="O232" s="903">
        <v>13</v>
      </c>
      <c r="P232" s="1021">
        <v>4290.6000000000004</v>
      </c>
      <c r="Q232" s="1021">
        <v>0</v>
      </c>
      <c r="R232" s="1021">
        <v>4290.6000000000004</v>
      </c>
      <c r="S232" s="1021">
        <v>3064.68</v>
      </c>
      <c r="T232" s="1021">
        <v>3064.68</v>
      </c>
      <c r="U232" s="1022">
        <v>3064.68</v>
      </c>
      <c r="V232" s="1022">
        <v>3064.68</v>
      </c>
    </row>
    <row r="233" spans="1:22" x14ac:dyDescent="0.25">
      <c r="A233" s="1088">
        <v>4089100600</v>
      </c>
      <c r="B233" s="903">
        <v>2</v>
      </c>
      <c r="C233" s="903">
        <v>4</v>
      </c>
      <c r="D233" s="903">
        <v>3</v>
      </c>
      <c r="E233" s="903" t="s">
        <v>1269</v>
      </c>
      <c r="F233" s="1127" t="s">
        <v>2225</v>
      </c>
      <c r="G233" s="1131" t="s">
        <v>802</v>
      </c>
      <c r="H233" s="903">
        <v>0</v>
      </c>
      <c r="I233" s="1131" t="s">
        <v>1200</v>
      </c>
      <c r="J233" s="903">
        <v>1</v>
      </c>
      <c r="K233" s="903">
        <v>21</v>
      </c>
      <c r="L233" s="903">
        <v>1</v>
      </c>
      <c r="M233" s="903">
        <v>4</v>
      </c>
      <c r="N233" s="903" t="s">
        <v>1271</v>
      </c>
      <c r="O233" s="903">
        <v>13</v>
      </c>
      <c r="P233" s="1021">
        <v>188406.72</v>
      </c>
      <c r="Q233" s="1021">
        <v>0</v>
      </c>
      <c r="R233" s="1021">
        <v>188406.72</v>
      </c>
      <c r="S233" s="1021">
        <v>130825.86</v>
      </c>
      <c r="T233" s="1021">
        <v>130825.86</v>
      </c>
      <c r="U233" s="1022">
        <v>130825.86</v>
      </c>
      <c r="V233" s="1022">
        <v>130825.86</v>
      </c>
    </row>
    <row r="234" spans="1:22" x14ac:dyDescent="0.25">
      <c r="A234" s="1088">
        <v>4089100600</v>
      </c>
      <c r="B234" s="903">
        <v>2</v>
      </c>
      <c r="C234" s="903">
        <v>4</v>
      </c>
      <c r="D234" s="903">
        <v>3</v>
      </c>
      <c r="E234" s="903" t="s">
        <v>1269</v>
      </c>
      <c r="F234" s="1127" t="s">
        <v>2225</v>
      </c>
      <c r="G234" s="1131" t="s">
        <v>802</v>
      </c>
      <c r="H234" s="903">
        <v>0</v>
      </c>
      <c r="I234" s="1131" t="s">
        <v>1203</v>
      </c>
      <c r="J234" s="903">
        <v>1</v>
      </c>
      <c r="K234" s="903">
        <v>21</v>
      </c>
      <c r="L234" s="903">
        <v>1</v>
      </c>
      <c r="M234" s="903">
        <v>4</v>
      </c>
      <c r="N234" s="903" t="s">
        <v>1271</v>
      </c>
      <c r="O234" s="903">
        <v>13</v>
      </c>
      <c r="P234" s="1021">
        <v>10248.959999999999</v>
      </c>
      <c r="Q234" s="1021">
        <v>0</v>
      </c>
      <c r="R234" s="1021">
        <v>10248.959999999999</v>
      </c>
      <c r="S234" s="1021">
        <v>5928.93</v>
      </c>
      <c r="T234" s="1021">
        <v>5928.93</v>
      </c>
      <c r="U234" s="1022">
        <v>5928.93</v>
      </c>
      <c r="V234" s="1022">
        <v>5928.93</v>
      </c>
    </row>
    <row r="235" spans="1:22" x14ac:dyDescent="0.25">
      <c r="A235" s="1088">
        <v>4089100600</v>
      </c>
      <c r="B235" s="903">
        <v>2</v>
      </c>
      <c r="C235" s="903">
        <v>4</v>
      </c>
      <c r="D235" s="903">
        <v>3</v>
      </c>
      <c r="E235" s="903" t="s">
        <v>1269</v>
      </c>
      <c r="F235" s="1127" t="s">
        <v>2225</v>
      </c>
      <c r="G235" s="1131" t="s">
        <v>802</v>
      </c>
      <c r="H235" s="903">
        <v>0</v>
      </c>
      <c r="I235" s="1131" t="s">
        <v>1283</v>
      </c>
      <c r="J235" s="903">
        <v>1</v>
      </c>
      <c r="K235" s="903">
        <v>21</v>
      </c>
      <c r="L235" s="903">
        <v>1</v>
      </c>
      <c r="M235" s="903">
        <v>4</v>
      </c>
      <c r="N235" s="903" t="s">
        <v>1271</v>
      </c>
      <c r="O235" s="903">
        <v>13</v>
      </c>
      <c r="P235" s="1021">
        <v>0</v>
      </c>
      <c r="Q235" s="1021">
        <v>899.8</v>
      </c>
      <c r="R235" s="1021">
        <v>899.8</v>
      </c>
      <c r="S235" s="1021">
        <v>899.8</v>
      </c>
      <c r="T235" s="1021">
        <v>899.8</v>
      </c>
      <c r="U235" s="1022">
        <v>899.8</v>
      </c>
      <c r="V235" s="1022">
        <v>899.8</v>
      </c>
    </row>
    <row r="236" spans="1:22" x14ac:dyDescent="0.25">
      <c r="A236" s="1088">
        <v>4089100600</v>
      </c>
      <c r="B236" s="903">
        <v>2</v>
      </c>
      <c r="C236" s="903">
        <v>4</v>
      </c>
      <c r="D236" s="903">
        <v>3</v>
      </c>
      <c r="E236" s="903" t="s">
        <v>1269</v>
      </c>
      <c r="F236" s="1127" t="s">
        <v>2225</v>
      </c>
      <c r="G236" s="1131" t="s">
        <v>802</v>
      </c>
      <c r="H236" s="903">
        <v>0</v>
      </c>
      <c r="I236" s="1131" t="s">
        <v>1210</v>
      </c>
      <c r="J236" s="903">
        <v>1</v>
      </c>
      <c r="K236" s="903">
        <v>21</v>
      </c>
      <c r="L236" s="903">
        <v>1</v>
      </c>
      <c r="M236" s="903">
        <v>4</v>
      </c>
      <c r="N236" s="903" t="s">
        <v>1271</v>
      </c>
      <c r="O236" s="903">
        <v>13</v>
      </c>
      <c r="P236" s="1021">
        <v>46293</v>
      </c>
      <c r="Q236" s="1021">
        <v>-16914.349999999999</v>
      </c>
      <c r="R236" s="1021">
        <v>29378.65</v>
      </c>
      <c r="S236" s="1021">
        <v>4804.62</v>
      </c>
      <c r="T236" s="1021">
        <v>4804.62</v>
      </c>
      <c r="U236" s="1022">
        <v>4804.62</v>
      </c>
      <c r="V236" s="1022">
        <v>4804.62</v>
      </c>
    </row>
    <row r="237" spans="1:22" x14ac:dyDescent="0.25">
      <c r="A237" s="1088">
        <v>4089100600</v>
      </c>
      <c r="B237" s="903">
        <v>2</v>
      </c>
      <c r="C237" s="903">
        <v>4</v>
      </c>
      <c r="D237" s="903">
        <v>3</v>
      </c>
      <c r="E237" s="903" t="s">
        <v>1269</v>
      </c>
      <c r="F237" s="1127" t="s">
        <v>2225</v>
      </c>
      <c r="G237" s="1131" t="s">
        <v>802</v>
      </c>
      <c r="H237" s="903">
        <v>0</v>
      </c>
      <c r="I237" s="1131" t="s">
        <v>1212</v>
      </c>
      <c r="J237" s="903">
        <v>1</v>
      </c>
      <c r="K237" s="903">
        <v>21</v>
      </c>
      <c r="L237" s="903">
        <v>1</v>
      </c>
      <c r="M237" s="903">
        <v>4</v>
      </c>
      <c r="N237" s="903" t="s">
        <v>1271</v>
      </c>
      <c r="O237" s="903">
        <v>13</v>
      </c>
      <c r="P237" s="1021">
        <v>5610.12</v>
      </c>
      <c r="Q237" s="1021">
        <v>6300</v>
      </c>
      <c r="R237" s="1021">
        <v>11910.12</v>
      </c>
      <c r="S237" s="1021">
        <v>6300</v>
      </c>
      <c r="T237" s="1021">
        <v>6300</v>
      </c>
      <c r="U237" s="1022">
        <v>6300</v>
      </c>
      <c r="V237" s="1022">
        <v>6300</v>
      </c>
    </row>
    <row r="238" spans="1:22" x14ac:dyDescent="0.25">
      <c r="A238" s="1088">
        <v>4089100600</v>
      </c>
      <c r="B238" s="903">
        <v>2</v>
      </c>
      <c r="C238" s="903">
        <v>4</v>
      </c>
      <c r="D238" s="903">
        <v>3</v>
      </c>
      <c r="E238" s="903" t="s">
        <v>1269</v>
      </c>
      <c r="F238" s="1127" t="s">
        <v>2225</v>
      </c>
      <c r="G238" s="1131" t="s">
        <v>802</v>
      </c>
      <c r="H238" s="903">
        <v>0</v>
      </c>
      <c r="I238" s="1131" t="s">
        <v>1216</v>
      </c>
      <c r="J238" s="903">
        <v>1</v>
      </c>
      <c r="K238" s="903">
        <v>21</v>
      </c>
      <c r="L238" s="903">
        <v>1</v>
      </c>
      <c r="M238" s="903">
        <v>4</v>
      </c>
      <c r="N238" s="903" t="s">
        <v>1271</v>
      </c>
      <c r="O238" s="903">
        <v>13</v>
      </c>
      <c r="P238" s="1021">
        <v>78</v>
      </c>
      <c r="Q238" s="1021">
        <v>6998.46</v>
      </c>
      <c r="R238" s="1021">
        <v>7076.46</v>
      </c>
      <c r="S238" s="1021">
        <v>7076.45</v>
      </c>
      <c r="T238" s="1021">
        <v>7076.45</v>
      </c>
      <c r="U238" s="1022">
        <v>7076.45</v>
      </c>
      <c r="V238" s="1022">
        <v>7076.45</v>
      </c>
    </row>
    <row r="239" spans="1:22" x14ac:dyDescent="0.25">
      <c r="A239" s="1088">
        <v>4089100600</v>
      </c>
      <c r="B239" s="903">
        <v>2</v>
      </c>
      <c r="C239" s="903">
        <v>4</v>
      </c>
      <c r="D239" s="903">
        <v>3</v>
      </c>
      <c r="E239" s="903" t="s">
        <v>1269</v>
      </c>
      <c r="F239" s="1127" t="s">
        <v>2225</v>
      </c>
      <c r="G239" s="1131" t="s">
        <v>802</v>
      </c>
      <c r="H239" s="903">
        <v>0</v>
      </c>
      <c r="I239" s="1131" t="s">
        <v>1218</v>
      </c>
      <c r="J239" s="903">
        <v>1</v>
      </c>
      <c r="K239" s="903">
        <v>21</v>
      </c>
      <c r="L239" s="903">
        <v>1</v>
      </c>
      <c r="M239" s="903">
        <v>4</v>
      </c>
      <c r="N239" s="903" t="s">
        <v>1271</v>
      </c>
      <c r="O239" s="903">
        <v>13</v>
      </c>
      <c r="P239" s="1021">
        <v>56580.480000000003</v>
      </c>
      <c r="Q239" s="1021">
        <v>0</v>
      </c>
      <c r="R239" s="1021">
        <v>56580.480000000003</v>
      </c>
      <c r="S239" s="1021">
        <v>19033.009999999998</v>
      </c>
      <c r="T239" s="1021">
        <v>19033.009999999998</v>
      </c>
      <c r="U239" s="1022">
        <v>16162.61</v>
      </c>
      <c r="V239" s="1022">
        <v>16162.61</v>
      </c>
    </row>
    <row r="240" spans="1:22" x14ac:dyDescent="0.25">
      <c r="A240" s="1088">
        <v>4089100600</v>
      </c>
      <c r="B240" s="903">
        <v>2</v>
      </c>
      <c r="C240" s="903">
        <v>4</v>
      </c>
      <c r="D240" s="903">
        <v>3</v>
      </c>
      <c r="E240" s="903" t="s">
        <v>1269</v>
      </c>
      <c r="F240" s="1127" t="s">
        <v>2225</v>
      </c>
      <c r="G240" s="1131" t="s">
        <v>802</v>
      </c>
      <c r="H240" s="903">
        <v>0</v>
      </c>
      <c r="I240" s="1131" t="s">
        <v>1226</v>
      </c>
      <c r="J240" s="903">
        <v>1</v>
      </c>
      <c r="K240" s="903">
        <v>21</v>
      </c>
      <c r="L240" s="903">
        <v>1</v>
      </c>
      <c r="M240" s="903">
        <v>4</v>
      </c>
      <c r="N240" s="903" t="s">
        <v>1271</v>
      </c>
      <c r="O240" s="903">
        <v>13</v>
      </c>
      <c r="P240" s="1021">
        <v>0</v>
      </c>
      <c r="Q240" s="1021">
        <v>12177</v>
      </c>
      <c r="R240" s="1021">
        <v>12177</v>
      </c>
      <c r="S240" s="1021">
        <v>12177</v>
      </c>
      <c r="T240" s="1021">
        <v>12177</v>
      </c>
      <c r="U240" s="1022">
        <v>12177</v>
      </c>
      <c r="V240" s="1022">
        <v>12177</v>
      </c>
    </row>
    <row r="241" spans="1:22" x14ac:dyDescent="0.25">
      <c r="A241" s="1088">
        <v>4089100600</v>
      </c>
      <c r="B241" s="903">
        <v>2</v>
      </c>
      <c r="C241" s="903">
        <v>4</v>
      </c>
      <c r="D241" s="903">
        <v>3</v>
      </c>
      <c r="E241" s="903" t="s">
        <v>1269</v>
      </c>
      <c r="F241" s="1127" t="s">
        <v>2225</v>
      </c>
      <c r="G241" s="1131" t="s">
        <v>802</v>
      </c>
      <c r="H241" s="903">
        <v>0</v>
      </c>
      <c r="I241" s="1131" t="s">
        <v>1233</v>
      </c>
      <c r="J241" s="903">
        <v>1</v>
      </c>
      <c r="K241" s="903">
        <v>21</v>
      </c>
      <c r="L241" s="903">
        <v>1</v>
      </c>
      <c r="M241" s="903">
        <v>4</v>
      </c>
      <c r="N241" s="903" t="s">
        <v>1271</v>
      </c>
      <c r="O241" s="903">
        <v>13</v>
      </c>
      <c r="P241" s="1021">
        <v>14106.6</v>
      </c>
      <c r="Q241" s="1021">
        <v>33746.519999999997</v>
      </c>
      <c r="R241" s="1021">
        <v>47853.120000000003</v>
      </c>
      <c r="S241" s="1021">
        <v>47653.120000000003</v>
      </c>
      <c r="T241" s="1021">
        <v>47653.120000000003</v>
      </c>
      <c r="U241" s="1022">
        <v>47653.120000000003</v>
      </c>
      <c r="V241" s="1022">
        <v>47653.120000000003</v>
      </c>
    </row>
    <row r="242" spans="1:22" x14ac:dyDescent="0.25">
      <c r="A242" s="1088">
        <v>4089100600</v>
      </c>
      <c r="B242" s="903">
        <v>2</v>
      </c>
      <c r="C242" s="903">
        <v>4</v>
      </c>
      <c r="D242" s="903">
        <v>3</v>
      </c>
      <c r="E242" s="903" t="s">
        <v>1269</v>
      </c>
      <c r="F242" s="1127" t="s">
        <v>2225</v>
      </c>
      <c r="G242" s="1131" t="s">
        <v>802</v>
      </c>
      <c r="H242" s="903">
        <v>0</v>
      </c>
      <c r="I242" s="1131" t="s">
        <v>1240</v>
      </c>
      <c r="J242" s="903">
        <v>1</v>
      </c>
      <c r="K242" s="903">
        <v>21</v>
      </c>
      <c r="L242" s="903">
        <v>1</v>
      </c>
      <c r="M242" s="903">
        <v>4</v>
      </c>
      <c r="N242" s="903" t="s">
        <v>1271</v>
      </c>
      <c r="O242" s="903">
        <v>13</v>
      </c>
      <c r="P242" s="1021">
        <v>1950</v>
      </c>
      <c r="Q242" s="1021">
        <v>0</v>
      </c>
      <c r="R242" s="1021">
        <v>1950</v>
      </c>
      <c r="S242" s="1021">
        <v>1950</v>
      </c>
      <c r="T242" s="1021">
        <v>1950</v>
      </c>
      <c r="U242" s="1022">
        <v>1950</v>
      </c>
      <c r="V242" s="1022">
        <v>1950</v>
      </c>
    </row>
    <row r="243" spans="1:22" x14ac:dyDescent="0.25">
      <c r="A243" s="1088">
        <v>4089100600</v>
      </c>
      <c r="B243" s="903">
        <v>2</v>
      </c>
      <c r="C243" s="903">
        <v>4</v>
      </c>
      <c r="D243" s="903">
        <v>3</v>
      </c>
      <c r="E243" s="903" t="s">
        <v>1269</v>
      </c>
      <c r="F243" s="1127" t="s">
        <v>2225</v>
      </c>
      <c r="G243" s="1131" t="s">
        <v>802</v>
      </c>
      <c r="H243" s="903">
        <v>0</v>
      </c>
      <c r="I243" s="1131" t="s">
        <v>1244</v>
      </c>
      <c r="J243" s="903">
        <v>1</v>
      </c>
      <c r="K243" s="903">
        <v>21</v>
      </c>
      <c r="L243" s="903">
        <v>1</v>
      </c>
      <c r="M243" s="903">
        <v>4</v>
      </c>
      <c r="N243" s="903" t="s">
        <v>1271</v>
      </c>
      <c r="O243" s="903">
        <v>13</v>
      </c>
      <c r="P243" s="1021">
        <v>65046.96</v>
      </c>
      <c r="Q243" s="1021">
        <v>-13853.96</v>
      </c>
      <c r="R243" s="1021">
        <v>51193</v>
      </c>
      <c r="S243" s="1021">
        <v>51193</v>
      </c>
      <c r="T243" s="1021">
        <v>51193</v>
      </c>
      <c r="U243" s="1022">
        <v>51193</v>
      </c>
      <c r="V243" s="1022">
        <v>51193</v>
      </c>
    </row>
    <row r="244" spans="1:22" x14ac:dyDescent="0.25">
      <c r="A244" s="1088">
        <v>4089100600</v>
      </c>
      <c r="B244" s="903">
        <v>2</v>
      </c>
      <c r="C244" s="903">
        <v>4</v>
      </c>
      <c r="D244" s="903">
        <v>3</v>
      </c>
      <c r="E244" s="903" t="s">
        <v>1269</v>
      </c>
      <c r="F244" s="1127" t="s">
        <v>2225</v>
      </c>
      <c r="G244" s="1131" t="s">
        <v>802</v>
      </c>
      <c r="H244" s="903">
        <v>0</v>
      </c>
      <c r="I244" s="1131" t="s">
        <v>1246</v>
      </c>
      <c r="J244" s="903">
        <v>1</v>
      </c>
      <c r="K244" s="903">
        <v>21</v>
      </c>
      <c r="L244" s="903">
        <v>1</v>
      </c>
      <c r="M244" s="903">
        <v>4</v>
      </c>
      <c r="N244" s="903" t="s">
        <v>1271</v>
      </c>
      <c r="O244" s="903">
        <v>13</v>
      </c>
      <c r="P244" s="1021">
        <v>3981478.44</v>
      </c>
      <c r="Q244" s="1021">
        <v>0</v>
      </c>
      <c r="R244" s="1021">
        <v>3981478.44</v>
      </c>
      <c r="S244" s="1021">
        <v>2461538.6800000002</v>
      </c>
      <c r="T244" s="1021">
        <v>2461538.6800000002</v>
      </c>
      <c r="U244" s="1022">
        <v>2461538.6800000002</v>
      </c>
      <c r="V244" s="1022">
        <v>2461538.6800000002</v>
      </c>
    </row>
    <row r="245" spans="1:22" x14ac:dyDescent="0.25">
      <c r="A245" s="1088">
        <v>4089100600</v>
      </c>
      <c r="B245" s="903">
        <v>2</v>
      </c>
      <c r="C245" s="903">
        <v>4</v>
      </c>
      <c r="D245" s="903">
        <v>3</v>
      </c>
      <c r="E245" s="903" t="s">
        <v>1269</v>
      </c>
      <c r="F245" s="1127" t="s">
        <v>2225</v>
      </c>
      <c r="G245" s="1131" t="s">
        <v>802</v>
      </c>
      <c r="H245" s="903">
        <v>0</v>
      </c>
      <c r="I245" s="1131" t="s">
        <v>1248</v>
      </c>
      <c r="J245" s="903">
        <v>1</v>
      </c>
      <c r="K245" s="903">
        <v>21</v>
      </c>
      <c r="L245" s="903">
        <v>1</v>
      </c>
      <c r="M245" s="903">
        <v>4</v>
      </c>
      <c r="N245" s="903" t="s">
        <v>1271</v>
      </c>
      <c r="O245" s="903">
        <v>13</v>
      </c>
      <c r="P245" s="1021">
        <v>299443.32</v>
      </c>
      <c r="Q245" s="1021">
        <v>0</v>
      </c>
      <c r="R245" s="1021">
        <v>299443.32</v>
      </c>
      <c r="S245" s="1021">
        <v>178084</v>
      </c>
      <c r="T245" s="1021">
        <v>178084</v>
      </c>
      <c r="U245" s="1022">
        <v>159485</v>
      </c>
      <c r="V245" s="1022">
        <v>159485</v>
      </c>
    </row>
    <row r="246" spans="1:22" x14ac:dyDescent="0.25">
      <c r="A246" s="1088">
        <v>4089100600</v>
      </c>
      <c r="B246" s="903">
        <v>2</v>
      </c>
      <c r="C246" s="903">
        <v>4</v>
      </c>
      <c r="D246" s="903">
        <v>3</v>
      </c>
      <c r="E246" s="903" t="s">
        <v>1269</v>
      </c>
      <c r="F246" s="1127" t="s">
        <v>2225</v>
      </c>
      <c r="G246" s="1131" t="s">
        <v>802</v>
      </c>
      <c r="H246" s="903">
        <v>0</v>
      </c>
      <c r="I246" s="1131" t="s">
        <v>1289</v>
      </c>
      <c r="J246" s="903">
        <v>3</v>
      </c>
      <c r="K246" s="903">
        <v>21</v>
      </c>
      <c r="L246" s="903">
        <v>1</v>
      </c>
      <c r="M246" s="903">
        <v>4</v>
      </c>
      <c r="N246" s="903" t="s">
        <v>1271</v>
      </c>
      <c r="O246" s="903">
        <v>13</v>
      </c>
      <c r="P246" s="1021">
        <v>10000000</v>
      </c>
      <c r="Q246" s="1021">
        <v>0</v>
      </c>
      <c r="R246" s="1021">
        <v>10000000</v>
      </c>
      <c r="S246" s="1021">
        <v>10000000</v>
      </c>
      <c r="T246" s="1021">
        <v>7499988</v>
      </c>
      <c r="U246" s="1022">
        <v>7499988</v>
      </c>
      <c r="V246" s="1022">
        <v>7499988</v>
      </c>
    </row>
    <row r="247" spans="1:22" x14ac:dyDescent="0.25">
      <c r="A247" s="1088">
        <v>4089100600</v>
      </c>
      <c r="B247" s="903">
        <v>2</v>
      </c>
      <c r="C247" s="903">
        <v>4</v>
      </c>
      <c r="D247" s="903">
        <v>3</v>
      </c>
      <c r="E247" s="903" t="s">
        <v>1269</v>
      </c>
      <c r="F247" s="1127" t="s">
        <v>2225</v>
      </c>
      <c r="G247" s="1131" t="s">
        <v>802</v>
      </c>
      <c r="H247" s="903">
        <v>0</v>
      </c>
      <c r="I247" s="1131" t="s">
        <v>2047</v>
      </c>
      <c r="J247" s="903">
        <v>3</v>
      </c>
      <c r="K247" s="903">
        <v>21</v>
      </c>
      <c r="L247" s="903">
        <v>1</v>
      </c>
      <c r="M247" s="903">
        <v>4</v>
      </c>
      <c r="N247" s="903" t="s">
        <v>1271</v>
      </c>
      <c r="O247" s="903">
        <v>13</v>
      </c>
      <c r="P247" s="1021">
        <v>4500000</v>
      </c>
      <c r="Q247" s="1021">
        <v>0</v>
      </c>
      <c r="R247" s="1021">
        <v>4500000</v>
      </c>
      <c r="S247" s="1021">
        <v>4500000</v>
      </c>
      <c r="T247" s="1021">
        <v>1999205.01</v>
      </c>
      <c r="U247" s="1022">
        <v>1999205.01</v>
      </c>
      <c r="V247" s="1022">
        <v>1999205.01</v>
      </c>
    </row>
    <row r="248" spans="1:22" x14ac:dyDescent="0.25">
      <c r="A248" s="1088">
        <v>4089100700</v>
      </c>
      <c r="B248" s="903">
        <v>2</v>
      </c>
      <c r="C248" s="903">
        <v>4</v>
      </c>
      <c r="D248" s="903">
        <v>3</v>
      </c>
      <c r="E248" s="903" t="s">
        <v>1269</v>
      </c>
      <c r="F248" s="1127" t="s">
        <v>2225</v>
      </c>
      <c r="G248" s="1131" t="s">
        <v>802</v>
      </c>
      <c r="H248" s="903">
        <v>0</v>
      </c>
      <c r="I248" s="1132" t="s">
        <v>1270</v>
      </c>
      <c r="J248" s="903">
        <v>1</v>
      </c>
      <c r="K248" s="903">
        <v>21</v>
      </c>
      <c r="L248" s="903">
        <v>1</v>
      </c>
      <c r="M248" s="903">
        <v>4</v>
      </c>
      <c r="N248" s="903" t="s">
        <v>1271</v>
      </c>
      <c r="O248" s="903">
        <v>13</v>
      </c>
      <c r="P248" s="1021">
        <v>1025520.12</v>
      </c>
      <c r="Q248" s="1021">
        <v>0</v>
      </c>
      <c r="R248" s="1021">
        <v>1025520.12</v>
      </c>
      <c r="S248" s="1021">
        <v>1025520.12</v>
      </c>
      <c r="T248" s="1021">
        <v>802050.3</v>
      </c>
      <c r="U248" s="1021">
        <v>802050.3</v>
      </c>
      <c r="V248" s="1021">
        <v>802050.3</v>
      </c>
    </row>
    <row r="249" spans="1:22" x14ac:dyDescent="0.25">
      <c r="A249" s="1088">
        <v>4089100700</v>
      </c>
      <c r="B249" s="903">
        <v>2</v>
      </c>
      <c r="C249" s="903">
        <v>4</v>
      </c>
      <c r="D249" s="903">
        <v>3</v>
      </c>
      <c r="E249" s="903" t="s">
        <v>1269</v>
      </c>
      <c r="F249" s="1127" t="s">
        <v>2225</v>
      </c>
      <c r="G249" s="1131" t="s">
        <v>802</v>
      </c>
      <c r="H249" s="903">
        <v>0</v>
      </c>
      <c r="I249" s="1135" t="s">
        <v>1272</v>
      </c>
      <c r="J249" s="903">
        <v>1</v>
      </c>
      <c r="K249" s="903">
        <v>21</v>
      </c>
      <c r="L249" s="903">
        <v>1</v>
      </c>
      <c r="M249" s="903">
        <v>4</v>
      </c>
      <c r="N249" s="903" t="s">
        <v>1271</v>
      </c>
      <c r="O249" s="903">
        <v>13</v>
      </c>
      <c r="P249" s="1021">
        <v>17961.599999999999</v>
      </c>
      <c r="Q249" s="1021">
        <v>0</v>
      </c>
      <c r="R249" s="1021">
        <v>17961.599999999999</v>
      </c>
      <c r="S249" s="1021">
        <v>17961.599999999999</v>
      </c>
      <c r="T249" s="1021">
        <v>0</v>
      </c>
      <c r="U249" s="1021">
        <v>0</v>
      </c>
      <c r="V249" s="1021">
        <v>0</v>
      </c>
    </row>
    <row r="250" spans="1:22" x14ac:dyDescent="0.25">
      <c r="A250" s="1088">
        <v>4089100700</v>
      </c>
      <c r="B250" s="903">
        <v>2</v>
      </c>
      <c r="C250" s="903">
        <v>4</v>
      </c>
      <c r="D250" s="903">
        <v>3</v>
      </c>
      <c r="E250" s="903" t="s">
        <v>1269</v>
      </c>
      <c r="F250" s="1127" t="s">
        <v>2225</v>
      </c>
      <c r="G250" s="1131" t="s">
        <v>802</v>
      </c>
      <c r="H250" s="903">
        <v>0</v>
      </c>
      <c r="I250" s="1135" t="s">
        <v>1273</v>
      </c>
      <c r="J250" s="903">
        <v>1</v>
      </c>
      <c r="K250" s="903">
        <v>21</v>
      </c>
      <c r="L250" s="903">
        <v>1</v>
      </c>
      <c r="M250" s="903">
        <v>4</v>
      </c>
      <c r="N250" s="903" t="s">
        <v>1271</v>
      </c>
      <c r="O250" s="903">
        <v>13</v>
      </c>
      <c r="P250" s="1021">
        <v>35109.839999999997</v>
      </c>
      <c r="Q250" s="1021">
        <v>0</v>
      </c>
      <c r="R250" s="1021">
        <v>35109.839999999997</v>
      </c>
      <c r="S250" s="1021">
        <v>35109.839999999997</v>
      </c>
      <c r="T250" s="1021">
        <v>27000</v>
      </c>
      <c r="U250" s="1021">
        <v>27000</v>
      </c>
      <c r="V250" s="1021">
        <v>27000</v>
      </c>
    </row>
    <row r="251" spans="1:22" x14ac:dyDescent="0.25">
      <c r="A251" s="1088">
        <v>4089100700</v>
      </c>
      <c r="B251" s="903">
        <v>2</v>
      </c>
      <c r="C251" s="903">
        <v>4</v>
      </c>
      <c r="D251" s="903">
        <v>3</v>
      </c>
      <c r="E251" s="903" t="s">
        <v>1269</v>
      </c>
      <c r="F251" s="1127" t="s">
        <v>2225</v>
      </c>
      <c r="G251" s="1131" t="s">
        <v>802</v>
      </c>
      <c r="H251" s="903">
        <v>0</v>
      </c>
      <c r="I251" s="1135" t="s">
        <v>1275</v>
      </c>
      <c r="J251" s="903">
        <v>1</v>
      </c>
      <c r="K251" s="903">
        <v>21</v>
      </c>
      <c r="L251" s="903">
        <v>1</v>
      </c>
      <c r="M251" s="903">
        <v>4</v>
      </c>
      <c r="N251" s="903" t="s">
        <v>1271</v>
      </c>
      <c r="O251" s="903">
        <v>13</v>
      </c>
      <c r="P251" s="1021">
        <v>0</v>
      </c>
      <c r="Q251" s="1021">
        <v>21816.76</v>
      </c>
      <c r="R251" s="1021">
        <v>21816.76</v>
      </c>
      <c r="S251" s="1021">
        <v>21816.76</v>
      </c>
      <c r="T251" s="1021">
        <v>21816.76</v>
      </c>
      <c r="U251" s="1021">
        <v>21816.76</v>
      </c>
      <c r="V251" s="1021">
        <v>21816.76</v>
      </c>
    </row>
    <row r="252" spans="1:22" x14ac:dyDescent="0.25">
      <c r="A252" s="1088">
        <v>4089100700</v>
      </c>
      <c r="B252" s="903">
        <v>2</v>
      </c>
      <c r="C252" s="903">
        <v>4</v>
      </c>
      <c r="D252" s="903">
        <v>3</v>
      </c>
      <c r="E252" s="903" t="s">
        <v>1269</v>
      </c>
      <c r="F252" s="1127" t="s">
        <v>2225</v>
      </c>
      <c r="G252" s="1131" t="s">
        <v>802</v>
      </c>
      <c r="H252" s="903">
        <v>0</v>
      </c>
      <c r="I252" s="1135" t="s">
        <v>1276</v>
      </c>
      <c r="J252" s="903">
        <v>1</v>
      </c>
      <c r="K252" s="903">
        <v>21</v>
      </c>
      <c r="L252" s="903">
        <v>1</v>
      </c>
      <c r="M252" s="903">
        <v>4</v>
      </c>
      <c r="N252" s="903" t="s">
        <v>1271</v>
      </c>
      <c r="O252" s="903">
        <v>13</v>
      </c>
      <c r="P252" s="1021">
        <v>165288.72</v>
      </c>
      <c r="Q252" s="1021">
        <v>0</v>
      </c>
      <c r="R252" s="1021">
        <v>165288.72</v>
      </c>
      <c r="S252" s="1021">
        <v>165288.72</v>
      </c>
      <c r="T252" s="1021">
        <v>126568.36</v>
      </c>
      <c r="U252" s="1021">
        <v>0</v>
      </c>
      <c r="V252" s="1021">
        <v>0</v>
      </c>
    </row>
    <row r="253" spans="1:22" x14ac:dyDescent="0.25">
      <c r="A253" s="1088">
        <v>4089100700</v>
      </c>
      <c r="B253" s="903">
        <v>2</v>
      </c>
      <c r="C253" s="903">
        <v>4</v>
      </c>
      <c r="D253" s="903">
        <v>3</v>
      </c>
      <c r="E253" s="903" t="s">
        <v>1269</v>
      </c>
      <c r="F253" s="1127" t="s">
        <v>2225</v>
      </c>
      <c r="G253" s="1131" t="s">
        <v>802</v>
      </c>
      <c r="H253" s="903">
        <v>0</v>
      </c>
      <c r="I253" s="1135" t="s">
        <v>1277</v>
      </c>
      <c r="J253" s="903">
        <v>1</v>
      </c>
      <c r="K253" s="903">
        <v>21</v>
      </c>
      <c r="L253" s="903">
        <v>1</v>
      </c>
      <c r="M253" s="903">
        <v>4</v>
      </c>
      <c r="N253" s="903" t="s">
        <v>1271</v>
      </c>
      <c r="O253" s="903">
        <v>13</v>
      </c>
      <c r="P253" s="1021">
        <v>116229.24</v>
      </c>
      <c r="Q253" s="1021">
        <v>0</v>
      </c>
      <c r="R253" s="1021">
        <v>116229.24</v>
      </c>
      <c r="S253" s="1021">
        <v>116229.24</v>
      </c>
      <c r="T253" s="1021">
        <v>91952.52</v>
      </c>
      <c r="U253" s="1021">
        <v>81418.36</v>
      </c>
      <c r="V253" s="1021">
        <v>81418.36</v>
      </c>
    </row>
    <row r="254" spans="1:22" x14ac:dyDescent="0.25">
      <c r="A254" s="1088">
        <v>4089100700</v>
      </c>
      <c r="B254" s="903">
        <v>2</v>
      </c>
      <c r="C254" s="903">
        <v>4</v>
      </c>
      <c r="D254" s="903">
        <v>3</v>
      </c>
      <c r="E254" s="903" t="s">
        <v>1269</v>
      </c>
      <c r="F254" s="1127" t="s">
        <v>2225</v>
      </c>
      <c r="G254" s="1131" t="s">
        <v>802</v>
      </c>
      <c r="H254" s="903">
        <v>0</v>
      </c>
      <c r="I254" s="1135" t="s">
        <v>1278</v>
      </c>
      <c r="J254" s="903">
        <v>1</v>
      </c>
      <c r="K254" s="903">
        <v>21</v>
      </c>
      <c r="L254" s="903">
        <v>1</v>
      </c>
      <c r="M254" s="903">
        <v>4</v>
      </c>
      <c r="N254" s="903" t="s">
        <v>1271</v>
      </c>
      <c r="O254" s="903">
        <v>13</v>
      </c>
      <c r="P254" s="1021">
        <v>58454.76</v>
      </c>
      <c r="Q254" s="1021">
        <v>0</v>
      </c>
      <c r="R254" s="1021">
        <v>58454.76</v>
      </c>
      <c r="S254" s="1021">
        <v>58454.76</v>
      </c>
      <c r="T254" s="1021">
        <v>42465.91</v>
      </c>
      <c r="U254" s="1021">
        <v>37679.1</v>
      </c>
      <c r="V254" s="1021">
        <v>37679.1</v>
      </c>
    </row>
    <row r="255" spans="1:22" x14ac:dyDescent="0.25">
      <c r="A255" s="1088">
        <v>4089100700</v>
      </c>
      <c r="B255" s="903">
        <v>2</v>
      </c>
      <c r="C255" s="903">
        <v>4</v>
      </c>
      <c r="D255" s="903">
        <v>3</v>
      </c>
      <c r="E255" s="903" t="s">
        <v>1269</v>
      </c>
      <c r="F255" s="1127" t="s">
        <v>2225</v>
      </c>
      <c r="G255" s="1131" t="s">
        <v>802</v>
      </c>
      <c r="H255" s="903">
        <v>0</v>
      </c>
      <c r="I255" s="1135" t="s">
        <v>1279</v>
      </c>
      <c r="J255" s="903">
        <v>1</v>
      </c>
      <c r="K255" s="903">
        <v>21</v>
      </c>
      <c r="L255" s="903">
        <v>1</v>
      </c>
      <c r="M255" s="903">
        <v>4</v>
      </c>
      <c r="N255" s="903" t="s">
        <v>1271</v>
      </c>
      <c r="O255" s="903">
        <v>13</v>
      </c>
      <c r="P255" s="1021">
        <v>73360.679999999993</v>
      </c>
      <c r="Q255" s="1021">
        <v>0</v>
      </c>
      <c r="R255" s="1021">
        <v>73360.679999999993</v>
      </c>
      <c r="S255" s="1021">
        <v>73360.679999999993</v>
      </c>
      <c r="T255" s="1021">
        <v>53294.75</v>
      </c>
      <c r="U255" s="1021">
        <v>47287.3</v>
      </c>
      <c r="V255" s="1021">
        <v>47287.3</v>
      </c>
    </row>
    <row r="256" spans="1:22" x14ac:dyDescent="0.25">
      <c r="A256" s="1088">
        <v>4089100700</v>
      </c>
      <c r="B256" s="903">
        <v>2</v>
      </c>
      <c r="C256" s="903">
        <v>4</v>
      </c>
      <c r="D256" s="903">
        <v>3</v>
      </c>
      <c r="E256" s="903" t="s">
        <v>1269</v>
      </c>
      <c r="F256" s="1127" t="s">
        <v>2225</v>
      </c>
      <c r="G256" s="1131" t="s">
        <v>802</v>
      </c>
      <c r="H256" s="903">
        <v>0</v>
      </c>
      <c r="I256" s="1135" t="s">
        <v>1280</v>
      </c>
      <c r="J256" s="903">
        <v>1</v>
      </c>
      <c r="K256" s="903">
        <v>21</v>
      </c>
      <c r="L256" s="903">
        <v>1</v>
      </c>
      <c r="M256" s="903">
        <v>4</v>
      </c>
      <c r="N256" s="903" t="s">
        <v>1271</v>
      </c>
      <c r="O256" s="903">
        <v>13</v>
      </c>
      <c r="P256" s="1021">
        <v>63485.88</v>
      </c>
      <c r="Q256" s="1021">
        <v>0</v>
      </c>
      <c r="R256" s="1021">
        <v>63485.88</v>
      </c>
      <c r="S256" s="1021">
        <v>63485.88</v>
      </c>
      <c r="T256" s="1021">
        <v>43845.84</v>
      </c>
      <c r="U256" s="1021">
        <v>0</v>
      </c>
      <c r="V256" s="1021">
        <v>0</v>
      </c>
    </row>
    <row r="257" spans="1:22" x14ac:dyDescent="0.25">
      <c r="A257" s="1088">
        <v>4089100700</v>
      </c>
      <c r="B257" s="903">
        <v>2</v>
      </c>
      <c r="C257" s="903">
        <v>4</v>
      </c>
      <c r="D257" s="903">
        <v>3</v>
      </c>
      <c r="E257" s="903" t="s">
        <v>1269</v>
      </c>
      <c r="F257" s="1127" t="s">
        <v>2225</v>
      </c>
      <c r="G257" s="1131" t="s">
        <v>802</v>
      </c>
      <c r="H257" s="903">
        <v>0</v>
      </c>
      <c r="I257" s="1135" t="s">
        <v>1282</v>
      </c>
      <c r="J257" s="903">
        <v>1</v>
      </c>
      <c r="K257" s="903">
        <v>21</v>
      </c>
      <c r="L257" s="903">
        <v>1</v>
      </c>
      <c r="M257" s="903">
        <v>4</v>
      </c>
      <c r="N257" s="903" t="s">
        <v>1271</v>
      </c>
      <c r="O257" s="903">
        <v>13</v>
      </c>
      <c r="P257" s="1021">
        <v>14791.32</v>
      </c>
      <c r="Q257" s="1021">
        <v>52006.09</v>
      </c>
      <c r="R257" s="1021">
        <v>66797.41</v>
      </c>
      <c r="S257" s="1021">
        <v>66797.41</v>
      </c>
      <c r="T257" s="1021">
        <v>66797.41</v>
      </c>
      <c r="U257" s="1021">
        <v>66797.41</v>
      </c>
      <c r="V257" s="1021">
        <v>66797.41</v>
      </c>
    </row>
    <row r="258" spans="1:22" x14ac:dyDescent="0.25">
      <c r="A258" s="1088">
        <v>4089100700</v>
      </c>
      <c r="B258" s="903">
        <v>2</v>
      </c>
      <c r="C258" s="903">
        <v>4</v>
      </c>
      <c r="D258" s="903">
        <v>3</v>
      </c>
      <c r="E258" s="903" t="s">
        <v>1269</v>
      </c>
      <c r="F258" s="1127" t="s">
        <v>2225</v>
      </c>
      <c r="G258" s="1131" t="s">
        <v>802</v>
      </c>
      <c r="H258" s="903">
        <v>0</v>
      </c>
      <c r="I258" s="1135" t="s">
        <v>1121</v>
      </c>
      <c r="J258" s="903">
        <v>1</v>
      </c>
      <c r="K258" s="903">
        <v>21</v>
      </c>
      <c r="L258" s="903">
        <v>1</v>
      </c>
      <c r="M258" s="903">
        <v>4</v>
      </c>
      <c r="N258" s="903" t="s">
        <v>1271</v>
      </c>
      <c r="O258" s="903">
        <v>13</v>
      </c>
      <c r="P258" s="1021">
        <v>1622.4</v>
      </c>
      <c r="Q258" s="1021">
        <v>0</v>
      </c>
      <c r="R258" s="1021">
        <v>1622.4</v>
      </c>
      <c r="S258" s="1021">
        <v>0</v>
      </c>
      <c r="T258" s="1021">
        <v>0</v>
      </c>
      <c r="U258" s="1021">
        <v>0</v>
      </c>
      <c r="V258" s="1021">
        <v>0</v>
      </c>
    </row>
    <row r="259" spans="1:22" x14ac:dyDescent="0.25">
      <c r="A259" s="1088">
        <v>4089100700</v>
      </c>
      <c r="B259" s="903">
        <v>2</v>
      </c>
      <c r="C259" s="903">
        <v>4</v>
      </c>
      <c r="D259" s="903">
        <v>3</v>
      </c>
      <c r="E259" s="903" t="s">
        <v>1269</v>
      </c>
      <c r="F259" s="1127" t="s">
        <v>2225</v>
      </c>
      <c r="G259" s="1131" t="s">
        <v>802</v>
      </c>
      <c r="H259" s="903">
        <v>0</v>
      </c>
      <c r="I259" s="1135" t="s">
        <v>1127</v>
      </c>
      <c r="J259" s="903">
        <v>1</v>
      </c>
      <c r="K259" s="903">
        <v>21</v>
      </c>
      <c r="L259" s="903">
        <v>1</v>
      </c>
      <c r="M259" s="903">
        <v>4</v>
      </c>
      <c r="N259" s="903" t="s">
        <v>1271</v>
      </c>
      <c r="O259" s="903">
        <v>13</v>
      </c>
      <c r="P259" s="1021">
        <v>171.84</v>
      </c>
      <c r="Q259" s="1021">
        <v>0</v>
      </c>
      <c r="R259" s="1021">
        <v>171.84</v>
      </c>
      <c r="S259" s="1021">
        <v>100</v>
      </c>
      <c r="T259" s="1021">
        <v>100</v>
      </c>
      <c r="U259" s="1021">
        <v>100</v>
      </c>
      <c r="V259" s="1021">
        <v>100</v>
      </c>
    </row>
    <row r="260" spans="1:22" x14ac:dyDescent="0.25">
      <c r="A260" s="1088">
        <v>4089100700</v>
      </c>
      <c r="B260" s="903">
        <v>2</v>
      </c>
      <c r="C260" s="903">
        <v>4</v>
      </c>
      <c r="D260" s="903">
        <v>3</v>
      </c>
      <c r="E260" s="903" t="s">
        <v>1269</v>
      </c>
      <c r="F260" s="1127" t="s">
        <v>2225</v>
      </c>
      <c r="G260" s="1131" t="s">
        <v>802</v>
      </c>
      <c r="H260" s="903">
        <v>0</v>
      </c>
      <c r="I260" s="1135" t="s">
        <v>1161</v>
      </c>
      <c r="J260" s="903">
        <v>1</v>
      </c>
      <c r="K260" s="903">
        <v>21</v>
      </c>
      <c r="L260" s="903">
        <v>1</v>
      </c>
      <c r="M260" s="903">
        <v>4</v>
      </c>
      <c r="N260" s="903" t="s">
        <v>1271</v>
      </c>
      <c r="O260" s="903">
        <v>13</v>
      </c>
      <c r="P260" s="1021">
        <v>8783.2800000000007</v>
      </c>
      <c r="Q260" s="1021">
        <v>0</v>
      </c>
      <c r="R260" s="1021">
        <v>8783.2800000000007</v>
      </c>
      <c r="S260" s="1021">
        <v>5967.38</v>
      </c>
      <c r="T260" s="1021">
        <v>5967.38</v>
      </c>
      <c r="U260" s="1021">
        <v>5967.38</v>
      </c>
      <c r="V260" s="1021">
        <v>5967.38</v>
      </c>
    </row>
    <row r="261" spans="1:22" x14ac:dyDescent="0.25">
      <c r="A261" s="1088">
        <v>4089100700</v>
      </c>
      <c r="B261" s="903">
        <v>2</v>
      </c>
      <c r="C261" s="903">
        <v>4</v>
      </c>
      <c r="D261" s="903">
        <v>3</v>
      </c>
      <c r="E261" s="903" t="s">
        <v>1269</v>
      </c>
      <c r="F261" s="1127" t="s">
        <v>2225</v>
      </c>
      <c r="G261" s="1131" t="s">
        <v>802</v>
      </c>
      <c r="H261" s="903">
        <v>0</v>
      </c>
      <c r="I261" s="1135" t="s">
        <v>1163</v>
      </c>
      <c r="J261" s="903">
        <v>1</v>
      </c>
      <c r="K261" s="903">
        <v>21</v>
      </c>
      <c r="L261" s="903">
        <v>1</v>
      </c>
      <c r="M261" s="903">
        <v>4</v>
      </c>
      <c r="N261" s="903" t="s">
        <v>1271</v>
      </c>
      <c r="O261" s="903">
        <v>13</v>
      </c>
      <c r="P261" s="1021">
        <v>943.8</v>
      </c>
      <c r="Q261" s="1021">
        <v>0</v>
      </c>
      <c r="R261" s="1021">
        <v>943.8</v>
      </c>
      <c r="S261" s="1021">
        <v>414.44</v>
      </c>
      <c r="T261" s="1021">
        <v>414.44</v>
      </c>
      <c r="U261" s="1021">
        <v>414.44</v>
      </c>
      <c r="V261" s="1021">
        <v>414.44</v>
      </c>
    </row>
    <row r="262" spans="1:22" x14ac:dyDescent="0.25">
      <c r="A262" s="1088">
        <v>4089100700</v>
      </c>
      <c r="B262" s="903">
        <v>2</v>
      </c>
      <c r="C262" s="903">
        <v>4</v>
      </c>
      <c r="D262" s="903">
        <v>3</v>
      </c>
      <c r="E262" s="903" t="s">
        <v>1269</v>
      </c>
      <c r="F262" s="1127" t="s">
        <v>2225</v>
      </c>
      <c r="G262" s="1131" t="s">
        <v>802</v>
      </c>
      <c r="H262" s="903">
        <v>0</v>
      </c>
      <c r="I262" s="1135" t="s">
        <v>1165</v>
      </c>
      <c r="J262" s="903">
        <v>1</v>
      </c>
      <c r="K262" s="903">
        <v>21</v>
      </c>
      <c r="L262" s="903">
        <v>1</v>
      </c>
      <c r="M262" s="903">
        <v>4</v>
      </c>
      <c r="N262" s="903" t="s">
        <v>1271</v>
      </c>
      <c r="O262" s="903">
        <v>13</v>
      </c>
      <c r="P262" s="1021">
        <v>2997.6</v>
      </c>
      <c r="Q262" s="1021">
        <v>0</v>
      </c>
      <c r="R262" s="1021">
        <v>2997.6</v>
      </c>
      <c r="S262" s="1021">
        <v>1918.87</v>
      </c>
      <c r="T262" s="1021">
        <v>1918.87</v>
      </c>
      <c r="U262" s="1021">
        <v>1918.87</v>
      </c>
      <c r="V262" s="1021">
        <v>1918.87</v>
      </c>
    </row>
    <row r="263" spans="1:22" x14ac:dyDescent="0.25">
      <c r="A263" s="1088">
        <v>4089100700</v>
      </c>
      <c r="B263" s="903">
        <v>2</v>
      </c>
      <c r="C263" s="903">
        <v>4</v>
      </c>
      <c r="D263" s="903">
        <v>3</v>
      </c>
      <c r="E263" s="903" t="s">
        <v>1269</v>
      </c>
      <c r="F263" s="1127" t="s">
        <v>2225</v>
      </c>
      <c r="G263" s="1131" t="s">
        <v>802</v>
      </c>
      <c r="H263" s="903">
        <v>0</v>
      </c>
      <c r="I263" s="1135" t="s">
        <v>1169</v>
      </c>
      <c r="J263" s="903">
        <v>1</v>
      </c>
      <c r="K263" s="903">
        <v>21</v>
      </c>
      <c r="L263" s="903">
        <v>1</v>
      </c>
      <c r="M263" s="903">
        <v>4</v>
      </c>
      <c r="N263" s="903" t="s">
        <v>1271</v>
      </c>
      <c r="O263" s="903">
        <v>13</v>
      </c>
      <c r="P263" s="1021">
        <v>3447.24</v>
      </c>
      <c r="Q263" s="1021">
        <v>56.36</v>
      </c>
      <c r="R263" s="1021">
        <v>3503.6</v>
      </c>
      <c r="S263" s="1021">
        <v>2486.2199999999998</v>
      </c>
      <c r="T263" s="1021">
        <v>2486.2199999999998</v>
      </c>
      <c r="U263" s="1021">
        <v>2486.2199999999998</v>
      </c>
      <c r="V263" s="1021">
        <v>2486.2199999999998</v>
      </c>
    </row>
    <row r="264" spans="1:22" x14ac:dyDescent="0.25">
      <c r="A264" s="1088">
        <v>4089100700</v>
      </c>
      <c r="B264" s="903">
        <v>2</v>
      </c>
      <c r="C264" s="903">
        <v>4</v>
      </c>
      <c r="D264" s="903">
        <v>3</v>
      </c>
      <c r="E264" s="903" t="s">
        <v>1269</v>
      </c>
      <c r="F264" s="1127" t="s">
        <v>2225</v>
      </c>
      <c r="G264" s="1131" t="s">
        <v>802</v>
      </c>
      <c r="H264" s="903">
        <v>0</v>
      </c>
      <c r="I264" s="1135" t="s">
        <v>1181</v>
      </c>
      <c r="J264" s="903">
        <v>1</v>
      </c>
      <c r="K264" s="903">
        <v>21</v>
      </c>
      <c r="L264" s="903">
        <v>1</v>
      </c>
      <c r="M264" s="903">
        <v>4</v>
      </c>
      <c r="N264" s="903" t="s">
        <v>1271</v>
      </c>
      <c r="O264" s="903">
        <v>13</v>
      </c>
      <c r="P264" s="1021">
        <v>1291.32</v>
      </c>
      <c r="Q264" s="1021">
        <v>0</v>
      </c>
      <c r="R264" s="1021">
        <v>1291.32</v>
      </c>
      <c r="S264" s="1021">
        <v>894.39</v>
      </c>
      <c r="T264" s="1021">
        <v>894.39</v>
      </c>
      <c r="U264" s="1021">
        <v>790.41</v>
      </c>
      <c r="V264" s="1021">
        <v>790.41</v>
      </c>
    </row>
    <row r="265" spans="1:22" x14ac:dyDescent="0.25">
      <c r="A265" s="1088">
        <v>4089100700</v>
      </c>
      <c r="B265" s="903">
        <v>2</v>
      </c>
      <c r="C265" s="903">
        <v>4</v>
      </c>
      <c r="D265" s="903">
        <v>3</v>
      </c>
      <c r="E265" s="903" t="s">
        <v>1269</v>
      </c>
      <c r="F265" s="1127" t="s">
        <v>2225</v>
      </c>
      <c r="G265" s="1131" t="s">
        <v>802</v>
      </c>
      <c r="H265" s="903">
        <v>0</v>
      </c>
      <c r="I265" s="1135" t="s">
        <v>1210</v>
      </c>
      <c r="J265" s="903">
        <v>1</v>
      </c>
      <c r="K265" s="903">
        <v>21</v>
      </c>
      <c r="L265" s="903">
        <v>1</v>
      </c>
      <c r="M265" s="903">
        <v>4</v>
      </c>
      <c r="N265" s="903" t="s">
        <v>1271</v>
      </c>
      <c r="O265" s="903">
        <v>13</v>
      </c>
      <c r="P265" s="1021">
        <v>434.64</v>
      </c>
      <c r="Q265" s="1021">
        <v>0</v>
      </c>
      <c r="R265" s="1021">
        <v>434.64</v>
      </c>
      <c r="S265" s="1021">
        <v>0</v>
      </c>
      <c r="T265" s="1021">
        <v>0</v>
      </c>
      <c r="U265" s="1021">
        <v>0</v>
      </c>
      <c r="V265" s="1021">
        <v>0</v>
      </c>
    </row>
    <row r="266" spans="1:22" x14ac:dyDescent="0.25">
      <c r="A266" s="1088">
        <v>4089100700</v>
      </c>
      <c r="B266" s="903">
        <v>2</v>
      </c>
      <c r="C266" s="903">
        <v>4</v>
      </c>
      <c r="D266" s="903">
        <v>3</v>
      </c>
      <c r="E266" s="903" t="s">
        <v>1269</v>
      </c>
      <c r="F266" s="1127" t="s">
        <v>2225</v>
      </c>
      <c r="G266" s="1131" t="s">
        <v>802</v>
      </c>
      <c r="H266" s="903">
        <v>0</v>
      </c>
      <c r="I266" s="1135" t="s">
        <v>1212</v>
      </c>
      <c r="J266" s="903">
        <v>1</v>
      </c>
      <c r="K266" s="903">
        <v>21</v>
      </c>
      <c r="L266" s="903">
        <v>1</v>
      </c>
      <c r="M266" s="903">
        <v>4</v>
      </c>
      <c r="N266" s="903" t="s">
        <v>1271</v>
      </c>
      <c r="O266" s="903">
        <v>13</v>
      </c>
      <c r="P266" s="1021">
        <v>221.52</v>
      </c>
      <c r="Q266" s="1021">
        <v>1200</v>
      </c>
      <c r="R266" s="1021">
        <v>1421.52</v>
      </c>
      <c r="S266" s="1021">
        <v>1200</v>
      </c>
      <c r="T266" s="1021">
        <v>1200</v>
      </c>
      <c r="U266" s="1021">
        <v>1200</v>
      </c>
      <c r="V266" s="1021">
        <v>1200</v>
      </c>
    </row>
    <row r="267" spans="1:22" x14ac:dyDescent="0.25">
      <c r="A267" s="1088">
        <v>4089100700</v>
      </c>
      <c r="B267" s="903">
        <v>2</v>
      </c>
      <c r="C267" s="903">
        <v>4</v>
      </c>
      <c r="D267" s="903">
        <v>3</v>
      </c>
      <c r="E267" s="903" t="s">
        <v>1269</v>
      </c>
      <c r="F267" s="1127" t="s">
        <v>2225</v>
      </c>
      <c r="G267" s="1131" t="s">
        <v>802</v>
      </c>
      <c r="H267" s="903">
        <v>0</v>
      </c>
      <c r="I267" s="1135" t="s">
        <v>1218</v>
      </c>
      <c r="J267" s="903">
        <v>1</v>
      </c>
      <c r="K267" s="903">
        <v>21</v>
      </c>
      <c r="L267" s="903">
        <v>1</v>
      </c>
      <c r="M267" s="903">
        <v>4</v>
      </c>
      <c r="N267" s="903" t="s">
        <v>1271</v>
      </c>
      <c r="O267" s="903">
        <v>13</v>
      </c>
      <c r="P267" s="1021">
        <v>4352.3999999999996</v>
      </c>
      <c r="Q267" s="1021">
        <v>0</v>
      </c>
      <c r="R267" s="1021">
        <v>4352.3999999999996</v>
      </c>
      <c r="S267" s="1021">
        <v>1242</v>
      </c>
      <c r="T267" s="1021">
        <v>1242</v>
      </c>
      <c r="U267" s="1021">
        <v>1021.2</v>
      </c>
      <c r="V267" s="1021">
        <v>1021.2</v>
      </c>
    </row>
    <row r="268" spans="1:22" x14ac:dyDescent="0.25">
      <c r="A268" s="1088">
        <v>4089100700</v>
      </c>
      <c r="B268" s="903">
        <v>2</v>
      </c>
      <c r="C268" s="903">
        <v>4</v>
      </c>
      <c r="D268" s="903">
        <v>3</v>
      </c>
      <c r="E268" s="903" t="s">
        <v>1269</v>
      </c>
      <c r="F268" s="1127" t="s">
        <v>2225</v>
      </c>
      <c r="G268" s="1131" t="s">
        <v>802</v>
      </c>
      <c r="H268" s="903">
        <v>0</v>
      </c>
      <c r="I268" s="1135" t="s">
        <v>1240</v>
      </c>
      <c r="J268" s="903">
        <v>1</v>
      </c>
      <c r="K268" s="903">
        <v>21</v>
      </c>
      <c r="L268" s="903">
        <v>1</v>
      </c>
      <c r="M268" s="903">
        <v>4</v>
      </c>
      <c r="N268" s="903" t="s">
        <v>1271</v>
      </c>
      <c r="O268" s="903">
        <v>13</v>
      </c>
      <c r="P268" s="1021">
        <v>150</v>
      </c>
      <c r="Q268" s="1021">
        <v>0</v>
      </c>
      <c r="R268" s="1021">
        <v>150</v>
      </c>
      <c r="S268" s="1021">
        <v>150</v>
      </c>
      <c r="T268" s="1021">
        <v>150</v>
      </c>
      <c r="U268" s="1021">
        <v>150</v>
      </c>
      <c r="V268" s="1021">
        <v>150</v>
      </c>
    </row>
    <row r="269" spans="1:22" x14ac:dyDescent="0.25">
      <c r="A269" s="1088">
        <v>4089100700</v>
      </c>
      <c r="B269" s="903">
        <v>2</v>
      </c>
      <c r="C269" s="903">
        <v>4</v>
      </c>
      <c r="D269" s="903">
        <v>3</v>
      </c>
      <c r="E269" s="903" t="s">
        <v>1269</v>
      </c>
      <c r="F269" s="1127" t="s">
        <v>2225</v>
      </c>
      <c r="G269" s="1131" t="s">
        <v>802</v>
      </c>
      <c r="H269" s="903">
        <v>0</v>
      </c>
      <c r="I269" s="1135" t="s">
        <v>1248</v>
      </c>
      <c r="J269" s="903">
        <v>1</v>
      </c>
      <c r="K269" s="903">
        <v>21</v>
      </c>
      <c r="L269" s="903">
        <v>1</v>
      </c>
      <c r="M269" s="903">
        <v>4</v>
      </c>
      <c r="N269" s="903" t="s">
        <v>1271</v>
      </c>
      <c r="O269" s="903">
        <v>13</v>
      </c>
      <c r="P269" s="1021">
        <v>33961.919999999998</v>
      </c>
      <c r="Q269" s="1021">
        <v>0</v>
      </c>
      <c r="R269" s="1021">
        <v>33961.919999999998</v>
      </c>
      <c r="S269" s="1021">
        <v>21269</v>
      </c>
      <c r="T269" s="1021">
        <v>21269</v>
      </c>
      <c r="U269" s="1021">
        <v>18597</v>
      </c>
      <c r="V269" s="1021">
        <v>18597</v>
      </c>
    </row>
    <row r="270" spans="1:22" x14ac:dyDescent="0.25">
      <c r="A270" s="1088"/>
      <c r="B270" s="903"/>
      <c r="C270" s="903"/>
      <c r="D270" s="903"/>
      <c r="E270" s="903"/>
      <c r="F270" s="903"/>
      <c r="G270" s="903"/>
      <c r="H270" s="903"/>
      <c r="I270" s="1088"/>
      <c r="J270" s="903"/>
      <c r="K270" s="903"/>
      <c r="L270" s="903"/>
      <c r="M270" s="903"/>
      <c r="N270" s="903"/>
      <c r="O270" s="903"/>
      <c r="P270" s="1021">
        <f t="shared" ref="P270:V270" si="0">SUM(P4:P269)</f>
        <v>103543736.79999998</v>
      </c>
      <c r="Q270" s="1021">
        <f t="shared" si="0"/>
        <v>1.0118128557223827E-10</v>
      </c>
      <c r="R270" s="1021">
        <f t="shared" si="0"/>
        <v>103543736.79999998</v>
      </c>
      <c r="S270" s="1021">
        <f t="shared" si="0"/>
        <v>96407524.939999998</v>
      </c>
      <c r="T270" s="1021">
        <f t="shared" si="0"/>
        <v>68913889.659999952</v>
      </c>
      <c r="U270" s="1021">
        <f t="shared" si="0"/>
        <v>60512432.80999998</v>
      </c>
      <c r="V270" s="1021">
        <f t="shared" si="0"/>
        <v>60512432.80999998</v>
      </c>
    </row>
    <row r="271" spans="1:22" x14ac:dyDescent="0.25">
      <c r="A271" s="1088"/>
      <c r="B271" s="903"/>
      <c r="C271" s="903"/>
      <c r="D271" s="903"/>
      <c r="E271" s="903"/>
      <c r="F271" s="903"/>
      <c r="G271" s="903"/>
      <c r="H271" s="903"/>
      <c r="I271" s="903"/>
      <c r="J271" s="903"/>
      <c r="K271" s="903"/>
      <c r="L271" s="903"/>
      <c r="M271" s="903"/>
      <c r="N271" s="903"/>
      <c r="O271" s="903"/>
      <c r="P271" s="1021"/>
      <c r="Q271" s="1021"/>
      <c r="R271" s="1021"/>
      <c r="S271" s="1021"/>
      <c r="T271" s="1021"/>
      <c r="U271" s="1021"/>
      <c r="V271" s="1021"/>
    </row>
    <row r="273" spans="1:22" s="1029" customFormat="1" x14ac:dyDescent="0.25">
      <c r="A273" s="1088"/>
      <c r="B273" s="903"/>
      <c r="C273" s="903"/>
      <c r="D273" s="903"/>
      <c r="E273" s="903"/>
      <c r="F273" s="903"/>
      <c r="G273" s="903"/>
      <c r="H273" s="903"/>
      <c r="I273" s="903"/>
      <c r="J273" s="903"/>
      <c r="K273" s="903"/>
      <c r="L273" s="903"/>
      <c r="M273" s="903"/>
      <c r="N273" s="903"/>
      <c r="O273" s="903"/>
      <c r="P273" s="1021"/>
      <c r="Q273" s="1021"/>
      <c r="R273" s="1021"/>
      <c r="S273" s="1021"/>
      <c r="T273" s="1021"/>
      <c r="U273" s="1021"/>
      <c r="V273" s="1021"/>
    </row>
    <row r="274" spans="1:22" s="1029" customFormat="1" x14ac:dyDescent="0.25">
      <c r="A274" s="1088"/>
      <c r="B274" s="903"/>
      <c r="C274" s="903"/>
      <c r="D274" s="1123"/>
      <c r="E274" s="1123"/>
      <c r="F274" s="1123"/>
      <c r="G274" s="1123"/>
      <c r="H274" s="1123"/>
      <c r="I274" s="1123"/>
      <c r="J274" s="903"/>
      <c r="K274" s="903"/>
      <c r="L274" s="903"/>
      <c r="M274" s="903"/>
      <c r="N274" s="903"/>
      <c r="O274" s="903"/>
      <c r="P274" s="1021"/>
      <c r="Q274" s="1124"/>
      <c r="R274" s="1125"/>
      <c r="S274" s="1125"/>
      <c r="T274" s="1021"/>
      <c r="U274" s="1021"/>
      <c r="V274" s="1021"/>
    </row>
    <row r="275" spans="1:22" s="1029" customFormat="1" x14ac:dyDescent="0.25">
      <c r="A275" s="1088"/>
      <c r="B275" s="903"/>
      <c r="C275" s="903"/>
      <c r="D275" s="1538" t="s">
        <v>2208</v>
      </c>
      <c r="E275" s="1538"/>
      <c r="F275" s="1538"/>
      <c r="G275" s="1538"/>
      <c r="H275" s="1538"/>
      <c r="I275" s="1538"/>
      <c r="J275" s="903"/>
      <c r="K275" s="1529"/>
      <c r="L275" s="1529"/>
      <c r="M275" s="1529"/>
      <c r="N275" s="1529"/>
      <c r="O275" s="1529"/>
      <c r="P275" s="1021"/>
      <c r="Q275" s="1539" t="s">
        <v>2133</v>
      </c>
      <c r="R275" s="1539"/>
      <c r="S275" s="1539"/>
      <c r="T275" s="1021"/>
      <c r="U275" s="1021"/>
      <c r="V275" s="1021"/>
    </row>
    <row r="276" spans="1:22" s="1029" customFormat="1" x14ac:dyDescent="0.25">
      <c r="D276" s="1528" t="s">
        <v>2210</v>
      </c>
      <c r="E276" s="1528"/>
      <c r="F276" s="1528"/>
      <c r="G276" s="1528"/>
      <c r="H276" s="1528"/>
      <c r="I276" s="1528"/>
      <c r="K276" s="1529"/>
      <c r="L276" s="1529"/>
      <c r="M276" s="1529"/>
      <c r="N276" s="1529"/>
      <c r="O276" s="1529"/>
      <c r="P276" s="1024"/>
      <c r="Q276" s="1126" t="s">
        <v>1268</v>
      </c>
      <c r="R276" s="1126"/>
      <c r="S276" s="1126"/>
      <c r="T276" s="1021"/>
      <c r="U276" s="1021"/>
      <c r="V276" s="1024"/>
    </row>
    <row r="277" spans="1:22" s="1029" customFormat="1" x14ac:dyDescent="0.25">
      <c r="P277" s="1024"/>
      <c r="Q277" s="1024"/>
      <c r="R277" s="1024"/>
      <c r="S277" s="1024"/>
      <c r="T277" s="1024"/>
      <c r="U277" s="1024"/>
      <c r="V277" s="1024"/>
    </row>
    <row r="278" spans="1:22" s="1029" customFormat="1" x14ac:dyDescent="0.25">
      <c r="P278" s="1024"/>
      <c r="Q278" s="1024"/>
      <c r="R278" s="1024"/>
      <c r="S278" s="1024"/>
      <c r="T278" s="1024"/>
      <c r="U278" s="1024"/>
      <c r="V278" s="1024"/>
    </row>
  </sheetData>
  <mergeCells count="9">
    <mergeCell ref="D276:I276"/>
    <mergeCell ref="K276:O276"/>
    <mergeCell ref="P1:V1"/>
    <mergeCell ref="B1:H1"/>
    <mergeCell ref="I1:J1"/>
    <mergeCell ref="K1:O1"/>
    <mergeCell ref="D275:I275"/>
    <mergeCell ref="K275:O275"/>
    <mergeCell ref="Q275:S275"/>
  </mergeCells>
  <pageMargins left="0.70866141732283472" right="0.70866141732283472" top="0.74803149606299213" bottom="0.74803149606299213" header="0.31496062992125984" footer="0.31496062992125984"/>
  <pageSetup paperSize="5" scale="65" orientation="landscape" r:id="rId1"/>
  <headerFooter>
    <oddHeader>&amp;L&amp;14TELEVISORA DE HERMOSILLO, S.A. DE C.V.&amp;CANEXO C</oddHead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BreakPreview" topLeftCell="A25" zoomScale="120" zoomScaleNormal="100" zoomScaleSheetLayoutView="120" workbookViewId="0">
      <selection activeCell="D31" sqref="D31"/>
    </sheetView>
  </sheetViews>
  <sheetFormatPr baseColWidth="10" defaultRowHeight="15" x14ac:dyDescent="0.2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x14ac:dyDescent="0.25">
      <c r="A1" s="1154" t="str">
        <f>'ETCA-I-01'!$A$2:$G$2</f>
        <v>Estado de Situación Financiera</v>
      </c>
      <c r="B1" s="1155"/>
      <c r="C1" s="1155"/>
      <c r="D1" s="1155"/>
      <c r="E1" s="1155"/>
      <c r="F1" s="1156"/>
    </row>
    <row r="2" spans="1:6" x14ac:dyDescent="0.25">
      <c r="A2" s="1157" t="s">
        <v>245</v>
      </c>
      <c r="B2" s="1158"/>
      <c r="C2" s="1158"/>
      <c r="D2" s="1158"/>
      <c r="E2" s="1158"/>
      <c r="F2" s="1159"/>
    </row>
    <row r="3" spans="1:6" ht="15.75" thickBot="1" x14ac:dyDescent="0.3">
      <c r="A3" s="1160" t="str">
        <f>'ETCA-I-03'!A3:D3</f>
        <v>Del 01 de Enero al 30 de Septiembre de 2021</v>
      </c>
      <c r="B3" s="1161"/>
      <c r="C3" s="1161"/>
      <c r="D3" s="1161"/>
      <c r="E3" s="1161"/>
      <c r="F3" s="1162"/>
    </row>
    <row r="4" spans="1:6" ht="64.5" thickBot="1" x14ac:dyDescent="0.3">
      <c r="A4" s="800" t="s">
        <v>246</v>
      </c>
      <c r="B4" s="801" t="s">
        <v>247</v>
      </c>
      <c r="C4" s="801" t="s">
        <v>934</v>
      </c>
      <c r="D4" s="801" t="s">
        <v>248</v>
      </c>
      <c r="E4" s="801" t="s">
        <v>935</v>
      </c>
      <c r="F4" s="802" t="s">
        <v>249</v>
      </c>
    </row>
    <row r="5" spans="1:6" x14ac:dyDescent="0.25">
      <c r="A5" s="803"/>
      <c r="B5" s="804"/>
      <c r="C5" s="804"/>
      <c r="D5" s="804"/>
      <c r="E5" s="805"/>
      <c r="F5" s="805"/>
    </row>
    <row r="6" spans="1:6" ht="22.5" x14ac:dyDescent="0.25">
      <c r="A6" s="806" t="s">
        <v>2040</v>
      </c>
      <c r="B6" s="807">
        <f>B7+B8+B9</f>
        <v>90494826</v>
      </c>
      <c r="C6" s="808"/>
      <c r="D6" s="808"/>
      <c r="E6" s="809"/>
      <c r="F6" s="810">
        <f>SUM(B6:E6)</f>
        <v>90494826</v>
      </c>
    </row>
    <row r="7" spans="1:6" x14ac:dyDescent="0.25">
      <c r="A7" s="811" t="s">
        <v>67</v>
      </c>
      <c r="B7" s="812">
        <v>90494826</v>
      </c>
      <c r="C7" s="813"/>
      <c r="D7" s="813"/>
      <c r="E7" s="814"/>
      <c r="F7" s="810">
        <f t="shared" ref="F7:F38" si="0">SUM(B7:E7)</f>
        <v>90494826</v>
      </c>
    </row>
    <row r="8" spans="1:6" x14ac:dyDescent="0.25">
      <c r="A8" s="811" t="s">
        <v>68</v>
      </c>
      <c r="B8" s="812"/>
      <c r="C8" s="813"/>
      <c r="D8" s="813"/>
      <c r="E8" s="814"/>
      <c r="F8" s="810">
        <f t="shared" si="0"/>
        <v>0</v>
      </c>
    </row>
    <row r="9" spans="1:6" x14ac:dyDescent="0.25">
      <c r="A9" s="811" t="s">
        <v>69</v>
      </c>
      <c r="B9" s="812"/>
      <c r="C9" s="813"/>
      <c r="D9" s="813"/>
      <c r="E9" s="814"/>
      <c r="F9" s="810">
        <f t="shared" si="0"/>
        <v>0</v>
      </c>
    </row>
    <row r="10" spans="1:6" x14ac:dyDescent="0.25">
      <c r="A10" s="806"/>
      <c r="B10" s="815"/>
      <c r="C10" s="815"/>
      <c r="D10" s="815"/>
      <c r="E10" s="816"/>
      <c r="F10" s="816"/>
    </row>
    <row r="11" spans="1:6" ht="22.5" x14ac:dyDescent="0.25">
      <c r="A11" s="806" t="s">
        <v>2041</v>
      </c>
      <c r="B11" s="817"/>
      <c r="C11" s="807">
        <f>C13+C14+C15+C16</f>
        <v>-97379718</v>
      </c>
      <c r="D11" s="807">
        <f>D12</f>
        <v>-15495493</v>
      </c>
      <c r="E11" s="818"/>
      <c r="F11" s="810">
        <f t="shared" si="0"/>
        <v>-112875211</v>
      </c>
    </row>
    <row r="12" spans="1:6" x14ac:dyDescent="0.25">
      <c r="A12" s="811" t="s">
        <v>242</v>
      </c>
      <c r="B12" s="819"/>
      <c r="C12" s="819"/>
      <c r="D12" s="812">
        <v>-15495493</v>
      </c>
      <c r="E12" s="820"/>
      <c r="F12" s="810">
        <f t="shared" si="0"/>
        <v>-15495493</v>
      </c>
    </row>
    <row r="13" spans="1:6" x14ac:dyDescent="0.25">
      <c r="A13" s="811" t="s">
        <v>72</v>
      </c>
      <c r="B13" s="819"/>
      <c r="C13" s="812">
        <v>-125679037</v>
      </c>
      <c r="D13" s="819"/>
      <c r="E13" s="820"/>
      <c r="F13" s="810">
        <f t="shared" si="0"/>
        <v>-125679037</v>
      </c>
    </row>
    <row r="14" spans="1:6" x14ac:dyDescent="0.25">
      <c r="A14" s="811" t="s">
        <v>73</v>
      </c>
      <c r="B14" s="819"/>
      <c r="C14" s="812">
        <v>28299319</v>
      </c>
      <c r="D14" s="819"/>
      <c r="E14" s="820"/>
      <c r="F14" s="810">
        <f t="shared" si="0"/>
        <v>28299319</v>
      </c>
    </row>
    <row r="15" spans="1:6" x14ac:dyDescent="0.25">
      <c r="A15" s="811" t="s">
        <v>74</v>
      </c>
      <c r="B15" s="819"/>
      <c r="C15" s="812"/>
      <c r="D15" s="819"/>
      <c r="E15" s="820"/>
      <c r="F15" s="810">
        <f t="shared" si="0"/>
        <v>0</v>
      </c>
    </row>
    <row r="16" spans="1:6" x14ac:dyDescent="0.25">
      <c r="A16" s="811" t="s">
        <v>75</v>
      </c>
      <c r="B16" s="819"/>
      <c r="C16" s="812">
        <v>0</v>
      </c>
      <c r="D16" s="819"/>
      <c r="E16" s="820"/>
      <c r="F16" s="810">
        <f t="shared" si="0"/>
        <v>0</v>
      </c>
    </row>
    <row r="17" spans="1:7" x14ac:dyDescent="0.25">
      <c r="A17" s="806"/>
      <c r="B17" s="815"/>
      <c r="C17" s="815"/>
      <c r="D17" s="815"/>
      <c r="E17" s="816"/>
      <c r="F17" s="816"/>
    </row>
    <row r="18" spans="1:7" ht="38.25" customHeight="1" x14ac:dyDescent="0.25">
      <c r="A18" s="806" t="s">
        <v>2042</v>
      </c>
      <c r="B18" s="819"/>
      <c r="C18" s="819"/>
      <c r="D18" s="819"/>
      <c r="E18" s="810">
        <f>E19+E20</f>
        <v>5076300</v>
      </c>
      <c r="F18" s="810">
        <f t="shared" si="0"/>
        <v>5076300</v>
      </c>
    </row>
    <row r="19" spans="1:7" x14ac:dyDescent="0.25">
      <c r="A19" s="811" t="s">
        <v>77</v>
      </c>
      <c r="B19" s="819"/>
      <c r="C19" s="819"/>
      <c r="D19" s="819"/>
      <c r="E19" s="821"/>
      <c r="F19" s="810">
        <f t="shared" si="0"/>
        <v>0</v>
      </c>
    </row>
    <row r="20" spans="1:7" x14ac:dyDescent="0.25">
      <c r="A20" s="811" t="s">
        <v>78</v>
      </c>
      <c r="B20" s="819"/>
      <c r="C20" s="819"/>
      <c r="D20" s="819"/>
      <c r="E20" s="821">
        <v>5076300</v>
      </c>
      <c r="F20" s="810">
        <f t="shared" si="0"/>
        <v>5076300</v>
      </c>
    </row>
    <row r="21" spans="1:7" x14ac:dyDescent="0.25">
      <c r="A21" s="811"/>
      <c r="B21" s="822"/>
      <c r="C21" s="822"/>
      <c r="D21" s="822"/>
      <c r="E21" s="823"/>
      <c r="F21" s="823"/>
    </row>
    <row r="22" spans="1:7" ht="28.5" customHeight="1" x14ac:dyDescent="0.25">
      <c r="A22" s="831" t="s">
        <v>1044</v>
      </c>
      <c r="B22" s="807">
        <f>B6</f>
        <v>90494826</v>
      </c>
      <c r="C22" s="807">
        <f>C11</f>
        <v>-97379718</v>
      </c>
      <c r="D22" s="807">
        <f>D11</f>
        <v>-15495493</v>
      </c>
      <c r="E22" s="810">
        <f>E18</f>
        <v>5076300</v>
      </c>
      <c r="F22" s="810">
        <f>SUM(B22:E22)-1</f>
        <v>-17304086</v>
      </c>
      <c r="G22" t="str">
        <f>IF((F22-'ETCA-I-01'!G48)&gt;0.99,"ERROR: DEBERÁ SER IGUAL QUE TOTAL HACIENDA PÚBLICA/PATRIMONIO DEL FORMATO ETCA-I-01","")</f>
        <v/>
      </c>
    </row>
    <row r="23" spans="1:7" x14ac:dyDescent="0.25">
      <c r="A23" s="806"/>
      <c r="B23" s="815"/>
      <c r="C23" s="815"/>
      <c r="D23" s="815"/>
      <c r="E23" s="816"/>
      <c r="F23" s="816"/>
    </row>
    <row r="24" spans="1:7" ht="22.5" x14ac:dyDescent="0.25">
      <c r="A24" s="806" t="s">
        <v>2043</v>
      </c>
      <c r="B24" s="807">
        <f>B25+B26+B27</f>
        <v>15000000</v>
      </c>
      <c r="C24" s="817"/>
      <c r="D24" s="817"/>
      <c r="E24" s="818"/>
      <c r="F24" s="810">
        <f t="shared" si="0"/>
        <v>15000000</v>
      </c>
    </row>
    <row r="25" spans="1:7" x14ac:dyDescent="0.25">
      <c r="A25" s="811" t="s">
        <v>67</v>
      </c>
      <c r="B25" s="812">
        <v>15000000</v>
      </c>
      <c r="C25" s="819"/>
      <c r="D25" s="819"/>
      <c r="E25" s="820"/>
      <c r="F25" s="810">
        <f t="shared" si="0"/>
        <v>15000000</v>
      </c>
    </row>
    <row r="26" spans="1:7" x14ac:dyDescent="0.25">
      <c r="A26" s="811" t="s">
        <v>68</v>
      </c>
      <c r="B26" s="812"/>
      <c r="C26" s="819"/>
      <c r="D26" s="819"/>
      <c r="E26" s="820"/>
      <c r="F26" s="810">
        <f t="shared" si="0"/>
        <v>0</v>
      </c>
    </row>
    <row r="27" spans="1:7" x14ac:dyDescent="0.25">
      <c r="A27" s="811" t="s">
        <v>69</v>
      </c>
      <c r="B27" s="812"/>
      <c r="C27" s="819"/>
      <c r="D27" s="819"/>
      <c r="E27" s="820"/>
      <c r="F27" s="810">
        <f t="shared" si="0"/>
        <v>0</v>
      </c>
    </row>
    <row r="28" spans="1:7" x14ac:dyDescent="0.25">
      <c r="A28" s="806"/>
      <c r="B28" s="815"/>
      <c r="C28" s="815"/>
      <c r="D28" s="815"/>
      <c r="E28" s="816"/>
      <c r="F28" s="816"/>
    </row>
    <row r="29" spans="1:7" ht="22.5" x14ac:dyDescent="0.25">
      <c r="A29" s="806" t="s">
        <v>2044</v>
      </c>
      <c r="B29" s="817"/>
      <c r="C29" s="807">
        <f>C31</f>
        <v>-15495493</v>
      </c>
      <c r="D29" s="807">
        <f>D30+D31+D32+D33+D34</f>
        <v>-27052127</v>
      </c>
      <c r="E29" s="818"/>
      <c r="F29" s="810">
        <f t="shared" si="0"/>
        <v>-42547620</v>
      </c>
    </row>
    <row r="30" spans="1:7" x14ac:dyDescent="0.25">
      <c r="A30" s="811" t="s">
        <v>242</v>
      </c>
      <c r="B30" s="819"/>
      <c r="C30" s="819"/>
      <c r="D30" s="812">
        <v>-52212960</v>
      </c>
      <c r="E30" s="820"/>
      <c r="F30" s="810">
        <f t="shared" si="0"/>
        <v>-52212960</v>
      </c>
    </row>
    <row r="31" spans="1:7" x14ac:dyDescent="0.25">
      <c r="A31" s="811" t="s">
        <v>72</v>
      </c>
      <c r="B31" s="819"/>
      <c r="C31" s="812">
        <v>-15495493</v>
      </c>
      <c r="D31" s="812">
        <v>15495493</v>
      </c>
      <c r="E31" s="820"/>
      <c r="F31" s="810">
        <f t="shared" si="0"/>
        <v>0</v>
      </c>
    </row>
    <row r="32" spans="1:7" x14ac:dyDescent="0.25">
      <c r="A32" s="811" t="s">
        <v>73</v>
      </c>
      <c r="B32" s="819"/>
      <c r="C32" s="819"/>
      <c r="D32" s="812"/>
      <c r="E32" s="820"/>
      <c r="F32" s="810">
        <f t="shared" si="0"/>
        <v>0</v>
      </c>
    </row>
    <row r="33" spans="1:7" x14ac:dyDescent="0.25">
      <c r="A33" s="811" t="s">
        <v>74</v>
      </c>
      <c r="B33" s="819"/>
      <c r="C33" s="819"/>
      <c r="D33" s="812"/>
      <c r="E33" s="820"/>
      <c r="F33" s="810">
        <f t="shared" si="0"/>
        <v>0</v>
      </c>
    </row>
    <row r="34" spans="1:7" x14ac:dyDescent="0.25">
      <c r="A34" s="811" t="s">
        <v>75</v>
      </c>
      <c r="B34" s="817"/>
      <c r="C34" s="817"/>
      <c r="D34" s="812">
        <v>9665340</v>
      </c>
      <c r="E34" s="818"/>
      <c r="F34" s="810">
        <f t="shared" si="0"/>
        <v>9665340</v>
      </c>
    </row>
    <row r="35" spans="1:7" x14ac:dyDescent="0.25">
      <c r="A35" s="811"/>
      <c r="B35" s="822"/>
      <c r="C35" s="822"/>
      <c r="D35" s="822"/>
      <c r="E35" s="823"/>
      <c r="F35" s="823"/>
    </row>
    <row r="36" spans="1:7" ht="33.75" x14ac:dyDescent="0.25">
      <c r="A36" s="806" t="s">
        <v>2045</v>
      </c>
      <c r="B36" s="819"/>
      <c r="C36" s="819"/>
      <c r="D36" s="819"/>
      <c r="E36" s="810">
        <f>E37+E38</f>
        <v>0</v>
      </c>
      <c r="F36" s="810">
        <f t="shared" si="0"/>
        <v>0</v>
      </c>
    </row>
    <row r="37" spans="1:7" x14ac:dyDescent="0.25">
      <c r="A37" s="811" t="s">
        <v>77</v>
      </c>
      <c r="B37" s="819"/>
      <c r="C37" s="819"/>
      <c r="D37" s="819"/>
      <c r="E37" s="821"/>
      <c r="F37" s="810">
        <f t="shared" si="0"/>
        <v>0</v>
      </c>
    </row>
    <row r="38" spans="1:7" x14ac:dyDescent="0.25">
      <c r="A38" s="811" t="s">
        <v>78</v>
      </c>
      <c r="B38" s="817"/>
      <c r="C38" s="817"/>
      <c r="D38" s="817"/>
      <c r="E38" s="821"/>
      <c r="F38" s="810">
        <f t="shared" si="0"/>
        <v>0</v>
      </c>
    </row>
    <row r="39" spans="1:7" ht="15.75" thickBot="1" x14ac:dyDescent="0.3">
      <c r="A39" s="824"/>
      <c r="B39" s="825"/>
      <c r="C39" s="825"/>
      <c r="D39" s="825"/>
      <c r="E39" s="826"/>
      <c r="F39" s="826"/>
    </row>
    <row r="40" spans="1:7" ht="20.25" customHeight="1" thickBot="1" x14ac:dyDescent="0.3">
      <c r="A40" s="830" t="s">
        <v>2046</v>
      </c>
      <c r="B40" s="827">
        <f>B22+B24</f>
        <v>105494826</v>
      </c>
      <c r="C40" s="827">
        <f>C22+C29-1</f>
        <v>-112875212</v>
      </c>
      <c r="D40" s="827">
        <f>D22+D29</f>
        <v>-42547620</v>
      </c>
      <c r="E40" s="828">
        <f>E22+E36</f>
        <v>5076300</v>
      </c>
      <c r="F40" s="828">
        <f>SUM(B40:E40)</f>
        <v>-44851706</v>
      </c>
      <c r="G40" t="str">
        <f>IF((F40-'ETCA-I-01'!F48)&gt;0.99,"ERROR: DEBERÁ SER IGUAL QUE TOTAL HACIENDA PÚBLICA/PATRIMONIO DEL FORMATO ETCA-I-01","")</f>
        <v/>
      </c>
    </row>
    <row r="41" spans="1:7" x14ac:dyDescent="0.25">
      <c r="A41" s="829"/>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7"/>
  <sheetViews>
    <sheetView view="pageBreakPreview" topLeftCell="A4" zoomScale="110" zoomScaleNormal="100" zoomScaleSheetLayoutView="110" workbookViewId="0">
      <selection activeCell="C53" sqref="C53"/>
    </sheetView>
  </sheetViews>
  <sheetFormatPr baseColWidth="10" defaultColWidth="11.28515625" defaultRowHeight="16.5" x14ac:dyDescent="0.3"/>
  <cols>
    <col min="1" max="1" width="80.85546875" style="118" bestFit="1" customWidth="1"/>
    <col min="2" max="3" width="17" style="118" customWidth="1"/>
    <col min="4" max="5" width="11.28515625" style="118"/>
    <col min="6" max="6" width="11.28515625" style="118" customWidth="1"/>
    <col min="7" max="16384" width="11.28515625" style="118"/>
  </cols>
  <sheetData>
    <row r="1" spans="1:4" x14ac:dyDescent="0.3">
      <c r="A1" s="1146" t="str">
        <f>'ETCA-I-01'!A1:G1</f>
        <v>TELEVISORA DE HERMOSILLO, S.A. DE C.V.</v>
      </c>
      <c r="B1" s="1146"/>
      <c r="C1" s="1146"/>
    </row>
    <row r="2" spans="1:4" s="101" customFormat="1" ht="15.75" x14ac:dyDescent="0.25">
      <c r="A2" s="1144" t="s">
        <v>3</v>
      </c>
      <c r="B2" s="1144"/>
      <c r="C2" s="1144"/>
    </row>
    <row r="3" spans="1:4" s="101" customFormat="1" ht="17.25" thickBot="1" x14ac:dyDescent="0.3">
      <c r="A3" s="1163" t="str">
        <f>'ETCA-I-03'!A3:D3</f>
        <v>Del 01 de Enero al 30 de Septiembre de 2021</v>
      </c>
      <c r="B3" s="1163"/>
      <c r="C3" s="1163"/>
    </row>
    <row r="4" spans="1:4" ht="30" customHeight="1" thickBot="1" x14ac:dyDescent="0.35">
      <c r="A4" s="120"/>
      <c r="B4" s="121" t="s">
        <v>250</v>
      </c>
      <c r="C4" s="122" t="s">
        <v>251</v>
      </c>
    </row>
    <row r="5" spans="1:4" ht="17.25" thickTop="1" x14ac:dyDescent="0.3">
      <c r="A5" s="513" t="s">
        <v>252</v>
      </c>
      <c r="B5" s="514">
        <f>B6+B15</f>
        <v>5914478</v>
      </c>
      <c r="C5" s="515">
        <f>C6+C15+1</f>
        <v>7160100</v>
      </c>
    </row>
    <row r="6" spans="1:4" x14ac:dyDescent="0.3">
      <c r="A6" s="516" t="s">
        <v>25</v>
      </c>
      <c r="B6" s="517">
        <f>SUM(B7:B13)</f>
        <v>300212</v>
      </c>
      <c r="C6" s="518">
        <f>SUM(C7:C13)</f>
        <v>945076</v>
      </c>
    </row>
    <row r="7" spans="1:4" s="119" customFormat="1" ht="13.5" x14ac:dyDescent="0.25">
      <c r="A7" s="519" t="s">
        <v>27</v>
      </c>
      <c r="B7" s="520" t="s">
        <v>244</v>
      </c>
      <c r="C7" s="521">
        <v>945076</v>
      </c>
      <c r="D7" s="413"/>
    </row>
    <row r="8" spans="1:4" s="119" customFormat="1" ht="13.5" x14ac:dyDescent="0.25">
      <c r="A8" s="519" t="s">
        <v>29</v>
      </c>
      <c r="B8" s="520">
        <v>292056</v>
      </c>
      <c r="C8" s="521" t="s">
        <v>244</v>
      </c>
    </row>
    <row r="9" spans="1:4" s="119" customFormat="1" ht="13.5" x14ac:dyDescent="0.25">
      <c r="A9" s="519" t="s">
        <v>31</v>
      </c>
      <c r="B9" s="520">
        <v>0</v>
      </c>
      <c r="C9" s="521" t="s">
        <v>244</v>
      </c>
    </row>
    <row r="10" spans="1:4" s="119" customFormat="1" ht="13.5" x14ac:dyDescent="0.25">
      <c r="A10" s="519" t="s">
        <v>253</v>
      </c>
      <c r="B10" s="520">
        <v>0</v>
      </c>
      <c r="C10" s="521"/>
    </row>
    <row r="11" spans="1:4" s="119" customFormat="1" ht="13.5" x14ac:dyDescent="0.25">
      <c r="A11" s="519" t="s">
        <v>35</v>
      </c>
      <c r="B11" s="520">
        <v>0</v>
      </c>
      <c r="C11" s="521"/>
    </row>
    <row r="12" spans="1:4" s="119" customFormat="1" ht="13.5" x14ac:dyDescent="0.25">
      <c r="A12" s="519" t="s">
        <v>37</v>
      </c>
      <c r="B12" s="520">
        <v>8156</v>
      </c>
      <c r="C12" s="521" t="s">
        <v>244</v>
      </c>
    </row>
    <row r="13" spans="1:4" s="119" customFormat="1" ht="13.5" x14ac:dyDescent="0.25">
      <c r="A13" s="519" t="s">
        <v>39</v>
      </c>
      <c r="B13" s="520">
        <v>0</v>
      </c>
      <c r="C13" s="521"/>
    </row>
    <row r="14" spans="1:4" ht="5.25" customHeight="1" x14ac:dyDescent="0.3">
      <c r="A14" s="513"/>
      <c r="B14" s="522"/>
      <c r="C14" s="523"/>
    </row>
    <row r="15" spans="1:4" x14ac:dyDescent="0.3">
      <c r="A15" s="516" t="s">
        <v>44</v>
      </c>
      <c r="B15" s="517">
        <f>SUM(B16:B24)</f>
        <v>5614266</v>
      </c>
      <c r="C15" s="518">
        <f>SUM(C16:C24)</f>
        <v>6215023</v>
      </c>
    </row>
    <row r="16" spans="1:4" s="119" customFormat="1" ht="13.5" x14ac:dyDescent="0.25">
      <c r="A16" s="519" t="s">
        <v>46</v>
      </c>
      <c r="B16" s="520">
        <v>0</v>
      </c>
      <c r="C16" s="521"/>
    </row>
    <row r="17" spans="1:3" s="119" customFormat="1" ht="13.5" x14ac:dyDescent="0.25">
      <c r="A17" s="519" t="s">
        <v>48</v>
      </c>
      <c r="B17" s="520">
        <v>0</v>
      </c>
      <c r="C17" s="521"/>
    </row>
    <row r="18" spans="1:3" s="119" customFormat="1" ht="13.5" x14ac:dyDescent="0.25">
      <c r="A18" s="519" t="s">
        <v>50</v>
      </c>
      <c r="B18" s="520">
        <v>0</v>
      </c>
      <c r="C18" s="521"/>
    </row>
    <row r="19" spans="1:3" s="119" customFormat="1" ht="13.5" x14ac:dyDescent="0.25">
      <c r="A19" s="519" t="s">
        <v>52</v>
      </c>
      <c r="B19" s="520">
        <v>0</v>
      </c>
      <c r="C19" s="521" t="s">
        <v>244</v>
      </c>
    </row>
    <row r="20" spans="1:3" s="119" customFormat="1" ht="13.5" x14ac:dyDescent="0.25">
      <c r="A20" s="519" t="s">
        <v>54</v>
      </c>
      <c r="B20" s="520">
        <v>0</v>
      </c>
      <c r="C20" s="521"/>
    </row>
    <row r="21" spans="1:3" s="119" customFormat="1" ht="13.5" x14ac:dyDescent="0.25">
      <c r="A21" s="519" t="s">
        <v>56</v>
      </c>
      <c r="B21" s="520">
        <v>5614266</v>
      </c>
      <c r="C21" s="521" t="s">
        <v>244</v>
      </c>
    </row>
    <row r="22" spans="1:3" s="119" customFormat="1" ht="13.5" x14ac:dyDescent="0.25">
      <c r="A22" s="519" t="s">
        <v>58</v>
      </c>
      <c r="B22" s="520" t="s">
        <v>244</v>
      </c>
      <c r="C22" s="521">
        <v>6139835</v>
      </c>
    </row>
    <row r="23" spans="1:3" s="119" customFormat="1" ht="13.5" x14ac:dyDescent="0.25">
      <c r="A23" s="519" t="s">
        <v>59</v>
      </c>
      <c r="B23" s="520" t="s">
        <v>244</v>
      </c>
      <c r="C23" s="521">
        <v>75188</v>
      </c>
    </row>
    <row r="24" spans="1:3" s="119" customFormat="1" ht="13.5" x14ac:dyDescent="0.25">
      <c r="A24" s="519" t="s">
        <v>60</v>
      </c>
      <c r="B24" s="520">
        <v>0</v>
      </c>
      <c r="C24" s="521"/>
    </row>
    <row r="25" spans="1:3" ht="6.75" customHeight="1" x14ac:dyDescent="0.3">
      <c r="A25" s="524"/>
      <c r="B25" s="522"/>
      <c r="C25" s="523"/>
    </row>
    <row r="26" spans="1:3" x14ac:dyDescent="0.3">
      <c r="A26" s="513" t="s">
        <v>254</v>
      </c>
      <c r="B26" s="514">
        <f>B27+B37</f>
        <v>40678344</v>
      </c>
      <c r="C26" s="515">
        <f>C27+C37</f>
        <v>11885102</v>
      </c>
    </row>
    <row r="27" spans="1:3" x14ac:dyDescent="0.3">
      <c r="A27" s="516" t="s">
        <v>26</v>
      </c>
      <c r="B27" s="517">
        <f>SUM(B28:B35)</f>
        <v>40678344</v>
      </c>
      <c r="C27" s="518">
        <f>SUM(C28:C35)</f>
        <v>1885118</v>
      </c>
    </row>
    <row r="28" spans="1:3" s="119" customFormat="1" ht="13.5" x14ac:dyDescent="0.25">
      <c r="A28" s="519" t="s">
        <v>28</v>
      </c>
      <c r="B28" s="520">
        <v>38178348</v>
      </c>
      <c r="C28" s="521"/>
    </row>
    <row r="29" spans="1:3" s="119" customFormat="1" ht="13.5" x14ac:dyDescent="0.25">
      <c r="A29" s="519" t="s">
        <v>30</v>
      </c>
      <c r="B29" s="520" t="s">
        <v>244</v>
      </c>
      <c r="C29" s="521">
        <v>1885118</v>
      </c>
    </row>
    <row r="30" spans="1:3" s="119" customFormat="1" ht="13.5" x14ac:dyDescent="0.25">
      <c r="A30" s="519" t="s">
        <v>32</v>
      </c>
      <c r="B30" s="520">
        <v>2499996</v>
      </c>
      <c r="C30" s="521" t="s">
        <v>244</v>
      </c>
    </row>
    <row r="31" spans="1:3" s="119" customFormat="1" ht="13.5" x14ac:dyDescent="0.25">
      <c r="A31" s="519" t="s">
        <v>34</v>
      </c>
      <c r="B31" s="520">
        <v>0</v>
      </c>
      <c r="C31" s="521"/>
    </row>
    <row r="32" spans="1:3" s="119" customFormat="1" ht="13.5" x14ac:dyDescent="0.25">
      <c r="A32" s="519" t="s">
        <v>36</v>
      </c>
      <c r="B32" s="520">
        <v>0</v>
      </c>
      <c r="C32" s="521"/>
    </row>
    <row r="33" spans="1:3" s="119" customFormat="1" ht="13.5" x14ac:dyDescent="0.25">
      <c r="A33" s="519" t="s">
        <v>38</v>
      </c>
      <c r="B33" s="520">
        <v>0</v>
      </c>
      <c r="C33" s="521"/>
    </row>
    <row r="34" spans="1:3" s="119" customFormat="1" ht="13.5" x14ac:dyDescent="0.25">
      <c r="A34" s="519" t="s">
        <v>40</v>
      </c>
      <c r="B34" s="520">
        <v>0</v>
      </c>
      <c r="C34" s="521" t="s">
        <v>244</v>
      </c>
    </row>
    <row r="35" spans="1:3" s="119" customFormat="1" ht="13.5" x14ac:dyDescent="0.25">
      <c r="A35" s="519" t="s">
        <v>41</v>
      </c>
      <c r="B35" s="520">
        <v>0</v>
      </c>
      <c r="C35" s="521"/>
    </row>
    <row r="36" spans="1:3" ht="6" customHeight="1" x14ac:dyDescent="0.3">
      <c r="A36" s="513"/>
      <c r="B36" s="525"/>
      <c r="C36" s="526"/>
    </row>
    <row r="37" spans="1:3" x14ac:dyDescent="0.3">
      <c r="A37" s="516" t="s">
        <v>45</v>
      </c>
      <c r="B37" s="517">
        <f>SUM(B38:B43)</f>
        <v>0</v>
      </c>
      <c r="C37" s="518">
        <f>SUM(C38:C43)</f>
        <v>9999984</v>
      </c>
    </row>
    <row r="38" spans="1:3" s="119" customFormat="1" ht="13.5" x14ac:dyDescent="0.25">
      <c r="A38" s="519" t="s">
        <v>47</v>
      </c>
      <c r="B38" s="520">
        <v>0</v>
      </c>
      <c r="C38" s="521"/>
    </row>
    <row r="39" spans="1:3" s="119" customFormat="1" ht="13.5" x14ac:dyDescent="0.25">
      <c r="A39" s="519" t="s">
        <v>49</v>
      </c>
      <c r="B39" s="520">
        <v>0</v>
      </c>
      <c r="C39" s="521"/>
    </row>
    <row r="40" spans="1:3" s="119" customFormat="1" ht="13.5" x14ac:dyDescent="0.25">
      <c r="A40" s="519" t="s">
        <v>51</v>
      </c>
      <c r="B40" s="520" t="s">
        <v>244</v>
      </c>
      <c r="C40" s="521">
        <v>9999984</v>
      </c>
    </row>
    <row r="41" spans="1:3" s="119" customFormat="1" ht="13.5" x14ac:dyDescent="0.25">
      <c r="A41" s="519" t="s">
        <v>53</v>
      </c>
      <c r="B41" s="520">
        <v>0</v>
      </c>
      <c r="C41" s="521"/>
    </row>
    <row r="42" spans="1:3" s="119" customFormat="1" ht="13.5" x14ac:dyDescent="0.25">
      <c r="A42" s="519" t="s">
        <v>55</v>
      </c>
      <c r="B42" s="520">
        <v>0</v>
      </c>
      <c r="C42" s="521"/>
    </row>
    <row r="43" spans="1:3" s="119" customFormat="1" ht="13.5" x14ac:dyDescent="0.25">
      <c r="A43" s="519" t="s">
        <v>57</v>
      </c>
      <c r="B43" s="520">
        <v>0</v>
      </c>
      <c r="C43" s="521"/>
    </row>
    <row r="44" spans="1:3" x14ac:dyDescent="0.3">
      <c r="A44" s="527"/>
      <c r="B44" s="522"/>
      <c r="C44" s="523"/>
    </row>
    <row r="45" spans="1:3" x14ac:dyDescent="0.3">
      <c r="A45" s="513" t="s">
        <v>255</v>
      </c>
      <c r="B45" s="514">
        <f>B46+B51</f>
        <v>24665340</v>
      </c>
      <c r="C45" s="515">
        <f>C46+C51</f>
        <v>52212960</v>
      </c>
    </row>
    <row r="46" spans="1:3" x14ac:dyDescent="0.3">
      <c r="A46" s="516" t="s">
        <v>66</v>
      </c>
      <c r="B46" s="517">
        <f>SUM(B47:B49)</f>
        <v>15000000</v>
      </c>
      <c r="C46" s="518">
        <f>SUM(C47:C49)</f>
        <v>0</v>
      </c>
    </row>
    <row r="47" spans="1:3" s="119" customFormat="1" ht="13.5" x14ac:dyDescent="0.25">
      <c r="A47" s="519" t="s">
        <v>67</v>
      </c>
      <c r="B47" s="520">
        <v>15000000</v>
      </c>
      <c r="C47" s="521"/>
    </row>
    <row r="48" spans="1:3" s="119" customFormat="1" ht="13.5" x14ac:dyDescent="0.25">
      <c r="A48" s="519" t="s">
        <v>68</v>
      </c>
      <c r="B48" s="520">
        <v>0</v>
      </c>
      <c r="C48" s="521"/>
    </row>
    <row r="49" spans="1:3" s="119" customFormat="1" ht="13.5" x14ac:dyDescent="0.25">
      <c r="A49" s="519" t="s">
        <v>69</v>
      </c>
      <c r="B49" s="520">
        <v>0</v>
      </c>
      <c r="C49" s="521"/>
    </row>
    <row r="50" spans="1:3" ht="6" customHeight="1" x14ac:dyDescent="0.3">
      <c r="A50" s="516"/>
      <c r="B50" s="525"/>
      <c r="C50" s="526"/>
    </row>
    <row r="51" spans="1:3" ht="15.75" customHeight="1" x14ac:dyDescent="0.3">
      <c r="A51" s="516" t="s">
        <v>70</v>
      </c>
      <c r="B51" s="517">
        <f>SUM(B52:B56)</f>
        <v>9665340</v>
      </c>
      <c r="C51" s="518">
        <f>SUM(C52:C56)</f>
        <v>52212960</v>
      </c>
    </row>
    <row r="52" spans="1:3" s="119" customFormat="1" ht="13.5" x14ac:dyDescent="0.25">
      <c r="A52" s="519" t="s">
        <v>71</v>
      </c>
      <c r="B52" s="520" t="s">
        <v>244</v>
      </c>
      <c r="C52" s="521">
        <v>36717467</v>
      </c>
    </row>
    <row r="53" spans="1:3" s="119" customFormat="1" ht="13.5" x14ac:dyDescent="0.25">
      <c r="A53" s="519" t="s">
        <v>72</v>
      </c>
      <c r="B53" s="520"/>
      <c r="C53" s="521">
        <v>15495493</v>
      </c>
    </row>
    <row r="54" spans="1:3" s="119" customFormat="1" ht="13.5" x14ac:dyDescent="0.25">
      <c r="A54" s="519" t="s">
        <v>73</v>
      </c>
      <c r="B54" s="520"/>
      <c r="C54" s="521">
        <v>0</v>
      </c>
    </row>
    <row r="55" spans="1:3" s="119" customFormat="1" ht="13.5" x14ac:dyDescent="0.25">
      <c r="A55" s="519" t="s">
        <v>74</v>
      </c>
      <c r="B55" s="520"/>
      <c r="C55" s="521">
        <v>0</v>
      </c>
    </row>
    <row r="56" spans="1:3" s="119" customFormat="1" ht="13.5" x14ac:dyDescent="0.25">
      <c r="A56" s="519" t="s">
        <v>75</v>
      </c>
      <c r="B56" s="520">
        <v>9665340</v>
      </c>
      <c r="C56" s="521" t="s">
        <v>244</v>
      </c>
    </row>
    <row r="57" spans="1:3" ht="7.5" customHeight="1" x14ac:dyDescent="0.3">
      <c r="A57" s="516"/>
      <c r="B57" s="522"/>
      <c r="C57" s="523"/>
    </row>
    <row r="58" spans="1:3" x14ac:dyDescent="0.3">
      <c r="A58" s="516" t="s">
        <v>256</v>
      </c>
      <c r="B58" s="517">
        <f>SUM(B59:B60)</f>
        <v>0</v>
      </c>
      <c r="C58" s="518">
        <f>SUM(C59:C60)</f>
        <v>0</v>
      </c>
    </row>
    <row r="59" spans="1:3" s="119" customFormat="1" ht="13.5" x14ac:dyDescent="0.25">
      <c r="A59" s="519" t="s">
        <v>77</v>
      </c>
      <c r="B59" s="520"/>
      <c r="C59" s="521"/>
    </row>
    <row r="60" spans="1:3" s="119" customFormat="1" ht="14.25" thickBot="1" x14ac:dyDescent="0.3">
      <c r="A60" s="528" t="s">
        <v>78</v>
      </c>
      <c r="B60" s="529"/>
      <c r="C60" s="530"/>
    </row>
    <row r="61" spans="1:3" s="119" customFormat="1" ht="13.5" x14ac:dyDescent="0.25">
      <c r="A61" s="412" t="s">
        <v>243</v>
      </c>
      <c r="B61" s="520"/>
      <c r="C61" s="520"/>
    </row>
    <row r="62" spans="1:3" s="119" customFormat="1" ht="13.5" x14ac:dyDescent="0.25">
      <c r="A62" s="412"/>
      <c r="B62" s="520"/>
      <c r="C62" s="520"/>
    </row>
    <row r="63" spans="1:3" s="119" customFormat="1" ht="13.5" x14ac:dyDescent="0.25">
      <c r="A63" s="412"/>
      <c r="B63" s="520"/>
      <c r="C63" s="520"/>
    </row>
    <row r="64" spans="1:3" s="119" customFormat="1" ht="13.5" x14ac:dyDescent="0.25">
      <c r="A64" s="531"/>
      <c r="B64" s="520"/>
      <c r="C64" s="520"/>
    </row>
    <row r="65" spans="1:3" s="119" customFormat="1" ht="13.5" x14ac:dyDescent="0.25">
      <c r="A65" s="531" t="s">
        <v>244</v>
      </c>
      <c r="B65" s="520"/>
      <c r="C65" s="520"/>
    </row>
    <row r="66" spans="1:3" s="119" customFormat="1" ht="13.5" x14ac:dyDescent="0.25">
      <c r="A66" s="531" t="s">
        <v>244</v>
      </c>
      <c r="B66" s="520"/>
      <c r="C66" s="520"/>
    </row>
    <row r="67" spans="1:3" x14ac:dyDescent="0.3">
      <c r="A67" s="412" t="s">
        <v>244</v>
      </c>
      <c r="B67" s="532"/>
      <c r="C67" s="532"/>
    </row>
  </sheetData>
  <sheetProtection formatColumns="0" formatRows="0"/>
  <mergeCells count="3">
    <mergeCell ref="A1:C1"/>
    <mergeCell ref="A2:C2"/>
    <mergeCell ref="A3:C3"/>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tabColor rgb="FFFFFF00"/>
    <pageSetUpPr fitToPage="1"/>
  </sheetPr>
  <dimension ref="A1:E70"/>
  <sheetViews>
    <sheetView view="pageBreakPreview" topLeftCell="A31" zoomScale="120" zoomScaleNormal="100" zoomScaleSheetLayoutView="120" workbookViewId="0">
      <selection activeCell="C18" sqref="C18"/>
    </sheetView>
  </sheetViews>
  <sheetFormatPr baseColWidth="10" defaultColWidth="11.28515625" defaultRowHeight="16.5" x14ac:dyDescent="0.3"/>
  <cols>
    <col min="1" max="1" width="1.5703125" style="48" customWidth="1"/>
    <col min="2" max="2" width="70.85546875" style="48" customWidth="1"/>
    <col min="3" max="4" width="12.7109375" style="48" customWidth="1"/>
    <col min="5" max="16384" width="11.28515625" style="48"/>
  </cols>
  <sheetData>
    <row r="1" spans="1:4" x14ac:dyDescent="0.3">
      <c r="A1" s="1146" t="str">
        <f>'ETCA-I-01'!A1</f>
        <v>TELEVISORA DE HERMOSILLO, S.A. DE C.V.</v>
      </c>
      <c r="B1" s="1146"/>
      <c r="C1" s="1146"/>
      <c r="D1" s="1146"/>
    </row>
    <row r="2" spans="1:4" x14ac:dyDescent="0.3">
      <c r="A2" s="1144" t="s">
        <v>4</v>
      </c>
      <c r="B2" s="1144"/>
      <c r="C2" s="1144"/>
      <c r="D2" s="1144"/>
    </row>
    <row r="3" spans="1:4" x14ac:dyDescent="0.3">
      <c r="A3" s="1163" t="str">
        <f>'ETCA-I-01'!A3:G3</f>
        <v>Al 30 de Septiembre de 2021</v>
      </c>
      <c r="B3" s="1163"/>
      <c r="C3" s="1163"/>
      <c r="D3" s="1163"/>
    </row>
    <row r="4" spans="1:4" ht="17.25" thickBot="1" x14ac:dyDescent="0.35">
      <c r="A4" s="1166" t="s">
        <v>1028</v>
      </c>
      <c r="B4" s="1166"/>
      <c r="C4" s="49"/>
      <c r="D4" s="47"/>
    </row>
    <row r="5" spans="1:4" ht="23.25" customHeight="1" thickBot="1" x14ac:dyDescent="0.35">
      <c r="A5" s="1167" t="s">
        <v>246</v>
      </c>
      <c r="B5" s="1168"/>
      <c r="C5" s="148">
        <v>2021</v>
      </c>
      <c r="D5" s="973">
        <v>2020</v>
      </c>
    </row>
    <row r="6" spans="1:4" s="123" customFormat="1" ht="12" customHeight="1" thickTop="1" x14ac:dyDescent="0.25">
      <c r="A6" s="1164" t="s">
        <v>257</v>
      </c>
      <c r="B6" s="1165"/>
      <c r="C6" s="1165"/>
      <c r="D6" s="974"/>
    </row>
    <row r="7" spans="1:4" s="123" customFormat="1" ht="12.75" customHeight="1" x14ac:dyDescent="0.25">
      <c r="A7" s="124"/>
      <c r="B7" s="125" t="s">
        <v>250</v>
      </c>
      <c r="C7" s="140">
        <f>SUM(C8:C17)-1</f>
        <v>61457509</v>
      </c>
      <c r="D7" s="975">
        <f>SUM(D8:D17)+1</f>
        <v>59679334</v>
      </c>
    </row>
    <row r="8" spans="1:4" s="127" customFormat="1" ht="11.1" customHeight="1" x14ac:dyDescent="0.25">
      <c r="A8" s="126"/>
      <c r="B8" s="138" t="s">
        <v>198</v>
      </c>
      <c r="C8" s="141">
        <v>0</v>
      </c>
      <c r="D8" s="976">
        <v>0</v>
      </c>
    </row>
    <row r="9" spans="1:4" s="127" customFormat="1" ht="11.1" customHeight="1" x14ac:dyDescent="0.25">
      <c r="A9" s="126"/>
      <c r="B9" s="138" t="s">
        <v>199</v>
      </c>
      <c r="C9" s="141">
        <v>0</v>
      </c>
      <c r="D9" s="976">
        <v>0</v>
      </c>
    </row>
    <row r="10" spans="1:4" s="127" customFormat="1" ht="11.1" customHeight="1" x14ac:dyDescent="0.25">
      <c r="A10" s="126"/>
      <c r="B10" s="138" t="s">
        <v>258</v>
      </c>
      <c r="C10" s="141">
        <v>0</v>
      </c>
      <c r="D10" s="976">
        <v>0</v>
      </c>
    </row>
    <row r="11" spans="1:4" s="127" customFormat="1" ht="11.1" customHeight="1" x14ac:dyDescent="0.25">
      <c r="A11" s="126"/>
      <c r="B11" s="138" t="s">
        <v>201</v>
      </c>
      <c r="C11" s="141">
        <v>0</v>
      </c>
      <c r="D11" s="976">
        <v>0</v>
      </c>
    </row>
    <row r="12" spans="1:4" s="127" customFormat="1" ht="11.1" customHeight="1" x14ac:dyDescent="0.25">
      <c r="A12" s="126"/>
      <c r="B12" s="138" t="s">
        <v>419</v>
      </c>
      <c r="C12" s="141">
        <v>984</v>
      </c>
      <c r="D12" s="976">
        <v>7163</v>
      </c>
    </row>
    <row r="13" spans="1:4" s="127" customFormat="1" ht="11.1" customHeight="1" x14ac:dyDescent="0.25">
      <c r="A13" s="126"/>
      <c r="B13" s="138" t="s">
        <v>951</v>
      </c>
      <c r="C13" s="141">
        <v>0</v>
      </c>
      <c r="D13" s="976">
        <v>0</v>
      </c>
    </row>
    <row r="14" spans="1:4" s="127" customFormat="1" ht="11.1" customHeight="1" x14ac:dyDescent="0.25">
      <c r="A14" s="126"/>
      <c r="B14" s="138" t="s">
        <v>967</v>
      </c>
      <c r="C14" s="141">
        <v>3859008</v>
      </c>
      <c r="D14" s="976">
        <v>32241009</v>
      </c>
    </row>
    <row r="15" spans="1:4" s="127" customFormat="1" ht="25.5" customHeight="1" x14ac:dyDescent="0.25">
      <c r="A15" s="126"/>
      <c r="B15" s="138" t="s">
        <v>953</v>
      </c>
      <c r="C15" s="141">
        <v>0</v>
      </c>
      <c r="D15" s="976">
        <v>0</v>
      </c>
    </row>
    <row r="16" spans="1:4" s="127" customFormat="1" ht="12" customHeight="1" x14ac:dyDescent="0.25">
      <c r="A16" s="126"/>
      <c r="B16" s="138" t="s">
        <v>962</v>
      </c>
      <c r="C16" s="141">
        <v>13171729</v>
      </c>
      <c r="D16" s="976">
        <v>10683187</v>
      </c>
    </row>
    <row r="17" spans="1:4" s="127" customFormat="1" ht="12" customHeight="1" x14ac:dyDescent="0.25">
      <c r="A17" s="126"/>
      <c r="B17" s="138" t="s">
        <v>259</v>
      </c>
      <c r="C17" s="141">
        <v>44425789</v>
      </c>
      <c r="D17" s="976">
        <v>16747974</v>
      </c>
    </row>
    <row r="18" spans="1:4" s="123" customFormat="1" ht="13.5" customHeight="1" x14ac:dyDescent="0.25">
      <c r="A18" s="124"/>
      <c r="B18" s="125" t="s">
        <v>251</v>
      </c>
      <c r="C18" s="140">
        <f>SUM(C19:C34)</f>
        <v>51013240</v>
      </c>
      <c r="D18" s="975">
        <f>SUM(D19:D34)</f>
        <v>50755610</v>
      </c>
    </row>
    <row r="19" spans="1:4" s="123" customFormat="1" ht="11.1" customHeight="1" x14ac:dyDescent="0.25">
      <c r="A19" s="124"/>
      <c r="B19" s="138" t="s">
        <v>212</v>
      </c>
      <c r="C19" s="141">
        <v>42380893</v>
      </c>
      <c r="D19" s="976">
        <v>44170339</v>
      </c>
    </row>
    <row r="20" spans="1:4" s="123" customFormat="1" ht="11.1" customHeight="1" x14ac:dyDescent="0.25">
      <c r="A20" s="124"/>
      <c r="B20" s="138" t="s">
        <v>213</v>
      </c>
      <c r="C20" s="141">
        <v>682153</v>
      </c>
      <c r="D20" s="976">
        <v>643384</v>
      </c>
    </row>
    <row r="21" spans="1:4" s="123" customFormat="1" ht="11.1" customHeight="1" x14ac:dyDescent="0.25">
      <c r="A21" s="124"/>
      <c r="B21" s="138" t="s">
        <v>214</v>
      </c>
      <c r="C21" s="141">
        <v>7950194</v>
      </c>
      <c r="D21" s="976">
        <v>5941887</v>
      </c>
    </row>
    <row r="22" spans="1:4" s="123" customFormat="1" ht="12.75" customHeight="1" x14ac:dyDescent="0.25">
      <c r="A22" s="124"/>
      <c r="B22" s="138" t="s">
        <v>215</v>
      </c>
      <c r="C22" s="141">
        <v>0</v>
      </c>
      <c r="D22" s="976">
        <v>0</v>
      </c>
    </row>
    <row r="23" spans="1:4" s="123" customFormat="1" ht="11.1" customHeight="1" x14ac:dyDescent="0.25">
      <c r="A23" s="124"/>
      <c r="B23" s="138" t="s">
        <v>260</v>
      </c>
      <c r="C23" s="141">
        <v>0</v>
      </c>
      <c r="D23" s="976">
        <v>0</v>
      </c>
    </row>
    <row r="24" spans="1:4" s="123" customFormat="1" ht="11.1" customHeight="1" x14ac:dyDescent="0.25">
      <c r="A24" s="124"/>
      <c r="B24" s="138" t="s">
        <v>261</v>
      </c>
      <c r="C24" s="141">
        <v>0</v>
      </c>
      <c r="D24" s="976">
        <v>0</v>
      </c>
    </row>
    <row r="25" spans="1:4" s="123" customFormat="1" ht="11.1" customHeight="1" x14ac:dyDescent="0.25">
      <c r="A25" s="124"/>
      <c r="B25" s="138" t="s">
        <v>218</v>
      </c>
      <c r="C25" s="141">
        <v>0</v>
      </c>
      <c r="D25" s="976">
        <v>0</v>
      </c>
    </row>
    <row r="26" spans="1:4" s="123" customFormat="1" ht="11.1" customHeight="1" x14ac:dyDescent="0.25">
      <c r="A26" s="124"/>
      <c r="B26" s="138" t="s">
        <v>219</v>
      </c>
      <c r="C26" s="141">
        <v>0</v>
      </c>
      <c r="D26" s="976">
        <v>0</v>
      </c>
    </row>
    <row r="27" spans="1:4" s="123" customFormat="1" ht="11.1" customHeight="1" x14ac:dyDescent="0.25">
      <c r="A27" s="124"/>
      <c r="B27" s="138" t="s">
        <v>220</v>
      </c>
      <c r="C27" s="141">
        <v>0</v>
      </c>
      <c r="D27" s="976">
        <v>0</v>
      </c>
    </row>
    <row r="28" spans="1:4" s="123" customFormat="1" ht="11.1" customHeight="1" x14ac:dyDescent="0.25">
      <c r="A28" s="124"/>
      <c r="B28" s="138" t="s">
        <v>221</v>
      </c>
      <c r="C28" s="141">
        <v>0</v>
      </c>
      <c r="D28" s="976">
        <v>0</v>
      </c>
    </row>
    <row r="29" spans="1:4" s="123" customFormat="1" ht="11.1" customHeight="1" x14ac:dyDescent="0.25">
      <c r="A29" s="124"/>
      <c r="B29" s="138" t="s">
        <v>222</v>
      </c>
      <c r="C29" s="141">
        <v>0</v>
      </c>
      <c r="D29" s="976">
        <v>0</v>
      </c>
    </row>
    <row r="30" spans="1:4" s="123" customFormat="1" ht="11.1" customHeight="1" x14ac:dyDescent="0.25">
      <c r="A30" s="124"/>
      <c r="B30" s="138" t="s">
        <v>223</v>
      </c>
      <c r="C30" s="141">
        <v>0</v>
      </c>
      <c r="D30" s="976">
        <v>0</v>
      </c>
    </row>
    <row r="31" spans="1:4" s="123" customFormat="1" ht="11.1" customHeight="1" x14ac:dyDescent="0.25">
      <c r="A31" s="124"/>
      <c r="B31" s="138" t="s">
        <v>262</v>
      </c>
      <c r="C31" s="141">
        <v>0</v>
      </c>
      <c r="D31" s="976">
        <v>0</v>
      </c>
    </row>
    <row r="32" spans="1:4" s="123" customFormat="1" ht="11.1" customHeight="1" x14ac:dyDescent="0.25">
      <c r="A32" s="124"/>
      <c r="B32" s="138" t="s">
        <v>67</v>
      </c>
      <c r="C32" s="141">
        <v>0</v>
      </c>
      <c r="D32" s="976">
        <v>0</v>
      </c>
    </row>
    <row r="33" spans="1:4" s="123" customFormat="1" ht="11.1" customHeight="1" x14ac:dyDescent="0.25">
      <c r="A33" s="124"/>
      <c r="B33" s="138" t="s">
        <v>226</v>
      </c>
      <c r="C33" s="141">
        <v>0</v>
      </c>
      <c r="D33" s="976">
        <v>0</v>
      </c>
    </row>
    <row r="34" spans="1:4" s="123" customFormat="1" ht="11.1" customHeight="1" x14ac:dyDescent="0.25">
      <c r="A34" s="124"/>
      <c r="B34" s="138" t="s">
        <v>263</v>
      </c>
      <c r="C34" s="141">
        <v>0</v>
      </c>
      <c r="D34" s="976">
        <v>0</v>
      </c>
    </row>
    <row r="35" spans="1:4" s="123" customFormat="1" ht="12" customHeight="1" x14ac:dyDescent="0.25">
      <c r="A35" s="128" t="s">
        <v>264</v>
      </c>
      <c r="B35" s="129"/>
      <c r="C35" s="142">
        <f>C7-C18</f>
        <v>10444269</v>
      </c>
      <c r="D35" s="977">
        <f>D7-D18</f>
        <v>8923724</v>
      </c>
    </row>
    <row r="36" spans="1:4" s="123" customFormat="1" ht="4.5" customHeight="1" x14ac:dyDescent="0.25">
      <c r="A36" s="130"/>
      <c r="B36" s="131"/>
      <c r="C36" s="143"/>
      <c r="D36" s="978"/>
    </row>
    <row r="37" spans="1:4" s="123" customFormat="1" ht="12.75" x14ac:dyDescent="0.25">
      <c r="A37" s="132" t="s">
        <v>265</v>
      </c>
      <c r="B37" s="125"/>
      <c r="C37" s="144"/>
      <c r="D37" s="979"/>
    </row>
    <row r="38" spans="1:4" s="123" customFormat="1" ht="10.5" customHeight="1" x14ac:dyDescent="0.25">
      <c r="A38" s="124"/>
      <c r="B38" s="125" t="s">
        <v>250</v>
      </c>
      <c r="C38" s="140">
        <f>SUM(C39:C41)</f>
        <v>0</v>
      </c>
      <c r="D38" s="975">
        <f>SUM(D39:D41)</f>
        <v>0</v>
      </c>
    </row>
    <row r="39" spans="1:4" s="123" customFormat="1" ht="11.1" customHeight="1" x14ac:dyDescent="0.25">
      <c r="A39" s="124"/>
      <c r="B39" s="139" t="s">
        <v>50</v>
      </c>
      <c r="C39" s="141">
        <v>0</v>
      </c>
      <c r="D39" s="976">
        <v>0</v>
      </c>
    </row>
    <row r="40" spans="1:4" s="123" customFormat="1" ht="11.1" customHeight="1" x14ac:dyDescent="0.25">
      <c r="A40" s="124"/>
      <c r="B40" s="139" t="s">
        <v>52</v>
      </c>
      <c r="C40" s="141">
        <v>0</v>
      </c>
      <c r="D40" s="976">
        <v>0</v>
      </c>
    </row>
    <row r="41" spans="1:4" s="123" customFormat="1" ht="11.1" customHeight="1" x14ac:dyDescent="0.25">
      <c r="A41" s="124"/>
      <c r="B41" s="139" t="s">
        <v>266</v>
      </c>
      <c r="C41" s="141">
        <v>0</v>
      </c>
      <c r="D41" s="976">
        <v>0</v>
      </c>
    </row>
    <row r="42" spans="1:4" s="123" customFormat="1" ht="10.5" customHeight="1" x14ac:dyDescent="0.25">
      <c r="A42" s="124"/>
      <c r="B42" s="125" t="s">
        <v>251</v>
      </c>
      <c r="C42" s="140">
        <f>SUM(C43:C45)</f>
        <v>0</v>
      </c>
      <c r="D42" s="975">
        <f>SUM(D43:D45)</f>
        <v>0</v>
      </c>
    </row>
    <row r="43" spans="1:4" s="123" customFormat="1" ht="11.1" customHeight="1" x14ac:dyDescent="0.25">
      <c r="A43" s="124"/>
      <c r="B43" s="139" t="s">
        <v>50</v>
      </c>
      <c r="C43" s="141">
        <v>0</v>
      </c>
      <c r="D43" s="976">
        <v>0</v>
      </c>
    </row>
    <row r="44" spans="1:4" s="123" customFormat="1" ht="11.1" customHeight="1" x14ac:dyDescent="0.25">
      <c r="A44" s="124"/>
      <c r="B44" s="139" t="s">
        <v>52</v>
      </c>
      <c r="C44" s="141">
        <v>0</v>
      </c>
      <c r="D44" s="976">
        <v>0</v>
      </c>
    </row>
    <row r="45" spans="1:4" s="123" customFormat="1" ht="11.1" customHeight="1" x14ac:dyDescent="0.25">
      <c r="A45" s="124"/>
      <c r="B45" s="139" t="s">
        <v>267</v>
      </c>
      <c r="C45" s="141">
        <v>0</v>
      </c>
      <c r="D45" s="976">
        <v>0</v>
      </c>
    </row>
    <row r="46" spans="1:4" s="123" customFormat="1" ht="12" customHeight="1" x14ac:dyDescent="0.25">
      <c r="A46" s="128" t="s">
        <v>268</v>
      </c>
      <c r="B46" s="129"/>
      <c r="C46" s="142">
        <f>C38-C42</f>
        <v>0</v>
      </c>
      <c r="D46" s="977">
        <f>D38-D42</f>
        <v>0</v>
      </c>
    </row>
    <row r="47" spans="1:4" s="123" customFormat="1" ht="2.25" customHeight="1" x14ac:dyDescent="0.25">
      <c r="A47" s="130"/>
      <c r="B47" s="131"/>
      <c r="C47" s="145"/>
      <c r="D47" s="980"/>
    </row>
    <row r="48" spans="1:4" s="123" customFormat="1" ht="12" customHeight="1" x14ac:dyDescent="0.25">
      <c r="A48" s="132" t="s">
        <v>269</v>
      </c>
      <c r="B48" s="125"/>
      <c r="C48" s="144"/>
      <c r="D48" s="979"/>
    </row>
    <row r="49" spans="1:5" s="123" customFormat="1" ht="12.75" x14ac:dyDescent="0.25">
      <c r="A49" s="124"/>
      <c r="B49" s="125" t="s">
        <v>250</v>
      </c>
      <c r="C49" s="140">
        <f>C50+C53</f>
        <v>0</v>
      </c>
      <c r="D49" s="975">
        <f>D50+D53</f>
        <v>0</v>
      </c>
    </row>
    <row r="50" spans="1:5" s="123" customFormat="1" ht="11.1" customHeight="1" x14ac:dyDescent="0.25">
      <c r="A50" s="124"/>
      <c r="B50" s="139" t="s">
        <v>270</v>
      </c>
      <c r="C50" s="141">
        <f>C51+C52</f>
        <v>0</v>
      </c>
      <c r="D50" s="976">
        <f>D51+D52</f>
        <v>0</v>
      </c>
    </row>
    <row r="51" spans="1:5" s="123" customFormat="1" ht="11.1" customHeight="1" x14ac:dyDescent="0.25">
      <c r="A51" s="124"/>
      <c r="B51" s="139" t="s">
        <v>971</v>
      </c>
      <c r="C51" s="141">
        <v>0</v>
      </c>
      <c r="D51" s="976">
        <v>0</v>
      </c>
    </row>
    <row r="52" spans="1:5" s="123" customFormat="1" ht="11.1" customHeight="1" x14ac:dyDescent="0.25">
      <c r="A52" s="124"/>
      <c r="B52" s="139" t="s">
        <v>972</v>
      </c>
      <c r="C52" s="141">
        <v>0</v>
      </c>
      <c r="D52" s="976">
        <v>0</v>
      </c>
    </row>
    <row r="53" spans="1:5" s="123" customFormat="1" ht="11.1" customHeight="1" x14ac:dyDescent="0.25">
      <c r="A53" s="124"/>
      <c r="B53" s="139" t="s">
        <v>271</v>
      </c>
      <c r="C53" s="141">
        <v>0</v>
      </c>
      <c r="D53" s="976">
        <v>0</v>
      </c>
    </row>
    <row r="54" spans="1:5" s="123" customFormat="1" ht="11.25" customHeight="1" x14ac:dyDescent="0.25">
      <c r="A54" s="124"/>
      <c r="B54" s="125" t="s">
        <v>251</v>
      </c>
      <c r="C54" s="140">
        <f>C55+C58</f>
        <v>9499193</v>
      </c>
      <c r="D54" s="975">
        <f>D55+D58</f>
        <v>10244125</v>
      </c>
    </row>
    <row r="55" spans="1:5" s="123" customFormat="1" ht="11.1" customHeight="1" x14ac:dyDescent="0.25">
      <c r="A55" s="124"/>
      <c r="B55" s="139" t="s">
        <v>272</v>
      </c>
      <c r="C55" s="141">
        <f>C56+C57</f>
        <v>9499193</v>
      </c>
      <c r="D55" s="976">
        <f>D56+D57</f>
        <v>10244125</v>
      </c>
    </row>
    <row r="56" spans="1:5" s="123" customFormat="1" ht="11.1" customHeight="1" x14ac:dyDescent="0.25">
      <c r="A56" s="124"/>
      <c r="B56" s="139" t="s">
        <v>971</v>
      </c>
      <c r="C56" s="141">
        <v>9499193</v>
      </c>
      <c r="D56" s="976">
        <v>10244125</v>
      </c>
    </row>
    <row r="57" spans="1:5" s="123" customFormat="1" ht="11.1" customHeight="1" x14ac:dyDescent="0.25">
      <c r="A57" s="124"/>
      <c r="B57" s="139" t="s">
        <v>972</v>
      </c>
      <c r="C57" s="141"/>
      <c r="D57" s="976"/>
    </row>
    <row r="58" spans="1:5" s="123" customFormat="1" ht="11.1" customHeight="1" x14ac:dyDescent="0.25">
      <c r="A58" s="124"/>
      <c r="B58" s="139" t="s">
        <v>273</v>
      </c>
      <c r="C58" s="141"/>
      <c r="D58" s="976"/>
    </row>
    <row r="59" spans="1:5" s="123" customFormat="1" ht="12" customHeight="1" x14ac:dyDescent="0.25">
      <c r="A59" s="128" t="s">
        <v>274</v>
      </c>
      <c r="B59" s="129"/>
      <c r="C59" s="142">
        <f>C49-C54</f>
        <v>-9499193</v>
      </c>
      <c r="D59" s="977">
        <f>D49-D54</f>
        <v>-10244125</v>
      </c>
    </row>
    <row r="60" spans="1:5" s="123" customFormat="1" ht="2.25" customHeight="1" x14ac:dyDescent="0.25">
      <c r="A60" s="130"/>
      <c r="B60" s="131"/>
      <c r="C60" s="145"/>
      <c r="D60" s="980"/>
    </row>
    <row r="61" spans="1:5" s="123" customFormat="1" ht="12" customHeight="1" x14ac:dyDescent="0.25">
      <c r="A61" s="128" t="s">
        <v>275</v>
      </c>
      <c r="B61" s="133"/>
      <c r="C61" s="146">
        <f>C59+C46+C35</f>
        <v>945076</v>
      </c>
      <c r="D61" s="981">
        <f>D59+D46+D35</f>
        <v>-1320401</v>
      </c>
    </row>
    <row r="62" spans="1:5" ht="2.25" customHeight="1" x14ac:dyDescent="0.3">
      <c r="A62" s="134"/>
      <c r="B62" s="135"/>
      <c r="C62" s="145"/>
      <c r="D62" s="980"/>
    </row>
    <row r="63" spans="1:5" s="123" customFormat="1" ht="12" customHeight="1" x14ac:dyDescent="0.25">
      <c r="A63" s="128" t="s">
        <v>276</v>
      </c>
      <c r="B63" s="129"/>
      <c r="C63" s="141">
        <v>3210455</v>
      </c>
      <c r="D63" s="976">
        <v>3404516</v>
      </c>
      <c r="E63" s="411" t="str">
        <f>IF(C63-'ETCA-I-01'!C7&gt;0.99,"ERROR!!!, NO COINCIDEN LOS MONTOS CON LO REPORTADO EN EL FORMATO ETCA-I-01 EN EL EJERCICIO 2015","")</f>
        <v/>
      </c>
    </row>
    <row r="64" spans="1:5" s="123" customFormat="1" ht="12" customHeight="1" thickBot="1" x14ac:dyDescent="0.3">
      <c r="A64" s="137" t="s">
        <v>277</v>
      </c>
      <c r="B64" s="136"/>
      <c r="C64" s="147">
        <f>C63+C61</f>
        <v>4155531</v>
      </c>
      <c r="D64" s="982">
        <f>D63+D61</f>
        <v>2084115</v>
      </c>
      <c r="E64" s="411" t="str">
        <f>IF(C64-'ETCA-I-01'!B7&gt;0.99,"ERROR!!!, NO COINCIDEN LOS MONTOS CON LO REPORTADO EN EL FORMATO ETCA-I-01","")</f>
        <v/>
      </c>
    </row>
    <row r="65" spans="1:5" s="123" customFormat="1" ht="12" customHeight="1" x14ac:dyDescent="0.25">
      <c r="A65" s="123" t="s">
        <v>243</v>
      </c>
      <c r="E65" s="562"/>
    </row>
    <row r="66" spans="1:5" s="123" customFormat="1" ht="12" customHeight="1" x14ac:dyDescent="0.25">
      <c r="E66" s="562"/>
    </row>
    <row r="67" spans="1:5" s="123" customFormat="1" ht="12" customHeight="1" x14ac:dyDescent="0.25">
      <c r="A67" s="129"/>
      <c r="B67" s="133"/>
      <c r="C67" s="146"/>
      <c r="D67" s="146"/>
      <c r="E67" s="411"/>
    </row>
    <row r="68" spans="1:5" s="123" customFormat="1" ht="12" customHeight="1" x14ac:dyDescent="0.25">
      <c r="A68" s="129"/>
      <c r="B68" s="133"/>
      <c r="C68" s="146"/>
      <c r="D68" s="146"/>
      <c r="E68" s="411"/>
    </row>
    <row r="69" spans="1:5" s="123" customFormat="1" ht="12" customHeight="1" x14ac:dyDescent="0.25">
      <c r="A69" s="129"/>
      <c r="B69" s="133"/>
      <c r="C69" s="146"/>
      <c r="D69" s="146"/>
      <c r="E69" s="411"/>
    </row>
    <row r="70" spans="1:5" ht="12" customHeight="1" x14ac:dyDescent="0.3">
      <c r="A70" s="412" t="s">
        <v>244</v>
      </c>
    </row>
  </sheetData>
  <sheetProtection insertHyperlinks="0"/>
  <mergeCells count="6">
    <mergeCell ref="A6:C6"/>
    <mergeCell ref="A1:D1"/>
    <mergeCell ref="A2:D2"/>
    <mergeCell ref="A3:D3"/>
    <mergeCell ref="A4:B4"/>
    <mergeCell ref="A5:B5"/>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H33"/>
  <sheetViews>
    <sheetView view="pageBreakPreview" zoomScale="120" zoomScaleNormal="100" zoomScaleSheetLayoutView="120" workbookViewId="0">
      <selection activeCell="F8" sqref="F8"/>
    </sheetView>
  </sheetViews>
  <sheetFormatPr baseColWidth="10" defaultColWidth="11.28515625" defaultRowHeight="16.5" x14ac:dyDescent="0.25"/>
  <cols>
    <col min="1" max="1" width="1.28515625" style="117" customWidth="1"/>
    <col min="2" max="2" width="32.28515625" style="117" customWidth="1"/>
    <col min="3" max="7" width="12.7109375" style="117" customWidth="1"/>
    <col min="8" max="8" width="63.85546875" style="117" customWidth="1"/>
    <col min="9" max="16384" width="11.28515625" style="117"/>
  </cols>
  <sheetData>
    <row r="1" spans="1:8" x14ac:dyDescent="0.25">
      <c r="A1" s="1171" t="str">
        <f>'ETCA-I-01'!A1</f>
        <v>TELEVISORA DE HERMOSILLO, S.A. DE C.V.</v>
      </c>
      <c r="B1" s="1171"/>
      <c r="C1" s="1171"/>
      <c r="D1" s="1171"/>
      <c r="E1" s="1171"/>
      <c r="F1" s="1171"/>
      <c r="G1" s="1171"/>
    </row>
    <row r="2" spans="1:8" s="149" customFormat="1" ht="18" x14ac:dyDescent="0.25">
      <c r="A2" s="1171" t="s">
        <v>5</v>
      </c>
      <c r="B2" s="1171"/>
      <c r="C2" s="1171"/>
      <c r="D2" s="1171"/>
      <c r="E2" s="1171"/>
      <c r="F2" s="1171"/>
      <c r="G2" s="1171"/>
      <c r="H2" s="401"/>
    </row>
    <row r="3" spans="1:8" s="149" customFormat="1" x14ac:dyDescent="0.25">
      <c r="A3" s="1172" t="str">
        <f>'ETCA-I-03'!A3:D3</f>
        <v>Del 01 de Enero al 30 de Septiembre de 2021</v>
      </c>
      <c r="B3" s="1172"/>
      <c r="C3" s="1172"/>
      <c r="D3" s="1172"/>
      <c r="E3" s="1172"/>
      <c r="F3" s="1172"/>
      <c r="G3" s="1172"/>
    </row>
    <row r="4" spans="1:8" s="151" customFormat="1" ht="17.25" thickBot="1" x14ac:dyDescent="0.3">
      <c r="A4" s="150"/>
      <c r="B4" s="150"/>
      <c r="C4" s="1173" t="s">
        <v>1029</v>
      </c>
      <c r="D4" s="1173"/>
      <c r="E4" s="150"/>
      <c r="F4" s="49"/>
      <c r="G4" s="150"/>
    </row>
    <row r="5" spans="1:8" s="152" customFormat="1" ht="50.25" thickBot="1" x14ac:dyDescent="0.3">
      <c r="A5" s="1169" t="s">
        <v>246</v>
      </c>
      <c r="B5" s="1170"/>
      <c r="C5" s="155" t="s">
        <v>278</v>
      </c>
      <c r="D5" s="155" t="s">
        <v>279</v>
      </c>
      <c r="E5" s="155" t="s">
        <v>280</v>
      </c>
      <c r="F5" s="155" t="s">
        <v>281</v>
      </c>
      <c r="G5" s="156" t="s">
        <v>282</v>
      </c>
    </row>
    <row r="6" spans="1:8" ht="20.100000000000001" customHeight="1" x14ac:dyDescent="0.25">
      <c r="A6" s="533"/>
      <c r="B6" s="534"/>
      <c r="C6" s="535"/>
      <c r="D6" s="535"/>
      <c r="E6" s="535"/>
      <c r="F6" s="535"/>
      <c r="G6" s="536"/>
    </row>
    <row r="7" spans="1:8" ht="20.100000000000001" customHeight="1" x14ac:dyDescent="0.25">
      <c r="A7" s="537" t="s">
        <v>23</v>
      </c>
      <c r="B7" s="538"/>
      <c r="C7" s="539">
        <f>C9+C18</f>
        <v>81012157</v>
      </c>
      <c r="D7" s="539">
        <f>D9+D18</f>
        <v>146836894</v>
      </c>
      <c r="E7" s="539">
        <f>E9+E18</f>
        <v>145591273</v>
      </c>
      <c r="F7" s="539">
        <f>F9+F18-1</f>
        <v>82257779</v>
      </c>
      <c r="G7" s="799">
        <f>G9+G18</f>
        <v>1245623</v>
      </c>
      <c r="H7" s="392" t="str">
        <f>IF(F7&lt;&gt;'ETCA-I-01'!B31,"ERROR!!!!! EL MONTO NO COINCIDE CON LO REPORTADO EN EL FORMATO ETCA-I-01 EN EL TOTAL ","")</f>
        <v/>
      </c>
    </row>
    <row r="8" spans="1:8" ht="20.100000000000001" customHeight="1" x14ac:dyDescent="0.25">
      <c r="A8" s="542"/>
      <c r="B8" s="543"/>
      <c r="C8" s="544"/>
      <c r="D8" s="544"/>
      <c r="E8" s="544"/>
      <c r="F8" s="544"/>
      <c r="G8" s="545"/>
    </row>
    <row r="9" spans="1:8" ht="20.100000000000001" customHeight="1" x14ac:dyDescent="0.25">
      <c r="A9" s="542"/>
      <c r="B9" s="543" t="s">
        <v>25</v>
      </c>
      <c r="C9" s="539">
        <f>SUM(C10:C16)</f>
        <v>15795202</v>
      </c>
      <c r="D9" s="539">
        <f>SUM(D10:D16)</f>
        <v>135707004</v>
      </c>
      <c r="E9" s="539">
        <f>SUM(E10:E16)</f>
        <v>134986952</v>
      </c>
      <c r="F9" s="540">
        <f>C9+D9-E9+1</f>
        <v>16515255</v>
      </c>
      <c r="G9" s="541">
        <f>F9-C9</f>
        <v>720053</v>
      </c>
      <c r="H9" s="392" t="str">
        <f>IF(F9&lt;&gt;'ETCA-I-01'!B16,"ERROR!!!!! EL MONTO NO COINCIDE CON LO REPORTADO EN EL FORMATO ETCA-I-01 EN EL TOTAL","")</f>
        <v/>
      </c>
    </row>
    <row r="10" spans="1:8" ht="20.100000000000001" customHeight="1" x14ac:dyDescent="0.25">
      <c r="A10" s="546"/>
      <c r="B10" s="547" t="s">
        <v>27</v>
      </c>
      <c r="C10" s="544">
        <v>3210455</v>
      </c>
      <c r="D10" s="544">
        <v>101611564</v>
      </c>
      <c r="E10" s="544">
        <v>100666488</v>
      </c>
      <c r="F10" s="548">
        <f>C10+D10-E10</f>
        <v>4155531</v>
      </c>
      <c r="G10" s="549">
        <f>F10-C10</f>
        <v>945076</v>
      </c>
    </row>
    <row r="11" spans="1:8" ht="20.100000000000001" customHeight="1" x14ac:dyDescent="0.25">
      <c r="A11" s="546"/>
      <c r="B11" s="547" t="s">
        <v>29</v>
      </c>
      <c r="C11" s="544">
        <v>17719921</v>
      </c>
      <c r="D11" s="544">
        <v>33858296</v>
      </c>
      <c r="E11" s="544">
        <v>34150352</v>
      </c>
      <c r="F11" s="548">
        <f t="shared" ref="F11:F16" si="0">C11+D11-E11</f>
        <v>17427865</v>
      </c>
      <c r="G11" s="549">
        <f t="shared" ref="G11:G16" si="1">F11-C11</f>
        <v>-292056</v>
      </c>
    </row>
    <row r="12" spans="1:8" ht="20.100000000000001" customHeight="1" x14ac:dyDescent="0.25">
      <c r="A12" s="546"/>
      <c r="B12" s="547" t="s">
        <v>31</v>
      </c>
      <c r="C12" s="544">
        <v>84133</v>
      </c>
      <c r="D12" s="544">
        <v>124924</v>
      </c>
      <c r="E12" s="544">
        <v>133080</v>
      </c>
      <c r="F12" s="548">
        <f>C12+D12-E12</f>
        <v>75977</v>
      </c>
      <c r="G12" s="549">
        <f t="shared" si="1"/>
        <v>-8156</v>
      </c>
    </row>
    <row r="13" spans="1:8" ht="20.100000000000001" customHeight="1" x14ac:dyDescent="0.25">
      <c r="A13" s="546"/>
      <c r="B13" s="547" t="s">
        <v>33</v>
      </c>
      <c r="C13" s="544">
        <v>0</v>
      </c>
      <c r="D13" s="544">
        <v>0</v>
      </c>
      <c r="E13" s="544">
        <v>0</v>
      </c>
      <c r="F13" s="548">
        <f t="shared" si="0"/>
        <v>0</v>
      </c>
      <c r="G13" s="549">
        <f t="shared" si="1"/>
        <v>0</v>
      </c>
    </row>
    <row r="14" spans="1:8" ht="20.100000000000001" customHeight="1" x14ac:dyDescent="0.25">
      <c r="A14" s="546"/>
      <c r="B14" s="547" t="s">
        <v>35</v>
      </c>
      <c r="C14" s="544">
        <v>0</v>
      </c>
      <c r="D14" s="544">
        <v>0</v>
      </c>
      <c r="E14" s="544">
        <v>0</v>
      </c>
      <c r="F14" s="548">
        <f t="shared" si="0"/>
        <v>0</v>
      </c>
      <c r="G14" s="549">
        <f t="shared" si="1"/>
        <v>0</v>
      </c>
    </row>
    <row r="15" spans="1:8" ht="25.5" x14ac:dyDescent="0.25">
      <c r="A15" s="546"/>
      <c r="B15" s="547" t="s">
        <v>37</v>
      </c>
      <c r="C15" s="544">
        <v>-5219307</v>
      </c>
      <c r="D15" s="544">
        <v>112220</v>
      </c>
      <c r="E15" s="544">
        <v>37032</v>
      </c>
      <c r="F15" s="548">
        <f t="shared" si="0"/>
        <v>-5144119</v>
      </c>
      <c r="G15" s="549">
        <f t="shared" si="1"/>
        <v>75188</v>
      </c>
    </row>
    <row r="16" spans="1:8" ht="20.100000000000001" customHeight="1" x14ac:dyDescent="0.25">
      <c r="A16" s="546"/>
      <c r="B16" s="547" t="s">
        <v>39</v>
      </c>
      <c r="C16" s="544">
        <v>0</v>
      </c>
      <c r="D16" s="544">
        <v>0</v>
      </c>
      <c r="E16" s="544">
        <v>0</v>
      </c>
      <c r="F16" s="548">
        <f t="shared" si="0"/>
        <v>0</v>
      </c>
      <c r="G16" s="549">
        <f t="shared" si="1"/>
        <v>0</v>
      </c>
    </row>
    <row r="17" spans="1:8" ht="20.100000000000001" customHeight="1" x14ac:dyDescent="0.25">
      <c r="A17" s="542"/>
      <c r="B17" s="543"/>
      <c r="C17" s="544"/>
      <c r="D17" s="544"/>
      <c r="E17" s="544"/>
      <c r="F17" s="544"/>
      <c r="G17" s="545"/>
    </row>
    <row r="18" spans="1:8" ht="20.100000000000001" customHeight="1" x14ac:dyDescent="0.25">
      <c r="A18" s="542"/>
      <c r="B18" s="543" t="s">
        <v>44</v>
      </c>
      <c r="C18" s="539">
        <f>SUM(C19:C27)-1</f>
        <v>65216955</v>
      </c>
      <c r="D18" s="539">
        <f>SUM(D19:D27)</f>
        <v>11129890</v>
      </c>
      <c r="E18" s="539">
        <f>SUM(E19:E27)</f>
        <v>10604321</v>
      </c>
      <c r="F18" s="540">
        <f>C18+D18-E18+1</f>
        <v>65742525</v>
      </c>
      <c r="G18" s="541">
        <f>F18-C18</f>
        <v>525570</v>
      </c>
      <c r="H18" s="392" t="str">
        <f>IF(F18&lt;&gt;'ETCA-I-01'!B29,"ERROR!!!!! EL MONTO NO COINCIDE CON LO REPORTADO EN EL FORMATO ETCA-I-01 EN EL TOTAL","")</f>
        <v/>
      </c>
    </row>
    <row r="19" spans="1:8" ht="20.100000000000001" customHeight="1" x14ac:dyDescent="0.25">
      <c r="A19" s="546"/>
      <c r="B19" s="547" t="s">
        <v>46</v>
      </c>
      <c r="C19" s="544">
        <v>0</v>
      </c>
      <c r="D19" s="544">
        <v>0</v>
      </c>
      <c r="E19" s="544">
        <v>0</v>
      </c>
      <c r="F19" s="548">
        <f>C19+D19-E19</f>
        <v>0</v>
      </c>
      <c r="G19" s="549">
        <f>F19-C19</f>
        <v>0</v>
      </c>
    </row>
    <row r="20" spans="1:8" ht="25.5" x14ac:dyDescent="0.25">
      <c r="A20" s="546"/>
      <c r="B20" s="547" t="s">
        <v>48</v>
      </c>
      <c r="C20" s="544">
        <v>0</v>
      </c>
      <c r="D20" s="544">
        <v>0</v>
      </c>
      <c r="E20" s="544">
        <v>0</v>
      </c>
      <c r="F20" s="548">
        <f t="shared" ref="F20:F25" si="2">C20+D20-E20</f>
        <v>0</v>
      </c>
      <c r="G20" s="549">
        <f t="shared" ref="G20:G25" si="3">F20-C20</f>
        <v>0</v>
      </c>
    </row>
    <row r="21" spans="1:8" ht="25.5" x14ac:dyDescent="0.25">
      <c r="A21" s="546"/>
      <c r="B21" s="547" t="s">
        <v>50</v>
      </c>
      <c r="C21" s="544">
        <v>21655591</v>
      </c>
      <c r="D21" s="544">
        <v>0</v>
      </c>
      <c r="E21" s="544">
        <v>0</v>
      </c>
      <c r="F21" s="548">
        <f t="shared" si="2"/>
        <v>21655591</v>
      </c>
      <c r="G21" s="549">
        <f t="shared" si="3"/>
        <v>0</v>
      </c>
    </row>
    <row r="22" spans="1:8" ht="20.100000000000001" customHeight="1" x14ac:dyDescent="0.25">
      <c r="A22" s="546"/>
      <c r="B22" s="547" t="s">
        <v>52</v>
      </c>
      <c r="C22" s="544">
        <v>109304528</v>
      </c>
      <c r="D22" s="544">
        <v>0</v>
      </c>
      <c r="E22" s="544">
        <v>0</v>
      </c>
      <c r="F22" s="548">
        <f t="shared" si="2"/>
        <v>109304528</v>
      </c>
      <c r="G22" s="549">
        <f t="shared" si="3"/>
        <v>0</v>
      </c>
    </row>
    <row r="23" spans="1:8" ht="20.100000000000001" customHeight="1" x14ac:dyDescent="0.25">
      <c r="A23" s="546"/>
      <c r="B23" s="547" t="s">
        <v>54</v>
      </c>
      <c r="C23" s="544">
        <v>247385</v>
      </c>
      <c r="D23" s="544">
        <v>0</v>
      </c>
      <c r="E23" s="544">
        <v>0</v>
      </c>
      <c r="F23" s="548">
        <f t="shared" si="2"/>
        <v>247385</v>
      </c>
      <c r="G23" s="549">
        <f t="shared" si="3"/>
        <v>0</v>
      </c>
    </row>
    <row r="24" spans="1:8" ht="25.5" x14ac:dyDescent="0.25">
      <c r="A24" s="546"/>
      <c r="B24" s="547" t="s">
        <v>56</v>
      </c>
      <c r="C24" s="544">
        <v>-91944464</v>
      </c>
      <c r="D24" s="544">
        <v>4598163</v>
      </c>
      <c r="E24" s="544">
        <v>10212429</v>
      </c>
      <c r="F24" s="548">
        <f t="shared" si="2"/>
        <v>-97558730</v>
      </c>
      <c r="G24" s="549">
        <f t="shared" si="3"/>
        <v>-5614266</v>
      </c>
    </row>
    <row r="25" spans="1:8" ht="20.100000000000001" customHeight="1" x14ac:dyDescent="0.25">
      <c r="A25" s="546"/>
      <c r="B25" s="547" t="s">
        <v>58</v>
      </c>
      <c r="C25" s="544">
        <v>12329513</v>
      </c>
      <c r="D25" s="544">
        <v>6531727</v>
      </c>
      <c r="E25" s="544">
        <v>391892</v>
      </c>
      <c r="F25" s="548">
        <f t="shared" si="2"/>
        <v>18469348</v>
      </c>
      <c r="G25" s="549">
        <f t="shared" si="3"/>
        <v>6139835</v>
      </c>
    </row>
    <row r="26" spans="1:8" ht="25.5" x14ac:dyDescent="0.25">
      <c r="A26" s="546"/>
      <c r="B26" s="547" t="s">
        <v>59</v>
      </c>
      <c r="C26" s="544">
        <v>0</v>
      </c>
      <c r="D26" s="544">
        <v>0</v>
      </c>
      <c r="E26" s="544">
        <v>0</v>
      </c>
      <c r="F26" s="548">
        <f>C26+D26-E26</f>
        <v>0</v>
      </c>
      <c r="G26" s="549">
        <f>F26-C26</f>
        <v>0</v>
      </c>
    </row>
    <row r="27" spans="1:8" ht="20.100000000000001" customHeight="1" x14ac:dyDescent="0.25">
      <c r="A27" s="546"/>
      <c r="B27" s="547" t="s">
        <v>60</v>
      </c>
      <c r="C27" s="544">
        <v>13624403</v>
      </c>
      <c r="D27" s="544">
        <v>0</v>
      </c>
      <c r="E27" s="544">
        <v>0</v>
      </c>
      <c r="F27" s="548">
        <f>C27+D27-E27</f>
        <v>13624403</v>
      </c>
      <c r="G27" s="549">
        <f>F27-C27</f>
        <v>0</v>
      </c>
    </row>
    <row r="28" spans="1:8" ht="20.100000000000001" customHeight="1" thickBot="1" x14ac:dyDescent="0.3">
      <c r="A28" s="550"/>
      <c r="B28" s="551"/>
      <c r="C28" s="552"/>
      <c r="D28" s="552"/>
      <c r="E28" s="552"/>
      <c r="F28" s="552"/>
      <c r="G28" s="553"/>
    </row>
    <row r="29" spans="1:8" ht="20.100000000000001" customHeight="1" x14ac:dyDescent="0.25">
      <c r="A29" s="563" t="s">
        <v>243</v>
      </c>
      <c r="B29" s="258"/>
      <c r="C29" s="484"/>
      <c r="D29" s="484"/>
      <c r="E29" s="484"/>
      <c r="F29" s="484"/>
      <c r="G29" s="484"/>
    </row>
    <row r="30" spans="1:8" ht="20.100000000000001" customHeight="1" x14ac:dyDescent="0.25">
      <c r="A30" s="474"/>
      <c r="B30" s="474"/>
      <c r="C30" s="484"/>
      <c r="D30" s="484"/>
      <c r="E30" s="484"/>
      <c r="F30" s="484"/>
      <c r="G30" s="484"/>
    </row>
    <row r="31" spans="1:8" ht="20.100000000000001" customHeight="1" x14ac:dyDescent="0.25">
      <c r="A31" s="474"/>
      <c r="B31" s="474" t="s">
        <v>244</v>
      </c>
      <c r="C31" s="484"/>
      <c r="D31" s="484" t="s">
        <v>244</v>
      </c>
      <c r="E31" s="484"/>
      <c r="F31" s="484"/>
      <c r="G31" s="484"/>
    </row>
    <row r="32" spans="1:8" ht="20.100000000000001" customHeight="1" x14ac:dyDescent="0.25">
      <c r="A32" s="474"/>
      <c r="B32" s="474"/>
      <c r="C32" s="484"/>
      <c r="D32" s="484"/>
      <c r="E32" s="484"/>
      <c r="F32" s="484"/>
      <c r="G32" s="484"/>
    </row>
    <row r="33" spans="1:7" x14ac:dyDescent="0.25">
      <c r="A33" s="258" t="s">
        <v>244</v>
      </c>
      <c r="B33" s="258"/>
      <c r="C33" s="258"/>
      <c r="D33" s="258"/>
      <c r="E33" s="258"/>
      <c r="F33" s="258"/>
      <c r="G33" s="258"/>
    </row>
  </sheetData>
  <sheetProtection formatColumns="0" formatRows="0" insertHyperlinks="0"/>
  <mergeCells count="5">
    <mergeCell ref="A5:B5"/>
    <mergeCell ref="A1:G1"/>
    <mergeCell ref="A2:G2"/>
    <mergeCell ref="A3:G3"/>
    <mergeCell ref="C4:D4"/>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view="pageBreakPreview" topLeftCell="A16" zoomScale="110" zoomScaleNormal="100" zoomScaleSheetLayoutView="110" workbookViewId="0">
      <selection activeCell="F37" sqref="F37"/>
    </sheetView>
  </sheetViews>
  <sheetFormatPr baseColWidth="10" defaultColWidth="11.28515625" defaultRowHeight="16.5" x14ac:dyDescent="0.3"/>
  <cols>
    <col min="1" max="1" width="2.140625" style="100" customWidth="1"/>
    <col min="2" max="2" width="28.28515625" style="100" customWidth="1"/>
    <col min="3" max="6" width="16.7109375" style="100" customWidth="1"/>
    <col min="7" max="7" width="79" style="100" customWidth="1"/>
    <col min="8" max="16384" width="11.28515625" style="100"/>
  </cols>
  <sheetData>
    <row r="1" spans="1:7" s="117" customFormat="1" ht="18" x14ac:dyDescent="0.25">
      <c r="A1" s="1171" t="str">
        <f>'ETCA-I-01'!A1</f>
        <v>TELEVISORA DE HERMOSILLO, S.A. DE C.V.</v>
      </c>
      <c r="B1" s="1171"/>
      <c r="C1" s="1171"/>
      <c r="D1" s="1171"/>
      <c r="E1" s="1171"/>
      <c r="F1" s="1171"/>
      <c r="G1" s="400"/>
    </row>
    <row r="2" spans="1:7" s="149" customFormat="1" ht="15.75" x14ac:dyDescent="0.25">
      <c r="A2" s="1171" t="s">
        <v>6</v>
      </c>
      <c r="B2" s="1171"/>
      <c r="C2" s="1171"/>
      <c r="D2" s="1171"/>
      <c r="E2" s="1171"/>
      <c r="F2" s="1171"/>
    </row>
    <row r="3" spans="1:7" s="149" customFormat="1" x14ac:dyDescent="0.25">
      <c r="A3" s="1172" t="str">
        <f>'ETCA-I-03'!A3:D3</f>
        <v>Del 01 de Enero al 30 de Septiembre de 2021</v>
      </c>
      <c r="B3" s="1172"/>
      <c r="C3" s="1172"/>
      <c r="D3" s="1172"/>
      <c r="E3" s="1172"/>
      <c r="F3" s="1172"/>
    </row>
    <row r="4" spans="1:7" s="151" customFormat="1" ht="17.25" thickBot="1" x14ac:dyDescent="0.3">
      <c r="A4" s="150"/>
      <c r="B4" s="150"/>
      <c r="C4" s="1173" t="s">
        <v>1030</v>
      </c>
      <c r="D4" s="1173"/>
      <c r="E4" s="49"/>
      <c r="F4" s="150"/>
    </row>
    <row r="5" spans="1:7" s="159" customFormat="1" ht="37.5" customHeight="1" thickBot="1" x14ac:dyDescent="0.35">
      <c r="A5" s="1184" t="s">
        <v>283</v>
      </c>
      <c r="B5" s="1185"/>
      <c r="C5" s="157" t="s">
        <v>284</v>
      </c>
      <c r="D5" s="157" t="s">
        <v>285</v>
      </c>
      <c r="E5" s="157" t="s">
        <v>286</v>
      </c>
      <c r="F5" s="158" t="s">
        <v>287</v>
      </c>
    </row>
    <row r="6" spans="1:7" x14ac:dyDescent="0.3">
      <c r="A6" s="1178"/>
      <c r="B6" s="1179"/>
      <c r="C6" s="160"/>
      <c r="D6" s="160"/>
      <c r="E6" s="161"/>
      <c r="F6" s="162"/>
    </row>
    <row r="7" spans="1:7" x14ac:dyDescent="0.3">
      <c r="A7" s="1180" t="s">
        <v>288</v>
      </c>
      <c r="B7" s="1181"/>
      <c r="C7" s="163"/>
      <c r="D7" s="163"/>
      <c r="E7" s="163"/>
      <c r="F7" s="164"/>
    </row>
    <row r="8" spans="1:7" x14ac:dyDescent="0.3">
      <c r="A8" s="1182" t="s">
        <v>289</v>
      </c>
      <c r="B8" s="1183"/>
      <c r="C8" s="163"/>
      <c r="D8" s="163"/>
      <c r="E8" s="163"/>
      <c r="F8" s="164"/>
    </row>
    <row r="9" spans="1:7" x14ac:dyDescent="0.3">
      <c r="A9" s="1174" t="s">
        <v>290</v>
      </c>
      <c r="B9" s="1175"/>
      <c r="C9" s="165"/>
      <c r="D9" s="165"/>
      <c r="E9" s="178">
        <f>SUM(E10:E12)</f>
        <v>9999984</v>
      </c>
      <c r="F9" s="179">
        <f>SUM(F10:F12)</f>
        <v>2499996</v>
      </c>
    </row>
    <row r="10" spans="1:7" x14ac:dyDescent="0.3">
      <c r="A10" s="790"/>
      <c r="B10" s="167" t="s">
        <v>291</v>
      </c>
      <c r="C10" s="165"/>
      <c r="D10" s="165"/>
      <c r="E10" s="165">
        <v>9999984</v>
      </c>
      <c r="F10" s="166">
        <v>2499996</v>
      </c>
    </row>
    <row r="11" spans="1:7" x14ac:dyDescent="0.3">
      <c r="A11" s="168"/>
      <c r="B11" s="167" t="s">
        <v>292</v>
      </c>
      <c r="C11" s="169"/>
      <c r="D11" s="169"/>
      <c r="E11" s="169"/>
      <c r="F11" s="170"/>
    </row>
    <row r="12" spans="1:7" x14ac:dyDescent="0.3">
      <c r="A12" s="168"/>
      <c r="B12" s="167" t="s">
        <v>293</v>
      </c>
      <c r="C12" s="169"/>
      <c r="D12" s="169"/>
      <c r="E12" s="169"/>
      <c r="F12" s="170"/>
    </row>
    <row r="13" spans="1:7" x14ac:dyDescent="0.3">
      <c r="A13" s="168"/>
      <c r="B13" s="171"/>
      <c r="C13" s="169"/>
      <c r="D13" s="169"/>
      <c r="E13" s="169"/>
      <c r="F13" s="170"/>
    </row>
    <row r="14" spans="1:7" x14ac:dyDescent="0.3">
      <c r="A14" s="1174" t="s">
        <v>294</v>
      </c>
      <c r="B14" s="1175"/>
      <c r="C14" s="165"/>
      <c r="D14" s="165"/>
      <c r="E14" s="178">
        <f>SUM(E15:E18)</f>
        <v>0</v>
      </c>
      <c r="F14" s="179">
        <f>SUM(F15:F18)</f>
        <v>0</v>
      </c>
    </row>
    <row r="15" spans="1:7" x14ac:dyDescent="0.3">
      <c r="A15" s="168"/>
      <c r="B15" s="167" t="s">
        <v>295</v>
      </c>
      <c r="C15" s="169"/>
      <c r="D15" s="169"/>
      <c r="E15" s="169">
        <v>0</v>
      </c>
      <c r="F15" s="170"/>
    </row>
    <row r="16" spans="1:7" x14ac:dyDescent="0.3">
      <c r="A16" s="790"/>
      <c r="B16" s="167" t="s">
        <v>296</v>
      </c>
      <c r="C16" s="169"/>
      <c r="D16" s="169"/>
      <c r="E16" s="169"/>
      <c r="F16" s="170"/>
    </row>
    <row r="17" spans="1:7" x14ac:dyDescent="0.3">
      <c r="A17" s="790"/>
      <c r="B17" s="167" t="s">
        <v>292</v>
      </c>
      <c r="C17" s="165"/>
      <c r="D17" s="165"/>
      <c r="E17" s="165"/>
      <c r="F17" s="166"/>
    </row>
    <row r="18" spans="1:7" x14ac:dyDescent="0.3">
      <c r="A18" s="168"/>
      <c r="B18" s="167" t="s">
        <v>293</v>
      </c>
      <c r="C18" s="169"/>
      <c r="D18" s="169"/>
      <c r="E18" s="169"/>
      <c r="F18" s="170"/>
    </row>
    <row r="19" spans="1:7" x14ac:dyDescent="0.3">
      <c r="A19" s="790"/>
      <c r="B19" s="791"/>
      <c r="C19" s="165"/>
      <c r="D19" s="165"/>
      <c r="E19" s="165"/>
      <c r="F19" s="166"/>
    </row>
    <row r="20" spans="1:7" x14ac:dyDescent="0.3">
      <c r="A20" s="172"/>
      <c r="B20" s="173" t="s">
        <v>297</v>
      </c>
      <c r="C20" s="163"/>
      <c r="D20" s="163"/>
      <c r="E20" s="180">
        <f>E9+E14</f>
        <v>9999984</v>
      </c>
      <c r="F20" s="181">
        <f>F9+F14</f>
        <v>2499996</v>
      </c>
      <c r="G20" s="302"/>
    </row>
    <row r="21" spans="1:7" x14ac:dyDescent="0.3">
      <c r="A21" s="172"/>
      <c r="B21" s="173"/>
      <c r="C21" s="174"/>
      <c r="D21" s="174"/>
      <c r="E21" s="174"/>
      <c r="F21" s="175"/>
    </row>
    <row r="22" spans="1:7" x14ac:dyDescent="0.3">
      <c r="A22" s="1182" t="s">
        <v>298</v>
      </c>
      <c r="B22" s="1183"/>
      <c r="C22" s="163"/>
      <c r="D22" s="163"/>
      <c r="E22" s="163"/>
      <c r="F22" s="164"/>
    </row>
    <row r="23" spans="1:7" x14ac:dyDescent="0.3">
      <c r="A23" s="1174" t="s">
        <v>290</v>
      </c>
      <c r="B23" s="1175"/>
      <c r="C23" s="165"/>
      <c r="D23" s="165"/>
      <c r="E23" s="178">
        <f>SUM(E24:E26)</f>
        <v>32500092</v>
      </c>
      <c r="F23" s="179">
        <f>SUM(F24:F26)</f>
        <v>32500092</v>
      </c>
    </row>
    <row r="24" spans="1:7" x14ac:dyDescent="0.3">
      <c r="A24" s="790"/>
      <c r="B24" s="167" t="s">
        <v>291</v>
      </c>
      <c r="C24" s="165"/>
      <c r="D24" s="165"/>
      <c r="E24" s="165">
        <v>32500092</v>
      </c>
      <c r="F24" s="166">
        <v>32500092</v>
      </c>
    </row>
    <row r="25" spans="1:7" x14ac:dyDescent="0.3">
      <c r="A25" s="168"/>
      <c r="B25" s="167" t="s">
        <v>292</v>
      </c>
      <c r="C25" s="169"/>
      <c r="D25" s="169"/>
      <c r="E25" s="169"/>
      <c r="F25" s="170"/>
    </row>
    <row r="26" spans="1:7" x14ac:dyDescent="0.3">
      <c r="A26" s="168"/>
      <c r="B26" s="167" t="s">
        <v>293</v>
      </c>
      <c r="C26" s="169"/>
      <c r="D26" s="169"/>
      <c r="E26" s="169"/>
      <c r="F26" s="170"/>
    </row>
    <row r="27" spans="1:7" x14ac:dyDescent="0.3">
      <c r="A27" s="168"/>
      <c r="B27" s="171"/>
      <c r="C27" s="169"/>
      <c r="D27" s="169"/>
      <c r="E27" s="169"/>
      <c r="F27" s="170"/>
    </row>
    <row r="28" spans="1:7" x14ac:dyDescent="0.3">
      <c r="A28" s="1174" t="s">
        <v>294</v>
      </c>
      <c r="B28" s="1175"/>
      <c r="C28" s="165"/>
      <c r="D28" s="165"/>
      <c r="E28" s="178">
        <f>SUM(E29:E32)</f>
        <v>0</v>
      </c>
      <c r="F28" s="179">
        <f>SUM(F29:F32)</f>
        <v>0</v>
      </c>
    </row>
    <row r="29" spans="1:7" x14ac:dyDescent="0.3">
      <c r="A29" s="168"/>
      <c r="B29" s="167" t="s">
        <v>295</v>
      </c>
      <c r="C29" s="169"/>
      <c r="D29" s="169"/>
      <c r="E29" s="169"/>
      <c r="F29" s="170"/>
    </row>
    <row r="30" spans="1:7" x14ac:dyDescent="0.3">
      <c r="A30" s="790"/>
      <c r="B30" s="167" t="s">
        <v>296</v>
      </c>
      <c r="C30" s="169"/>
      <c r="D30" s="169"/>
      <c r="E30" s="169"/>
      <c r="F30" s="170"/>
    </row>
    <row r="31" spans="1:7" x14ac:dyDescent="0.3">
      <c r="A31" s="790"/>
      <c r="B31" s="167" t="s">
        <v>292</v>
      </c>
      <c r="C31" s="165"/>
      <c r="D31" s="165"/>
      <c r="E31" s="165"/>
      <c r="F31" s="166"/>
    </row>
    <row r="32" spans="1:7" x14ac:dyDescent="0.3">
      <c r="A32" s="168"/>
      <c r="B32" s="167" t="s">
        <v>293</v>
      </c>
      <c r="C32" s="169"/>
      <c r="D32" s="169"/>
      <c r="E32" s="169"/>
      <c r="F32" s="170"/>
    </row>
    <row r="33" spans="1:7" x14ac:dyDescent="0.3">
      <c r="A33" s="790"/>
      <c r="B33" s="791"/>
      <c r="C33" s="165"/>
      <c r="D33" s="165"/>
      <c r="E33" s="165"/>
      <c r="F33" s="166"/>
    </row>
    <row r="34" spans="1:7" x14ac:dyDescent="0.3">
      <c r="A34" s="172"/>
      <c r="B34" s="173" t="s">
        <v>299</v>
      </c>
      <c r="C34" s="163"/>
      <c r="D34" s="163"/>
      <c r="E34" s="180">
        <f>E23+E28</f>
        <v>32500092</v>
      </c>
      <c r="F34" s="181">
        <f>F23+F28</f>
        <v>32500092</v>
      </c>
      <c r="G34" s="302"/>
    </row>
    <row r="35" spans="1:7" x14ac:dyDescent="0.3">
      <c r="A35" s="168"/>
      <c r="B35" s="171"/>
      <c r="C35" s="169"/>
      <c r="D35" s="169"/>
      <c r="E35" s="169"/>
      <c r="F35" s="170"/>
    </row>
    <row r="36" spans="1:7" x14ac:dyDescent="0.3">
      <c r="A36" s="168"/>
      <c r="B36" s="167" t="s">
        <v>300</v>
      </c>
      <c r="C36" s="169"/>
      <c r="D36" s="169"/>
      <c r="E36" s="169">
        <v>55816167</v>
      </c>
      <c r="F36" s="170">
        <v>92109397</v>
      </c>
    </row>
    <row r="37" spans="1:7" x14ac:dyDescent="0.3">
      <c r="A37" s="168"/>
      <c r="B37" s="171"/>
      <c r="C37" s="169"/>
      <c r="D37" s="169"/>
      <c r="E37" s="169"/>
      <c r="F37" s="170"/>
    </row>
    <row r="38" spans="1:7" x14ac:dyDescent="0.3">
      <c r="A38" s="790"/>
      <c r="B38" s="791" t="s">
        <v>301</v>
      </c>
      <c r="C38" s="163"/>
      <c r="D38" s="163"/>
      <c r="E38" s="180">
        <f>E36+E34+E20</f>
        <v>98316243</v>
      </c>
      <c r="F38" s="181">
        <f>F36+F34+F20</f>
        <v>127109485</v>
      </c>
      <c r="G38" s="302" t="str">
        <f>IF((F38-'ETCA-I-01'!F31)&gt;0.9,"ERROR!!!!!, NO COINCIDE CON LO REPORTADO EN EL ETCA-I-01 EN EL MISMO RUBRO","")</f>
        <v/>
      </c>
    </row>
    <row r="39" spans="1:7" ht="5.25" customHeight="1" thickBot="1" x14ac:dyDescent="0.35">
      <c r="A39" s="1176"/>
      <c r="B39" s="1177"/>
      <c r="C39" s="176"/>
      <c r="D39" s="176"/>
      <c r="E39" s="176"/>
      <c r="F39" s="177"/>
    </row>
    <row r="40" spans="1:7" ht="11.1" customHeight="1" x14ac:dyDescent="0.3">
      <c r="A40" s="116" t="s">
        <v>243</v>
      </c>
      <c r="F40" s="466"/>
    </row>
    <row r="41" spans="1:7" ht="11.1" customHeight="1" x14ac:dyDescent="0.3">
      <c r="A41" s="116"/>
      <c r="F41" s="466"/>
    </row>
    <row r="42" spans="1:7" ht="11.1" customHeight="1" x14ac:dyDescent="0.3">
      <c r="A42" s="116"/>
      <c r="F42" s="466"/>
    </row>
    <row r="43" spans="1:7" ht="11.1" customHeight="1" x14ac:dyDescent="0.3">
      <c r="A43" s="466"/>
      <c r="B43" s="466"/>
      <c r="C43" s="466"/>
      <c r="D43" s="466"/>
      <c r="E43" s="466"/>
      <c r="F43" s="466"/>
    </row>
    <row r="44" spans="1:7" ht="11.1" customHeight="1" x14ac:dyDescent="0.3">
      <c r="A44" s="466"/>
      <c r="B44" s="466"/>
      <c r="C44" s="466"/>
      <c r="D44" s="466"/>
      <c r="E44" s="466"/>
      <c r="F44" s="466"/>
    </row>
    <row r="45" spans="1:7" ht="11.1" customHeight="1" x14ac:dyDescent="0.3">
      <c r="A45" s="466"/>
      <c r="B45" s="466" t="s">
        <v>244</v>
      </c>
      <c r="C45" s="466"/>
      <c r="D45" s="466"/>
      <c r="E45" s="466"/>
      <c r="F45" s="466"/>
    </row>
    <row r="46" spans="1:7" ht="11.1" customHeight="1" x14ac:dyDescent="0.3">
      <c r="A46" s="466"/>
      <c r="B46" s="466"/>
      <c r="C46" s="466"/>
      <c r="D46" s="466"/>
      <c r="E46" s="466"/>
      <c r="F46" s="466"/>
    </row>
    <row r="47" spans="1:7" x14ac:dyDescent="0.3">
      <c r="A47" s="464" t="s">
        <v>244</v>
      </c>
      <c r="B47" s="464"/>
      <c r="C47" s="464"/>
      <c r="D47" s="464"/>
      <c r="E47" s="464"/>
      <c r="F47" s="464"/>
    </row>
  </sheetData>
  <sheetProtection password="C195" sheet="1" formatColumns="0" formatRows="0"/>
  <mergeCells count="14">
    <mergeCell ref="A5:B5"/>
    <mergeCell ref="A1:F1"/>
    <mergeCell ref="A2:F2"/>
    <mergeCell ref="A3:F3"/>
    <mergeCell ref="C4:D4"/>
    <mergeCell ref="A23:B23"/>
    <mergeCell ref="A28:B28"/>
    <mergeCell ref="A39:B39"/>
    <mergeCell ref="A6:B6"/>
    <mergeCell ref="A7:B7"/>
    <mergeCell ref="A8:B8"/>
    <mergeCell ref="A9:B9"/>
    <mergeCell ref="A14:B14"/>
    <mergeCell ref="A22:B22"/>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46</vt:i4>
      </vt:variant>
    </vt:vector>
  </HeadingPairs>
  <TitlesOfParts>
    <vt:vector size="87"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ETCA-IV-06</vt:lpstr>
      <vt:lpstr>ANEXO A</vt:lpstr>
      <vt:lpstr>ANEXO B</vt:lpstr>
      <vt:lpstr>ANEXO C</vt:lpstr>
      <vt:lpstr>'ANEXO A'!Área_de_impresión</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'ETCA-IV-02'!Títulos_a_imprimir</vt:lpstr>
      <vt:lpstr>'ETCA-IV-06'!Títulos_a_imprimir</vt:lpstr>
      <vt:lpstr>'Lista  FORMATOS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Lupita Perez</cp:lastModifiedBy>
  <cp:revision/>
  <cp:lastPrinted>2021-10-11T23:24:00Z</cp:lastPrinted>
  <dcterms:created xsi:type="dcterms:W3CDTF">2014-03-28T01:13:38Z</dcterms:created>
  <dcterms:modified xsi:type="dcterms:W3CDTF">2021-10-12T16:45:54Z</dcterms:modified>
</cp:coreProperties>
</file>